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comments5.xml" ContentType="application/vnd.openxmlformats-officedocument.spreadsheetml.comments+xml"/>
  <Override PartName="/xl/tables/table1.xml" ContentType="application/vnd.openxmlformats-officedocument.spreadsheetml.table+xml"/>
  <Override PartName="/xl/comments6.xml" ContentType="application/vnd.openxmlformats-officedocument.spreadsheetml.comments+xml"/>
  <Override PartName="/xl/drawings/drawing1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mc:AlternateContent xmlns:mc="http://schemas.openxmlformats.org/markup-compatibility/2006">
    <mc:Choice Requires="x15">
      <x15ac:absPath xmlns:x15ac="http://schemas.microsoft.com/office/spreadsheetml/2010/11/ac" url="H:\APP\PA\PAForum\Web Publications\FINANCE\Sources and Uses\2024\"/>
    </mc:Choice>
  </mc:AlternateContent>
  <xr:revisionPtr revIDLastSave="0" documentId="13_ncr:1_{C8CF44EA-7071-4C3A-A6E0-26E9549D818A}" xr6:coauthVersionLast="47" xr6:coauthVersionMax="47" xr10:uidLastSave="{00000000-0000-0000-0000-000000000000}"/>
  <bookViews>
    <workbookView xWindow="28680" yWindow="-120" windowWidth="29040" windowHeight="15840" tabRatio="983" xr2:uid="{CDA69D6F-3450-4255-B069-4422FAFDCAB6}"/>
  </bookViews>
  <sheets>
    <sheet name="Table of Contents" sheetId="9" r:id="rId1"/>
    <sheet name="Fund Group Detail (FGD)" sheetId="16" r:id="rId2"/>
    <sheet name="Summary (by Institution)" sheetId="17" r:id="rId3"/>
    <sheet name="Summary (by Institution Type)" sheetId="30" r:id="rId4"/>
    <sheet name="Summary (by System)" sheetId="29" r:id="rId5"/>
    <sheet name="Comparison (by Institution)" sheetId="27" r:id="rId6"/>
    <sheet name="Sources (Revenue)" sheetId="21" r:id="rId7"/>
    <sheet name="Uses (Expenditures)" sheetId="25" r:id="rId8"/>
    <sheet name="Contact Information" sheetId="15" r:id="rId9"/>
    <sheet name="Definitions" sheetId="6" r:id="rId10"/>
    <sheet name="Tuition &amp; Fees" sheetId="12" r:id="rId11"/>
    <sheet name="Academic Cost Study Report" sheetId="11" r:id="rId12"/>
    <sheet name="Input" sheetId="4" state="veryHidden" r:id="rId13"/>
    <sheet name="Statements of Sources and Uses" sheetId="8" state="veryHidden" r:id="rId14"/>
    <sheet name="FTSE | FTFE" sheetId="7" r:id="rId15"/>
    <sheet name="Hidden" sheetId="10" state="veryHidden" r:id="rId16"/>
  </sheets>
  <definedNames>
    <definedName name="_xlnm._FilterDatabase" localSheetId="11" hidden="1">'Academic Cost Study Report'!#REF!</definedName>
    <definedName name="_xlnm._FilterDatabase" localSheetId="9" hidden="1">Definitions!#REF!</definedName>
    <definedName name="_xlnm._FilterDatabase" localSheetId="15" hidden="1">Hidden!$A$105:$C$164</definedName>
    <definedName name="_xlnm._FilterDatabase" localSheetId="13" hidden="1">'Statements of Sources and Uses'!$A$5:$E$83</definedName>
    <definedName name="_xlnm._FilterDatabase" localSheetId="10" hidden="1">'Tuition &amp; Fees'!$A$9:$T$9</definedName>
    <definedName name="_Order1" hidden="1">255</definedName>
    <definedName name="_Order2" hidden="1">255</definedName>
    <definedName name="_Sort" localSheetId="14" hidden="1">#REF!</definedName>
    <definedName name="_Sort" localSheetId="15" hidden="1">#REF!</definedName>
    <definedName name="_Sort" localSheetId="13" hidden="1">#REF!</definedName>
    <definedName name="_Sort" hidden="1">#REF!</definedName>
    <definedName name="LimitedEdition">Hidden!$A$106:$A$164</definedName>
    <definedName name="NameDropdown">Hidden!$A$15:$A$93</definedName>
    <definedName name="_xlnm.Print_Area" localSheetId="7">'Uses (Expenditures)'!$A$5:$BC$24,'Uses (Expenditures)'!$A$28:$BC$42,'Uses (Expenditures)'!$A$45:$BC$86</definedName>
    <definedName name="_xlnm.Print_Titles" localSheetId="7">'Uses (Expenditures)'!$1:$4</definedName>
    <definedName name="SearchNames">Hidden!$A$15:$B$93</definedName>
    <definedName name="SearchSystems">Hidden!$A$96:$B$103</definedName>
    <definedName name="SearchTypes">Hidden!$A$7:$B$10</definedName>
    <definedName name="StmtSU">'Statements of Sources and Uses'!$A$5:$E$83</definedName>
    <definedName name="SystemDropdown">Hidden!$A$96:$A$103</definedName>
    <definedName name="TypeDropdown">Hidden!$A$7:$A$10</definedName>
    <definedName name="Z_1FFC368C_FAAC_4C27_917C_33EB7F20D079_.wvu.PrintTitles" localSheetId="14" hidden="1">#REF!,#REF!</definedName>
    <definedName name="Z_1FFC368C_FAAC_4C27_917C_33EB7F20D079_.wvu.PrintTitles" localSheetId="15" hidden="1">#REF!,#REF!</definedName>
    <definedName name="Z_1FFC368C_FAAC_4C27_917C_33EB7F20D079_.wvu.PrintTitles" localSheetId="13" hidden="1">#REF!,#REF!</definedName>
    <definedName name="Z_1FFC368C_FAAC_4C27_917C_33EB7F20D079_.wvu.PrintTitles" hidden="1">#REF!,#REF!</definedName>
    <definedName name="Z_390E69FE_30BF_46A8_BB03_D0C9901EA0FB_.wvu.PrintTitles" localSheetId="14" hidden="1">#REF!,#REF!</definedName>
    <definedName name="Z_390E69FE_30BF_46A8_BB03_D0C9901EA0FB_.wvu.PrintTitles" localSheetId="15" hidden="1">#REF!,#REF!</definedName>
    <definedName name="Z_390E69FE_30BF_46A8_BB03_D0C9901EA0FB_.wvu.PrintTitles" localSheetId="13" hidden="1">#REF!,#REF!</definedName>
    <definedName name="Z_390E69FE_30BF_46A8_BB03_D0C9901EA0FB_.wvu.PrintTitles" hidden="1">#REF!,#REF!</definedName>
    <definedName name="Z_4AC09102_7151_4BC1_97EC_C57915589D6D_.wvu.PrintTitles" localSheetId="14" hidden="1">#REF!,#REF!</definedName>
    <definedName name="Z_4AC09102_7151_4BC1_97EC_C57915589D6D_.wvu.PrintTitles" localSheetId="15" hidden="1">#REF!,#REF!</definedName>
    <definedName name="Z_4AC09102_7151_4BC1_97EC_C57915589D6D_.wvu.PrintTitles" localSheetId="13" hidden="1">#REF!,#REF!</definedName>
    <definedName name="Z_4AC09102_7151_4BC1_97EC_C57915589D6D_.wvu.PrintTitles" hidden="1">#REF!,#REF!</definedName>
    <definedName name="Z_59C042EE_7BE0_46D7_83D3_48C0860AA9B7_.wvu.PrintTitles" localSheetId="14" hidden="1">#REF!,#REF!</definedName>
    <definedName name="Z_59C042EE_7BE0_46D7_83D3_48C0860AA9B7_.wvu.PrintTitles" localSheetId="15" hidden="1">#REF!,#REF!</definedName>
    <definedName name="Z_59C042EE_7BE0_46D7_83D3_48C0860AA9B7_.wvu.PrintTitles" localSheetId="13" hidden="1">#REF!,#REF!</definedName>
    <definedName name="Z_59C042EE_7BE0_46D7_83D3_48C0860AA9B7_.wvu.PrintTitles" hidden="1">#REF!,#REF!</definedName>
    <definedName name="Z_5DB122DC_76B1_4E56_B2C5_DC5B34D3FE31_.wvu.PrintTitles" localSheetId="14" hidden="1">#REF!,#REF!</definedName>
    <definedName name="Z_5DB122DC_76B1_4E56_B2C5_DC5B34D3FE31_.wvu.PrintTitles" localSheetId="15" hidden="1">#REF!,#REF!</definedName>
    <definedName name="Z_5DB122DC_76B1_4E56_B2C5_DC5B34D3FE31_.wvu.PrintTitles" localSheetId="13" hidden="1">#REF!,#REF!</definedName>
    <definedName name="Z_5DB122DC_76B1_4E56_B2C5_DC5B34D3FE31_.wvu.PrintTitles" hidden="1">#REF!,#REF!</definedName>
    <definedName name="Z_7E968537_F35A_46C0_AAAE_B8F2523DE409_.wvu.PrintTitles" localSheetId="14" hidden="1">#REF!,#REF!</definedName>
    <definedName name="Z_7E968537_F35A_46C0_AAAE_B8F2523DE409_.wvu.PrintTitles" localSheetId="15" hidden="1">#REF!,#REF!</definedName>
    <definedName name="Z_7E968537_F35A_46C0_AAAE_B8F2523DE409_.wvu.PrintTitles" localSheetId="13" hidden="1">#REF!,#REF!</definedName>
    <definedName name="Z_7E968537_F35A_46C0_AAAE_B8F2523DE409_.wvu.PrintTitles" hidden="1">#REF!,#REF!</definedName>
    <definedName name="Z_999D944D_85B2_4CAE_97DA_DC2EB4BF0AB0_.wvu.PrintTitles" localSheetId="14" hidden="1">#REF!,#REF!</definedName>
    <definedName name="Z_999D944D_85B2_4CAE_97DA_DC2EB4BF0AB0_.wvu.PrintTitles" localSheetId="15" hidden="1">#REF!,#REF!</definedName>
    <definedName name="Z_999D944D_85B2_4CAE_97DA_DC2EB4BF0AB0_.wvu.PrintTitles" localSheetId="13" hidden="1">#REF!,#REF!</definedName>
    <definedName name="Z_999D944D_85B2_4CAE_97DA_DC2EB4BF0AB0_.wvu.PrintTitles" hidden="1">#REF!,#REF!</definedName>
    <definedName name="Z_9A9AF875_8B7A_4EA5_9837_BF2AFF98C487_.wvu.PrintTitles" localSheetId="14" hidden="1">#REF!,#REF!</definedName>
    <definedName name="Z_9A9AF875_8B7A_4EA5_9837_BF2AFF98C487_.wvu.PrintTitles" localSheetId="15" hidden="1">#REF!,#REF!</definedName>
    <definedName name="Z_9A9AF875_8B7A_4EA5_9837_BF2AFF98C487_.wvu.PrintTitles" localSheetId="13" hidden="1">#REF!,#REF!</definedName>
    <definedName name="Z_9A9AF875_8B7A_4EA5_9837_BF2AFF98C487_.wvu.PrintTitles" hidden="1">#REF!,#REF!</definedName>
    <definedName name="Z_C63CB8F7_18C4_4A70_94EC_26C8D6B5C80F_.wvu.PrintTitles" localSheetId="14" hidden="1">#REF!,#REF!</definedName>
    <definedName name="Z_C63CB8F7_18C4_4A70_94EC_26C8D6B5C80F_.wvu.PrintTitles" localSheetId="15" hidden="1">#REF!,#REF!</definedName>
    <definedName name="Z_C63CB8F7_18C4_4A70_94EC_26C8D6B5C80F_.wvu.PrintTitles" localSheetId="13" hidden="1">#REF!,#REF!</definedName>
    <definedName name="Z_C63CB8F7_18C4_4A70_94EC_26C8D6B5C80F_.wvu.PrintTitles" hidden="1">#REF!,#REF!</definedName>
    <definedName name="Z_D8EE2E15_379C_4027_9083_08D90932B4E1_.wvu.PrintTitles" localSheetId="14" hidden="1">#REF!,#REF!</definedName>
    <definedName name="Z_D8EE2E15_379C_4027_9083_08D90932B4E1_.wvu.PrintTitles" localSheetId="15" hidden="1">#REF!,#REF!</definedName>
    <definedName name="Z_D8EE2E15_379C_4027_9083_08D90932B4E1_.wvu.PrintTitles" localSheetId="13" hidden="1">#REF!,#REF!</definedName>
    <definedName name="Z_D8EE2E15_379C_4027_9083_08D90932B4E1_.wvu.PrintTitles" hidden="1">#REF!,#REF!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9" l="1"/>
  <c r="A41" i="12"/>
  <c r="D41" i="12"/>
  <c r="E41" i="12"/>
  <c r="F41" i="12"/>
  <c r="G41" i="12"/>
  <c r="H41" i="12"/>
  <c r="I41" i="12"/>
  <c r="J41" i="12"/>
  <c r="L41" i="12"/>
  <c r="M41" i="12"/>
  <c r="N41" i="12"/>
  <c r="O41" i="12"/>
  <c r="P41" i="12"/>
  <c r="Q41" i="12"/>
  <c r="R41" i="12"/>
  <c r="T41" i="12"/>
  <c r="T24" i="12"/>
  <c r="R24" i="12"/>
  <c r="Q24" i="12"/>
  <c r="P24" i="12"/>
  <c r="O24" i="12"/>
  <c r="N24" i="12"/>
  <c r="M24" i="12"/>
  <c r="L24" i="12"/>
  <c r="J24" i="12"/>
  <c r="I24" i="12"/>
  <c r="H24" i="12"/>
  <c r="G24" i="12"/>
  <c r="F24" i="12"/>
  <c r="E24" i="12"/>
  <c r="D24" i="12"/>
  <c r="A24" i="12"/>
  <c r="A85" i="12"/>
  <c r="T85" i="12"/>
  <c r="R85" i="12"/>
  <c r="Q85" i="12"/>
  <c r="P85" i="12"/>
  <c r="O85" i="12"/>
  <c r="D85" i="12"/>
  <c r="N85" i="12"/>
  <c r="M85" i="12"/>
  <c r="L85" i="12"/>
  <c r="J85" i="12"/>
  <c r="I85" i="12"/>
  <c r="H85" i="12"/>
  <c r="G85" i="12"/>
  <c r="F85" i="12"/>
  <c r="E85" i="12"/>
  <c r="A3" i="25"/>
  <c r="A3" i="12"/>
  <c r="A3" i="21"/>
  <c r="AQ105" i="27"/>
  <c r="AQ104" i="27"/>
  <c r="AQ103" i="27"/>
  <c r="AQ102" i="27"/>
  <c r="AQ101" i="27"/>
  <c r="AQ100" i="27"/>
  <c r="AQ94" i="27"/>
  <c r="AQ93" i="27"/>
  <c r="AQ89" i="27"/>
  <c r="AQ88" i="27"/>
  <c r="AQ87" i="27"/>
  <c r="AQ86" i="27"/>
  <c r="AQ82" i="27"/>
  <c r="AQ81" i="27"/>
  <c r="AQ80" i="27"/>
  <c r="AQ79" i="27"/>
  <c r="AQ78" i="27"/>
  <c r="AQ77" i="27"/>
  <c r="AQ76" i="27"/>
  <c r="AQ75" i="27"/>
  <c r="AQ74" i="27"/>
  <c r="AQ73" i="27"/>
  <c r="AQ72" i="27"/>
  <c r="AQ71" i="27"/>
  <c r="AQ64" i="27"/>
  <c r="AQ63" i="27"/>
  <c r="AQ62" i="27"/>
  <c r="AQ61" i="27"/>
  <c r="AQ60" i="27"/>
  <c r="AQ59" i="27"/>
  <c r="AQ56" i="27"/>
  <c r="AQ53" i="27"/>
  <c r="AQ50" i="27"/>
  <c r="AQ44" i="27"/>
  <c r="AQ43" i="27"/>
  <c r="AQ42" i="27"/>
  <c r="AQ41" i="27"/>
  <c r="AQ40" i="27"/>
  <c r="AQ38" i="27"/>
  <c r="AQ37" i="27"/>
  <c r="AQ36" i="27"/>
  <c r="AQ35" i="27"/>
  <c r="AQ34" i="27"/>
  <c r="AQ29" i="27"/>
  <c r="AQ28" i="27"/>
  <c r="AQ27" i="27"/>
  <c r="AQ26" i="27"/>
  <c r="AQ25" i="27"/>
  <c r="AQ23" i="27"/>
  <c r="AQ22" i="27"/>
  <c r="AQ21" i="27"/>
  <c r="AQ20" i="27"/>
  <c r="AQ19" i="27"/>
  <c r="AQ13" i="27"/>
  <c r="AQ12" i="27"/>
  <c r="AQ11" i="27"/>
  <c r="AQ10" i="27"/>
  <c r="AT6" i="27"/>
  <c r="AI2" i="27"/>
  <c r="AD19" i="17"/>
  <c r="P26" i="29"/>
  <c r="P26" i="30"/>
  <c r="AT10" i="27" l="1"/>
  <c r="AT11" i="27"/>
  <c r="AT12" i="27"/>
  <c r="AT34" i="27"/>
  <c r="AT13" i="27"/>
  <c r="AT94" i="27"/>
  <c r="AT41" i="27"/>
  <c r="AT23" i="27"/>
  <c r="AT19" i="27"/>
  <c r="AT20" i="27"/>
  <c r="AT21" i="27"/>
  <c r="AT62" i="27"/>
  <c r="AT80" i="27"/>
  <c r="AT103" i="27"/>
  <c r="AT22" i="27"/>
  <c r="AT40" i="27"/>
  <c r="AT63" i="27"/>
  <c r="AT81" i="27"/>
  <c r="AT104" i="27"/>
  <c r="AT64" i="27"/>
  <c r="AT82" i="27"/>
  <c r="AT105" i="27"/>
  <c r="AT25" i="27"/>
  <c r="AT42" i="27"/>
  <c r="AT71" i="27"/>
  <c r="AT86" i="27"/>
  <c r="AT76" i="27"/>
  <c r="AT35" i="27"/>
  <c r="AT59" i="27"/>
  <c r="AT77" i="27"/>
  <c r="AT100" i="27"/>
  <c r="AT36" i="27"/>
  <c r="AT60" i="27"/>
  <c r="AT78" i="27"/>
  <c r="AT37" i="27"/>
  <c r="AT61" i="27"/>
  <c r="AT79" i="27"/>
  <c r="AT102" i="27"/>
  <c r="AT101" i="27"/>
  <c r="AT26" i="27"/>
  <c r="AT43" i="27"/>
  <c r="AT72" i="27"/>
  <c r="AT87" i="27"/>
  <c r="AT73" i="27"/>
  <c r="AT88" i="27"/>
  <c r="AT50" i="27"/>
  <c r="AT74" i="27"/>
  <c r="AT89" i="27"/>
  <c r="AT53" i="27"/>
  <c r="AT75" i="27"/>
  <c r="AT93" i="27"/>
  <c r="AT56" i="27"/>
  <c r="AT38" i="27"/>
  <c r="AT27" i="27"/>
  <c r="AT44" i="27"/>
  <c r="AT28" i="27"/>
  <c r="AT29" i="27"/>
  <c r="AQ30" i="27"/>
  <c r="AT30" i="27" s="1"/>
  <c r="AQ14" i="27"/>
  <c r="AT14" i="27" s="1"/>
  <c r="AQ17" i="27" a="1"/>
  <c r="AQ17" i="27" s="1"/>
  <c r="AT17" i="27" s="1"/>
  <c r="AQ45" i="27"/>
  <c r="AT45" i="27" s="1"/>
  <c r="AQ90" i="27"/>
  <c r="AT90" i="27" s="1"/>
  <c r="AQ32" i="27" a="1"/>
  <c r="AQ32" i="27" s="1"/>
  <c r="AT32" i="27" s="1"/>
  <c r="AQ95" i="27"/>
  <c r="AT95" i="27" s="1"/>
  <c r="AQ83" i="27"/>
  <c r="AT83" i="27" s="1"/>
  <c r="AQ65" i="27"/>
  <c r="AT65" i="27" s="1"/>
  <c r="AQ47" i="27" l="1"/>
  <c r="AT47" i="27" s="1"/>
  <c r="AQ67" i="27"/>
  <c r="AT67" i="27" s="1"/>
  <c r="AQ97" i="27" l="1"/>
  <c r="AQ106" i="27" s="1"/>
  <c r="AT106" i="27" s="1"/>
  <c r="AT97" i="27"/>
  <c r="AL46" i="25" l="1"/>
  <c r="AM46" i="25"/>
  <c r="AN46" i="25"/>
  <c r="AO46" i="25"/>
  <c r="AP46" i="25"/>
  <c r="AQ46" i="25"/>
  <c r="AR46" i="25"/>
  <c r="AS46" i="25"/>
  <c r="AT46" i="25"/>
  <c r="AU46" i="25"/>
  <c r="AV46" i="25"/>
  <c r="AW46" i="25"/>
  <c r="AX46" i="25"/>
  <c r="AY46" i="25"/>
  <c r="AZ46" i="25"/>
  <c r="BA46" i="25"/>
  <c r="BB46" i="25"/>
  <c r="BC46" i="25"/>
  <c r="J46" i="25"/>
  <c r="K46" i="25"/>
  <c r="L46" i="25"/>
  <c r="M46" i="25"/>
  <c r="N46" i="25"/>
  <c r="O46" i="25"/>
  <c r="P46" i="25"/>
  <c r="Q46" i="25"/>
  <c r="R46" i="25"/>
  <c r="S46" i="25"/>
  <c r="T46" i="25"/>
  <c r="U46" i="25"/>
  <c r="V46" i="25"/>
  <c r="W46" i="25"/>
  <c r="X46" i="25"/>
  <c r="Y46" i="25"/>
  <c r="Z46" i="25"/>
  <c r="AA46" i="25"/>
  <c r="AB46" i="25"/>
  <c r="AC46" i="25"/>
  <c r="AD46" i="25"/>
  <c r="AE46" i="25"/>
  <c r="AF46" i="25"/>
  <c r="AG46" i="25"/>
  <c r="AH46" i="25"/>
  <c r="AI46" i="25"/>
  <c r="AJ46" i="25"/>
  <c r="AK46" i="25"/>
  <c r="VR1" i="4"/>
  <c r="VR5" i="4"/>
  <c r="VR6" i="4"/>
  <c r="VR7" i="4"/>
  <c r="VR8" i="4"/>
  <c r="VR9" i="4"/>
  <c r="VR10" i="4"/>
  <c r="VR11" i="4"/>
  <c r="VR12" i="4"/>
  <c r="VR13" i="4"/>
  <c r="VR14" i="4"/>
  <c r="VR15" i="4"/>
  <c r="VR16" i="4"/>
  <c r="VR17" i="4"/>
  <c r="VR18" i="4"/>
  <c r="VR19" i="4"/>
  <c r="VR20" i="4"/>
  <c r="VR21" i="4"/>
  <c r="VR22" i="4"/>
  <c r="VR23" i="4"/>
  <c r="VR24" i="4"/>
  <c r="VR25" i="4"/>
  <c r="VR26" i="4"/>
  <c r="VR27" i="4"/>
  <c r="VR28" i="4"/>
  <c r="VR29" i="4"/>
  <c r="VR30" i="4"/>
  <c r="VR31" i="4"/>
  <c r="VR32" i="4"/>
  <c r="VR33" i="4"/>
  <c r="VR34" i="4"/>
  <c r="VR35" i="4"/>
  <c r="VR36" i="4"/>
  <c r="VR37" i="4"/>
  <c r="VR38" i="4"/>
  <c r="VR39" i="4"/>
  <c r="VR40" i="4"/>
  <c r="VR41" i="4"/>
  <c r="VR42" i="4"/>
  <c r="VR43" i="4"/>
  <c r="VR44" i="4"/>
  <c r="VR45" i="4"/>
  <c r="VR46" i="4"/>
  <c r="VR47" i="4"/>
  <c r="VR48" i="4"/>
  <c r="VR49" i="4"/>
  <c r="VR50" i="4"/>
  <c r="VR51" i="4"/>
  <c r="VR52" i="4"/>
  <c r="VR53" i="4"/>
  <c r="VR54" i="4"/>
  <c r="VR55" i="4"/>
  <c r="VR56" i="4"/>
  <c r="VR57" i="4"/>
  <c r="VR58" i="4"/>
  <c r="VR59" i="4"/>
  <c r="VR60" i="4"/>
  <c r="VR61" i="4"/>
  <c r="VR62" i="4"/>
  <c r="VR63" i="4"/>
  <c r="VR64" i="4"/>
  <c r="VR65" i="4"/>
  <c r="VR66" i="4"/>
  <c r="VR67" i="4"/>
  <c r="VR68" i="4"/>
  <c r="VR69" i="4"/>
  <c r="VR70" i="4"/>
  <c r="VR71" i="4"/>
  <c r="VR72" i="4"/>
  <c r="VR73" i="4"/>
  <c r="VR74" i="4"/>
  <c r="VR75" i="4"/>
  <c r="VR76" i="4"/>
  <c r="VR77" i="4"/>
  <c r="VR78" i="4"/>
  <c r="VR79" i="4"/>
  <c r="VR80" i="4"/>
  <c r="VR81" i="4"/>
  <c r="VR82" i="4"/>
  <c r="VR83" i="4"/>
  <c r="VQ5" i="4"/>
  <c r="VS5" i="4"/>
  <c r="VS6" i="4"/>
  <c r="VS7" i="4"/>
  <c r="VS8" i="4"/>
  <c r="VS9" i="4"/>
  <c r="VS10" i="4"/>
  <c r="VS11" i="4"/>
  <c r="VS12" i="4"/>
  <c r="VS13" i="4"/>
  <c r="VS14" i="4"/>
  <c r="VS15" i="4"/>
  <c r="VS16" i="4"/>
  <c r="VS17" i="4"/>
  <c r="VS18" i="4"/>
  <c r="VS19" i="4"/>
  <c r="VS20" i="4"/>
  <c r="VS21" i="4"/>
  <c r="VS22" i="4"/>
  <c r="VS23" i="4"/>
  <c r="VS24" i="4"/>
  <c r="VS25" i="4"/>
  <c r="VS26" i="4"/>
  <c r="VS27" i="4"/>
  <c r="VS28" i="4"/>
  <c r="VS29" i="4"/>
  <c r="VS30" i="4"/>
  <c r="VS31" i="4"/>
  <c r="VS32" i="4"/>
  <c r="VS33" i="4"/>
  <c r="VS34" i="4"/>
  <c r="VS35" i="4"/>
  <c r="VS36" i="4"/>
  <c r="VS37" i="4"/>
  <c r="VS38" i="4"/>
  <c r="VS39" i="4"/>
  <c r="VS40" i="4"/>
  <c r="VS41" i="4"/>
  <c r="VS42" i="4"/>
  <c r="VS43" i="4"/>
  <c r="VS44" i="4"/>
  <c r="VS45" i="4"/>
  <c r="VS46" i="4"/>
  <c r="VS47" i="4"/>
  <c r="VS48" i="4"/>
  <c r="VS49" i="4"/>
  <c r="VS50" i="4"/>
  <c r="VS51" i="4"/>
  <c r="VS52" i="4"/>
  <c r="VS53" i="4"/>
  <c r="VS54" i="4"/>
  <c r="VS55" i="4"/>
  <c r="VS56" i="4"/>
  <c r="VS57" i="4"/>
  <c r="VS58" i="4"/>
  <c r="VS59" i="4"/>
  <c r="VS60" i="4"/>
  <c r="VS61" i="4"/>
  <c r="VS62" i="4"/>
  <c r="VS63" i="4"/>
  <c r="VS64" i="4"/>
  <c r="VS65" i="4"/>
  <c r="VS66" i="4"/>
  <c r="VS67" i="4"/>
  <c r="VS68" i="4"/>
  <c r="VS69" i="4"/>
  <c r="VS70" i="4"/>
  <c r="VS71" i="4"/>
  <c r="VS72" i="4"/>
  <c r="VS73" i="4"/>
  <c r="VS74" i="4"/>
  <c r="VS75" i="4"/>
  <c r="VS76" i="4"/>
  <c r="VS77" i="4"/>
  <c r="VS78" i="4"/>
  <c r="VS79" i="4"/>
  <c r="VS80" i="4"/>
  <c r="VS81" i="4"/>
  <c r="VS82" i="4"/>
  <c r="VS83" i="4"/>
  <c r="VQ6" i="4"/>
  <c r="VQ7" i="4"/>
  <c r="VQ8" i="4"/>
  <c r="VQ9" i="4"/>
  <c r="VQ10" i="4"/>
  <c r="VQ11" i="4"/>
  <c r="VQ12" i="4"/>
  <c r="VQ13" i="4"/>
  <c r="VQ14" i="4"/>
  <c r="VQ15" i="4"/>
  <c r="VQ16" i="4"/>
  <c r="VQ17" i="4"/>
  <c r="VQ18" i="4"/>
  <c r="VQ19" i="4"/>
  <c r="VQ20" i="4"/>
  <c r="VQ21" i="4"/>
  <c r="VQ22" i="4"/>
  <c r="VQ23" i="4"/>
  <c r="VQ24" i="4"/>
  <c r="VQ25" i="4"/>
  <c r="VQ26" i="4"/>
  <c r="VQ27" i="4"/>
  <c r="VQ28" i="4"/>
  <c r="VQ29" i="4"/>
  <c r="VQ30" i="4"/>
  <c r="VQ31" i="4"/>
  <c r="VQ32" i="4"/>
  <c r="VQ33" i="4"/>
  <c r="VQ34" i="4"/>
  <c r="VQ35" i="4"/>
  <c r="VQ36" i="4"/>
  <c r="VQ37" i="4"/>
  <c r="VQ38" i="4"/>
  <c r="VQ39" i="4"/>
  <c r="VQ40" i="4"/>
  <c r="VQ41" i="4"/>
  <c r="VQ42" i="4"/>
  <c r="VQ43" i="4"/>
  <c r="VQ44" i="4"/>
  <c r="VQ45" i="4"/>
  <c r="VQ46" i="4"/>
  <c r="VQ47" i="4"/>
  <c r="VQ48" i="4"/>
  <c r="VQ49" i="4"/>
  <c r="VQ50" i="4"/>
  <c r="VQ51" i="4"/>
  <c r="VQ52" i="4"/>
  <c r="VQ53" i="4"/>
  <c r="VQ54" i="4"/>
  <c r="VQ55" i="4"/>
  <c r="VQ56" i="4"/>
  <c r="VQ57" i="4"/>
  <c r="VQ58" i="4"/>
  <c r="VQ59" i="4"/>
  <c r="VQ60" i="4"/>
  <c r="VQ61" i="4"/>
  <c r="VQ62" i="4"/>
  <c r="VQ63" i="4"/>
  <c r="VQ64" i="4"/>
  <c r="VQ65" i="4"/>
  <c r="VQ66" i="4"/>
  <c r="VQ67" i="4"/>
  <c r="VQ68" i="4"/>
  <c r="VQ69" i="4"/>
  <c r="VQ70" i="4"/>
  <c r="VQ71" i="4"/>
  <c r="VQ72" i="4"/>
  <c r="VQ73" i="4"/>
  <c r="VQ74" i="4"/>
  <c r="VQ75" i="4"/>
  <c r="VQ76" i="4"/>
  <c r="VQ77" i="4"/>
  <c r="VQ78" i="4"/>
  <c r="VQ79" i="4"/>
  <c r="VQ80" i="4"/>
  <c r="VQ81" i="4"/>
  <c r="VQ82" i="4"/>
  <c r="VQ83" i="4"/>
  <c r="VP5" i="4"/>
  <c r="VP6" i="4"/>
  <c r="VP7" i="4"/>
  <c r="VP8" i="4"/>
  <c r="VP9" i="4"/>
  <c r="VP10" i="4"/>
  <c r="VP11" i="4"/>
  <c r="VP12" i="4"/>
  <c r="VP13" i="4"/>
  <c r="VP14" i="4"/>
  <c r="VP15" i="4"/>
  <c r="VP16" i="4"/>
  <c r="VP17" i="4"/>
  <c r="VP18" i="4"/>
  <c r="VP19" i="4"/>
  <c r="VP20" i="4"/>
  <c r="VP21" i="4"/>
  <c r="VP22" i="4"/>
  <c r="VP23" i="4"/>
  <c r="VP24" i="4"/>
  <c r="VP25" i="4"/>
  <c r="VP26" i="4"/>
  <c r="VP27" i="4"/>
  <c r="VP28" i="4"/>
  <c r="VP29" i="4"/>
  <c r="VP30" i="4"/>
  <c r="VP31" i="4"/>
  <c r="VP32" i="4"/>
  <c r="VP33" i="4"/>
  <c r="VP34" i="4"/>
  <c r="VP35" i="4"/>
  <c r="VP36" i="4"/>
  <c r="VP37" i="4"/>
  <c r="VP38" i="4"/>
  <c r="VP39" i="4"/>
  <c r="VP40" i="4"/>
  <c r="VP41" i="4"/>
  <c r="VP42" i="4"/>
  <c r="VP43" i="4"/>
  <c r="VP44" i="4"/>
  <c r="VP45" i="4"/>
  <c r="VP46" i="4"/>
  <c r="VP47" i="4"/>
  <c r="VP48" i="4"/>
  <c r="VP49" i="4"/>
  <c r="VP50" i="4"/>
  <c r="VP51" i="4"/>
  <c r="VP52" i="4"/>
  <c r="VP53" i="4"/>
  <c r="VP54" i="4"/>
  <c r="VP55" i="4"/>
  <c r="VP56" i="4"/>
  <c r="VP57" i="4"/>
  <c r="VP58" i="4"/>
  <c r="VP59" i="4"/>
  <c r="VP60" i="4"/>
  <c r="VP61" i="4"/>
  <c r="VP62" i="4"/>
  <c r="VP63" i="4"/>
  <c r="VP64" i="4"/>
  <c r="VP65" i="4"/>
  <c r="VP66" i="4"/>
  <c r="VP67" i="4"/>
  <c r="VP68" i="4"/>
  <c r="VP69" i="4"/>
  <c r="VP70" i="4"/>
  <c r="VP71" i="4"/>
  <c r="VP72" i="4"/>
  <c r="VP73" i="4"/>
  <c r="VP74" i="4"/>
  <c r="VP75" i="4"/>
  <c r="VP76" i="4"/>
  <c r="VP77" i="4"/>
  <c r="VP78" i="4"/>
  <c r="VP79" i="4"/>
  <c r="VP80" i="4"/>
  <c r="VP81" i="4"/>
  <c r="VP82" i="4"/>
  <c r="VP83" i="4"/>
  <c r="VO5" i="4"/>
  <c r="AF78" i="25" s="1"/>
  <c r="VO6" i="4"/>
  <c r="AF65" i="25" s="1"/>
  <c r="VO7" i="4"/>
  <c r="AF32" i="25" s="1"/>
  <c r="VO8" i="4"/>
  <c r="AF33" i="25" s="1"/>
  <c r="VO9" i="4"/>
  <c r="AF34" i="25" s="1"/>
  <c r="VO10" i="4"/>
  <c r="AF73" i="25" s="1"/>
  <c r="VO11" i="4"/>
  <c r="AF81" i="25" s="1"/>
  <c r="VO12" i="4"/>
  <c r="AF59" i="25" s="1"/>
  <c r="VO13" i="4"/>
  <c r="AF74" i="25" s="1"/>
  <c r="VO14" i="4"/>
  <c r="VO15" i="4"/>
  <c r="AF22" i="25" s="1"/>
  <c r="VO16" i="4"/>
  <c r="AF82" i="25" s="1"/>
  <c r="VO17" i="4"/>
  <c r="AF76" i="25" s="1"/>
  <c r="VO18" i="4"/>
  <c r="AF60" i="25" s="1"/>
  <c r="VO19" i="4"/>
  <c r="VO20" i="4"/>
  <c r="VO21" i="4"/>
  <c r="VO22" i="4"/>
  <c r="VO23" i="4"/>
  <c r="VO24" i="4"/>
  <c r="AF63" i="25" s="1"/>
  <c r="VO25" i="4"/>
  <c r="VO26" i="4"/>
  <c r="VO27" i="4"/>
  <c r="AF57" i="25" s="1"/>
  <c r="VO28" i="4"/>
  <c r="AF67" i="25" s="1"/>
  <c r="VO29" i="4"/>
  <c r="AF61" i="25" s="1"/>
  <c r="VO30" i="4"/>
  <c r="AF62" i="25" s="1"/>
  <c r="VO31" i="4"/>
  <c r="AF68" i="25" s="1"/>
  <c r="VO32" i="4"/>
  <c r="AF66" i="25" s="1"/>
  <c r="VO33" i="4"/>
  <c r="AF58" i="25" s="1"/>
  <c r="VO34" i="4"/>
  <c r="VO35" i="4"/>
  <c r="AF15" i="25" s="1"/>
  <c r="VO36" i="4"/>
  <c r="VO37" i="4"/>
  <c r="VO38" i="4"/>
  <c r="AF83" i="25" s="1"/>
  <c r="VO39" i="4"/>
  <c r="VO40" i="4"/>
  <c r="AF40" i="25" s="1"/>
  <c r="VO41" i="4"/>
  <c r="AF35" i="25" s="1"/>
  <c r="VO42" i="4"/>
  <c r="AF37" i="25" s="1"/>
  <c r="VO43" i="4"/>
  <c r="AF39" i="25" s="1"/>
  <c r="VO44" i="4"/>
  <c r="AF38" i="25" s="1"/>
  <c r="VO45" i="4"/>
  <c r="AF36" i="25" s="1"/>
  <c r="VO46" i="4"/>
  <c r="VO47" i="4"/>
  <c r="AF75" i="25" s="1"/>
  <c r="VO48" i="4"/>
  <c r="AF77" i="25" s="1"/>
  <c r="VO49" i="4"/>
  <c r="AF17" i="25" s="1"/>
  <c r="VO50" i="4"/>
  <c r="AF18" i="25" s="1"/>
  <c r="VO51" i="4"/>
  <c r="VO52" i="4"/>
  <c r="AF84" i="25" s="1"/>
  <c r="VO53" i="4"/>
  <c r="AF49" i="25" s="1"/>
  <c r="VO54" i="4"/>
  <c r="AF50" i="25" s="1"/>
  <c r="VO55" i="4"/>
  <c r="VO56" i="4"/>
  <c r="AF20" i="25" s="1"/>
  <c r="VO57" i="4"/>
  <c r="AF51" i="25" s="1"/>
  <c r="VO58" i="4"/>
  <c r="AF52" i="25" s="1"/>
  <c r="VO59" i="4"/>
  <c r="AF53" i="25" s="1"/>
  <c r="VO60" i="4"/>
  <c r="VO61" i="4"/>
  <c r="AF19" i="25" s="1"/>
  <c r="VO62" i="4"/>
  <c r="AF55" i="25" s="1"/>
  <c r="VO63" i="4"/>
  <c r="AF56" i="25" s="1"/>
  <c r="VO64" i="4"/>
  <c r="AF11" i="25" s="1"/>
  <c r="VO65" i="4"/>
  <c r="AF12" i="25" s="1"/>
  <c r="VO66" i="4"/>
  <c r="AF14" i="25" s="1"/>
  <c r="VO67" i="4"/>
  <c r="AF13" i="25" s="1"/>
  <c r="VO68" i="4"/>
  <c r="AF10" i="25" s="1"/>
  <c r="VO69" i="4"/>
  <c r="AF54" i="25" s="1"/>
  <c r="VO70" i="4"/>
  <c r="AF9" i="25" s="1"/>
  <c r="VO71" i="4"/>
  <c r="VO72" i="4"/>
  <c r="AF70" i="25" s="1"/>
  <c r="VO73" i="4"/>
  <c r="AF71" i="25" s="1"/>
  <c r="VO74" i="4"/>
  <c r="AF72" i="25" s="1"/>
  <c r="VO75" i="4"/>
  <c r="AF69" i="25" s="1"/>
  <c r="VO76" i="4"/>
  <c r="VO77" i="4"/>
  <c r="AF21" i="25" s="1"/>
  <c r="VO78" i="4"/>
  <c r="VO79" i="4"/>
  <c r="AF79" i="25" s="1"/>
  <c r="VO80" i="4"/>
  <c r="AF80" i="25" s="1"/>
  <c r="VO81" i="4"/>
  <c r="AF16" i="25" s="1"/>
  <c r="VO82" i="4"/>
  <c r="VO83" i="4"/>
  <c r="AF64" i="25" s="1"/>
  <c r="VN5" i="4"/>
  <c r="AL78" i="25" s="1"/>
  <c r="VN6" i="4"/>
  <c r="AL65" i="25" s="1"/>
  <c r="VN7" i="4"/>
  <c r="AL32" i="25" s="1"/>
  <c r="VN8" i="4"/>
  <c r="AL33" i="25" s="1"/>
  <c r="VN9" i="4"/>
  <c r="AL34" i="25" s="1"/>
  <c r="VN10" i="4"/>
  <c r="AL73" i="25" s="1"/>
  <c r="VN11" i="4"/>
  <c r="AL81" i="25" s="1"/>
  <c r="VN12" i="4"/>
  <c r="AL59" i="25" s="1"/>
  <c r="VN13" i="4"/>
  <c r="AL74" i="25" s="1"/>
  <c r="VN14" i="4"/>
  <c r="VN15" i="4"/>
  <c r="AL22" i="25" s="1"/>
  <c r="VN16" i="4"/>
  <c r="AL82" i="25" s="1"/>
  <c r="VN17" i="4"/>
  <c r="AL76" i="25" s="1"/>
  <c r="VN18" i="4"/>
  <c r="AL60" i="25" s="1"/>
  <c r="VN19" i="4"/>
  <c r="VN20" i="4"/>
  <c r="VN21" i="4"/>
  <c r="VN22" i="4"/>
  <c r="VN23" i="4"/>
  <c r="VN24" i="4"/>
  <c r="AL63" i="25" s="1"/>
  <c r="VN25" i="4"/>
  <c r="VN26" i="4"/>
  <c r="VN27" i="4"/>
  <c r="AL57" i="25" s="1"/>
  <c r="VN28" i="4"/>
  <c r="AL67" i="25" s="1"/>
  <c r="VN29" i="4"/>
  <c r="AL61" i="25" s="1"/>
  <c r="VN30" i="4"/>
  <c r="AL62" i="25" s="1"/>
  <c r="VN31" i="4"/>
  <c r="AL68" i="25" s="1"/>
  <c r="VN32" i="4"/>
  <c r="AL66" i="25" s="1"/>
  <c r="VN33" i="4"/>
  <c r="AL58" i="25" s="1"/>
  <c r="VN34" i="4"/>
  <c r="VN35" i="4"/>
  <c r="AL15" i="25" s="1"/>
  <c r="VN36" i="4"/>
  <c r="VN37" i="4"/>
  <c r="VN38" i="4"/>
  <c r="AL83" i="25" s="1"/>
  <c r="VN39" i="4"/>
  <c r="VN40" i="4"/>
  <c r="AL40" i="25" s="1"/>
  <c r="VN41" i="4"/>
  <c r="AL35" i="25" s="1"/>
  <c r="VN42" i="4"/>
  <c r="AL37" i="25" s="1"/>
  <c r="VN43" i="4"/>
  <c r="AL39" i="25" s="1"/>
  <c r="VN44" i="4"/>
  <c r="AL38" i="25" s="1"/>
  <c r="VN45" i="4"/>
  <c r="AL36" i="25" s="1"/>
  <c r="VN46" i="4"/>
  <c r="VN47" i="4"/>
  <c r="AL75" i="25" s="1"/>
  <c r="VN48" i="4"/>
  <c r="AL77" i="25" s="1"/>
  <c r="VN49" i="4"/>
  <c r="AL17" i="25" s="1"/>
  <c r="VN50" i="4"/>
  <c r="AL18" i="25" s="1"/>
  <c r="VN51" i="4"/>
  <c r="VN52" i="4"/>
  <c r="AL84" i="25" s="1"/>
  <c r="VN53" i="4"/>
  <c r="AL49" i="25" s="1"/>
  <c r="VN54" i="4"/>
  <c r="AL50" i="25" s="1"/>
  <c r="VN55" i="4"/>
  <c r="VN56" i="4"/>
  <c r="AL20" i="25" s="1"/>
  <c r="VN57" i="4"/>
  <c r="AL51" i="25" s="1"/>
  <c r="VN58" i="4"/>
  <c r="AL52" i="25" s="1"/>
  <c r="VN59" i="4"/>
  <c r="AL53" i="25" s="1"/>
  <c r="VN60" i="4"/>
  <c r="VN61" i="4"/>
  <c r="AL19" i="25" s="1"/>
  <c r="VN62" i="4"/>
  <c r="AL55" i="25" s="1"/>
  <c r="VN63" i="4"/>
  <c r="AL56" i="25" s="1"/>
  <c r="VN64" i="4"/>
  <c r="AL11" i="25" s="1"/>
  <c r="VN65" i="4"/>
  <c r="AL12" i="25" s="1"/>
  <c r="VN66" i="4"/>
  <c r="AL14" i="25" s="1"/>
  <c r="VN67" i="4"/>
  <c r="AL13" i="25" s="1"/>
  <c r="VN68" i="4"/>
  <c r="AL10" i="25" s="1"/>
  <c r="VN69" i="4"/>
  <c r="AL54" i="25" s="1"/>
  <c r="VN70" i="4"/>
  <c r="AL9" i="25" s="1"/>
  <c r="VN71" i="4"/>
  <c r="VN72" i="4"/>
  <c r="AL70" i="25" s="1"/>
  <c r="VN73" i="4"/>
  <c r="AL71" i="25" s="1"/>
  <c r="VN74" i="4"/>
  <c r="AL72" i="25" s="1"/>
  <c r="VN75" i="4"/>
  <c r="AL69" i="25" s="1"/>
  <c r="VN76" i="4"/>
  <c r="VN77" i="4"/>
  <c r="AL21" i="25" s="1"/>
  <c r="VN78" i="4"/>
  <c r="VN79" i="4"/>
  <c r="AL79" i="25" s="1"/>
  <c r="VN80" i="4"/>
  <c r="AL80" i="25" s="1"/>
  <c r="VN81" i="4"/>
  <c r="AL16" i="25" s="1"/>
  <c r="VN82" i="4"/>
  <c r="VN83" i="4"/>
  <c r="AL64" i="25" s="1"/>
  <c r="VM5" i="4"/>
  <c r="Z78" i="25" s="1"/>
  <c r="VM6" i="4"/>
  <c r="Z65" i="25" s="1"/>
  <c r="VM7" i="4"/>
  <c r="Z32" i="25" s="1"/>
  <c r="VM8" i="4"/>
  <c r="Z33" i="25" s="1"/>
  <c r="VM9" i="4"/>
  <c r="Z34" i="25" s="1"/>
  <c r="VM10" i="4"/>
  <c r="Z73" i="25" s="1"/>
  <c r="VM11" i="4"/>
  <c r="Z81" i="25" s="1"/>
  <c r="VM12" i="4"/>
  <c r="Z59" i="25" s="1"/>
  <c r="VM13" i="4"/>
  <c r="Z74" i="25" s="1"/>
  <c r="VM14" i="4"/>
  <c r="VM15" i="4"/>
  <c r="Z22" i="25" s="1"/>
  <c r="VM16" i="4"/>
  <c r="Z82" i="25" s="1"/>
  <c r="VM17" i="4"/>
  <c r="Z76" i="25" s="1"/>
  <c r="VM18" i="4"/>
  <c r="Z60" i="25" s="1"/>
  <c r="VM19" i="4"/>
  <c r="VM20" i="4"/>
  <c r="VM21" i="4"/>
  <c r="VM22" i="4"/>
  <c r="VM23" i="4"/>
  <c r="VM24" i="4"/>
  <c r="Z63" i="25" s="1"/>
  <c r="VM25" i="4"/>
  <c r="VM26" i="4"/>
  <c r="VM27" i="4"/>
  <c r="Z57" i="25" s="1"/>
  <c r="VM28" i="4"/>
  <c r="Z67" i="25" s="1"/>
  <c r="VM29" i="4"/>
  <c r="Z61" i="25" s="1"/>
  <c r="VM30" i="4"/>
  <c r="Z62" i="25" s="1"/>
  <c r="VM31" i="4"/>
  <c r="Z68" i="25" s="1"/>
  <c r="VM32" i="4"/>
  <c r="Z66" i="25" s="1"/>
  <c r="VM33" i="4"/>
  <c r="Z58" i="25" s="1"/>
  <c r="VM34" i="4"/>
  <c r="VM35" i="4"/>
  <c r="Z15" i="25" s="1"/>
  <c r="VM36" i="4"/>
  <c r="VM37" i="4"/>
  <c r="VM38" i="4"/>
  <c r="Z83" i="25" s="1"/>
  <c r="VM39" i="4"/>
  <c r="VM40" i="4"/>
  <c r="Z40" i="25" s="1"/>
  <c r="VM41" i="4"/>
  <c r="Z35" i="25" s="1"/>
  <c r="VM42" i="4"/>
  <c r="Z37" i="25" s="1"/>
  <c r="VM43" i="4"/>
  <c r="Z39" i="25" s="1"/>
  <c r="VM44" i="4"/>
  <c r="Z38" i="25" s="1"/>
  <c r="VM45" i="4"/>
  <c r="Z36" i="25" s="1"/>
  <c r="VM46" i="4"/>
  <c r="VM47" i="4"/>
  <c r="Z75" i="25" s="1"/>
  <c r="VM48" i="4"/>
  <c r="Z77" i="25" s="1"/>
  <c r="VM49" i="4"/>
  <c r="Z17" i="25" s="1"/>
  <c r="VM50" i="4"/>
  <c r="Z18" i="25" s="1"/>
  <c r="VM51" i="4"/>
  <c r="VM52" i="4"/>
  <c r="Z84" i="25" s="1"/>
  <c r="VM53" i="4"/>
  <c r="Z49" i="25" s="1"/>
  <c r="VM54" i="4"/>
  <c r="Z50" i="25" s="1"/>
  <c r="VM55" i="4"/>
  <c r="VM56" i="4"/>
  <c r="Z20" i="25" s="1"/>
  <c r="VM57" i="4"/>
  <c r="Z51" i="25" s="1"/>
  <c r="VM58" i="4"/>
  <c r="Z52" i="25" s="1"/>
  <c r="VM59" i="4"/>
  <c r="Z53" i="25" s="1"/>
  <c r="VM60" i="4"/>
  <c r="VM61" i="4"/>
  <c r="Z19" i="25" s="1"/>
  <c r="VM62" i="4"/>
  <c r="Z55" i="25" s="1"/>
  <c r="VM63" i="4"/>
  <c r="Z56" i="25" s="1"/>
  <c r="VM64" i="4"/>
  <c r="Z11" i="25" s="1"/>
  <c r="VM65" i="4"/>
  <c r="Z12" i="25" s="1"/>
  <c r="VM66" i="4"/>
  <c r="Z14" i="25" s="1"/>
  <c r="VM67" i="4"/>
  <c r="Z13" i="25" s="1"/>
  <c r="VM68" i="4"/>
  <c r="Z10" i="25" s="1"/>
  <c r="VM69" i="4"/>
  <c r="Z54" i="25" s="1"/>
  <c r="VM70" i="4"/>
  <c r="Z9" i="25" s="1"/>
  <c r="VM71" i="4"/>
  <c r="VM72" i="4"/>
  <c r="Z70" i="25" s="1"/>
  <c r="VM73" i="4"/>
  <c r="Z71" i="25" s="1"/>
  <c r="VM74" i="4"/>
  <c r="Z72" i="25" s="1"/>
  <c r="VM75" i="4"/>
  <c r="Z69" i="25" s="1"/>
  <c r="VM76" i="4"/>
  <c r="VM77" i="4"/>
  <c r="Z21" i="25" s="1"/>
  <c r="VM78" i="4"/>
  <c r="VM79" i="4"/>
  <c r="Z79" i="25" s="1"/>
  <c r="VM80" i="4"/>
  <c r="Z80" i="25" s="1"/>
  <c r="VM81" i="4"/>
  <c r="Z16" i="25" s="1"/>
  <c r="VM82" i="4"/>
  <c r="VM83" i="4"/>
  <c r="Z64" i="25" s="1"/>
  <c r="AR50" i="25" l="1"/>
  <c r="AR37" i="25"/>
  <c r="AR62" i="25"/>
  <c r="AR60" i="25"/>
  <c r="AR65" i="25"/>
  <c r="AR11" i="25"/>
  <c r="AR67" i="25"/>
  <c r="AR71" i="25"/>
  <c r="AR19" i="25"/>
  <c r="AR74" i="25"/>
  <c r="AR82" i="25"/>
  <c r="AR70" i="25"/>
  <c r="AR77" i="25"/>
  <c r="AR63" i="25"/>
  <c r="AR40" i="25"/>
  <c r="AR84" i="25"/>
  <c r="AR64" i="25"/>
  <c r="AR53" i="25"/>
  <c r="AR75" i="25"/>
  <c r="AR15" i="25"/>
  <c r="AR81" i="25"/>
  <c r="AR9" i="25"/>
  <c r="AR52" i="25"/>
  <c r="AR73" i="25"/>
  <c r="AR12" i="25"/>
  <c r="AR61" i="25"/>
  <c r="AR36" i="25"/>
  <c r="AR80" i="25"/>
  <c r="AR10" i="25"/>
  <c r="AR20" i="25"/>
  <c r="AR38" i="25"/>
  <c r="AR66" i="25"/>
  <c r="AR33" i="25"/>
  <c r="AR79" i="25"/>
  <c r="AR13" i="25"/>
  <c r="AR39" i="25"/>
  <c r="AR68" i="25"/>
  <c r="AR32" i="25"/>
  <c r="AR14" i="25"/>
  <c r="AR21" i="25"/>
  <c r="AR49" i="25"/>
  <c r="AR35" i="25"/>
  <c r="AR76" i="25"/>
  <c r="AR78" i="25"/>
  <c r="AR69" i="25"/>
  <c r="AR56" i="25"/>
  <c r="AR57" i="25"/>
  <c r="AR22" i="25"/>
  <c r="AR72" i="25"/>
  <c r="AR55" i="25"/>
  <c r="AR18" i="25"/>
  <c r="AR83" i="25"/>
  <c r="AR17" i="25"/>
  <c r="AR59" i="25"/>
  <c r="AL41" i="25"/>
  <c r="AR16" i="25"/>
  <c r="AR54" i="25"/>
  <c r="AR51" i="25"/>
  <c r="AR58" i="25"/>
  <c r="AR34" i="25"/>
  <c r="AL85" i="25"/>
  <c r="AL23" i="25"/>
  <c r="AF41" i="25"/>
  <c r="AF85" i="25"/>
  <c r="AF23" i="25"/>
  <c r="AR41" i="25" l="1"/>
  <c r="VL83" i="4"/>
  <c r="T64" i="25" s="1"/>
  <c r="VL80" i="4"/>
  <c r="T80" i="25" s="1"/>
  <c r="VL79" i="4"/>
  <c r="T79" i="25" s="1"/>
  <c r="VL75" i="4"/>
  <c r="T69" i="25" s="1"/>
  <c r="VL74" i="4"/>
  <c r="T72" i="25" s="1"/>
  <c r="VL73" i="4"/>
  <c r="T71" i="25" s="1"/>
  <c r="VL72" i="4"/>
  <c r="T70" i="25" s="1"/>
  <c r="VL69" i="4"/>
  <c r="T54" i="25" s="1"/>
  <c r="VL63" i="4"/>
  <c r="T56" i="25" s="1"/>
  <c r="VL62" i="4"/>
  <c r="T55" i="25" s="1"/>
  <c r="VL59" i="4"/>
  <c r="T53" i="25" s="1"/>
  <c r="VL58" i="4"/>
  <c r="T52" i="25" s="1"/>
  <c r="VL57" i="4"/>
  <c r="T51" i="25" s="1"/>
  <c r="VL54" i="4"/>
  <c r="T50" i="25" s="1"/>
  <c r="VL53" i="4"/>
  <c r="T49" i="25" s="1"/>
  <c r="VL52" i="4"/>
  <c r="T84" i="25" s="1"/>
  <c r="VL48" i="4"/>
  <c r="T77" i="25" s="1"/>
  <c r="VL47" i="4"/>
  <c r="T75" i="25" s="1"/>
  <c r="VL38" i="4"/>
  <c r="T83" i="25" s="1"/>
  <c r="VL33" i="4"/>
  <c r="T58" i="25" s="1"/>
  <c r="VL32" i="4"/>
  <c r="T66" i="25" s="1"/>
  <c r="VL31" i="4"/>
  <c r="T68" i="25" s="1"/>
  <c r="VL30" i="4"/>
  <c r="T62" i="25" s="1"/>
  <c r="VL29" i="4"/>
  <c r="T61" i="25" s="1"/>
  <c r="VL28" i="4"/>
  <c r="T67" i="25" s="1"/>
  <c r="VL27" i="4"/>
  <c r="T57" i="25" s="1"/>
  <c r="VL24" i="4"/>
  <c r="T63" i="25" s="1"/>
  <c r="VL18" i="4"/>
  <c r="T60" i="25" s="1"/>
  <c r="VL17" i="4"/>
  <c r="T76" i="25" s="1"/>
  <c r="VL16" i="4"/>
  <c r="T82" i="25" s="1"/>
  <c r="VL13" i="4"/>
  <c r="T74" i="25" s="1"/>
  <c r="VL12" i="4"/>
  <c r="T59" i="25" s="1"/>
  <c r="VL11" i="4"/>
  <c r="T81" i="25" s="1"/>
  <c r="VL10" i="4"/>
  <c r="T73" i="25" s="1"/>
  <c r="VL6" i="4"/>
  <c r="T65" i="25" s="1"/>
  <c r="VL5" i="4"/>
  <c r="T78" i="25" s="1"/>
  <c r="VK5" i="4"/>
  <c r="N78" i="25" s="1"/>
  <c r="VK6" i="4"/>
  <c r="N65" i="25" s="1"/>
  <c r="VK7" i="4"/>
  <c r="N32" i="25" s="1"/>
  <c r="VK8" i="4"/>
  <c r="N33" i="25" s="1"/>
  <c r="VK9" i="4"/>
  <c r="N34" i="25" s="1"/>
  <c r="VK10" i="4"/>
  <c r="N73" i="25" s="1"/>
  <c r="VK11" i="4"/>
  <c r="N81" i="25" s="1"/>
  <c r="VK12" i="4"/>
  <c r="N59" i="25" s="1"/>
  <c r="VK13" i="4"/>
  <c r="N74" i="25" s="1"/>
  <c r="VK14" i="4"/>
  <c r="VK15" i="4"/>
  <c r="N22" i="25" s="1"/>
  <c r="VK16" i="4"/>
  <c r="N82" i="25" s="1"/>
  <c r="VK17" i="4"/>
  <c r="N76" i="25" s="1"/>
  <c r="VK18" i="4"/>
  <c r="N60" i="25" s="1"/>
  <c r="VK19" i="4"/>
  <c r="VK20" i="4"/>
  <c r="VK21" i="4"/>
  <c r="VK22" i="4"/>
  <c r="VK23" i="4"/>
  <c r="VK24" i="4"/>
  <c r="N63" i="25" s="1"/>
  <c r="VK25" i="4"/>
  <c r="VK26" i="4"/>
  <c r="VK27" i="4"/>
  <c r="N57" i="25" s="1"/>
  <c r="VK28" i="4"/>
  <c r="N67" i="25" s="1"/>
  <c r="VK29" i="4"/>
  <c r="N61" i="25" s="1"/>
  <c r="VK30" i="4"/>
  <c r="N62" i="25" s="1"/>
  <c r="VK31" i="4"/>
  <c r="N68" i="25" s="1"/>
  <c r="VK32" i="4"/>
  <c r="N66" i="25" s="1"/>
  <c r="VK33" i="4"/>
  <c r="N58" i="25" s="1"/>
  <c r="VK34" i="4"/>
  <c r="VK35" i="4"/>
  <c r="N15" i="25" s="1"/>
  <c r="VK36" i="4"/>
  <c r="VK37" i="4"/>
  <c r="VK38" i="4"/>
  <c r="N83" i="25" s="1"/>
  <c r="VK39" i="4"/>
  <c r="VK40" i="4"/>
  <c r="N40" i="25" s="1"/>
  <c r="VK41" i="4"/>
  <c r="N35" i="25" s="1"/>
  <c r="VK42" i="4"/>
  <c r="N37" i="25" s="1"/>
  <c r="VK43" i="4"/>
  <c r="N39" i="25" s="1"/>
  <c r="VK44" i="4"/>
  <c r="N38" i="25" s="1"/>
  <c r="VK45" i="4"/>
  <c r="N36" i="25" s="1"/>
  <c r="VK46" i="4"/>
  <c r="VK47" i="4"/>
  <c r="N75" i="25" s="1"/>
  <c r="VK48" i="4"/>
  <c r="N77" i="25" s="1"/>
  <c r="VK49" i="4"/>
  <c r="N17" i="25" s="1"/>
  <c r="VK50" i="4"/>
  <c r="N18" i="25" s="1"/>
  <c r="VK51" i="4"/>
  <c r="VK52" i="4"/>
  <c r="N84" i="25" s="1"/>
  <c r="VK53" i="4"/>
  <c r="N49" i="25" s="1"/>
  <c r="VK54" i="4"/>
  <c r="N50" i="25" s="1"/>
  <c r="VK55" i="4"/>
  <c r="VK56" i="4"/>
  <c r="N20" i="25" s="1"/>
  <c r="VK57" i="4"/>
  <c r="N51" i="25" s="1"/>
  <c r="VK58" i="4"/>
  <c r="N52" i="25" s="1"/>
  <c r="VK59" i="4"/>
  <c r="N53" i="25" s="1"/>
  <c r="VK60" i="4"/>
  <c r="VK61" i="4"/>
  <c r="N19" i="25" s="1"/>
  <c r="VK62" i="4"/>
  <c r="N55" i="25" s="1"/>
  <c r="VK63" i="4"/>
  <c r="N56" i="25" s="1"/>
  <c r="VK64" i="4"/>
  <c r="N11" i="25" s="1"/>
  <c r="VK65" i="4"/>
  <c r="N12" i="25" s="1"/>
  <c r="VK66" i="4"/>
  <c r="N14" i="25" s="1"/>
  <c r="VK67" i="4"/>
  <c r="N13" i="25" s="1"/>
  <c r="VK68" i="4"/>
  <c r="N10" i="25" s="1"/>
  <c r="VK69" i="4"/>
  <c r="N54" i="25" s="1"/>
  <c r="VK70" i="4"/>
  <c r="N9" i="25" s="1"/>
  <c r="VK71" i="4"/>
  <c r="VK72" i="4"/>
  <c r="N70" i="25" s="1"/>
  <c r="VK73" i="4"/>
  <c r="N71" i="25" s="1"/>
  <c r="VK74" i="4"/>
  <c r="N72" i="25" s="1"/>
  <c r="VK75" i="4"/>
  <c r="N69" i="25" s="1"/>
  <c r="VK76" i="4"/>
  <c r="VK77" i="4"/>
  <c r="N21" i="25" s="1"/>
  <c r="VK78" i="4"/>
  <c r="VK79" i="4"/>
  <c r="N79" i="25" s="1"/>
  <c r="VK80" i="4"/>
  <c r="N80" i="25" s="1"/>
  <c r="VK81" i="4"/>
  <c r="N16" i="25" s="1"/>
  <c r="VK82" i="4"/>
  <c r="VK83" i="4"/>
  <c r="N64" i="25" s="1"/>
  <c r="VJ5" i="4"/>
  <c r="VJ6" i="4"/>
  <c r="VJ7" i="4"/>
  <c r="VJ8" i="4"/>
  <c r="VJ9" i="4"/>
  <c r="VJ10" i="4"/>
  <c r="VJ11" i="4"/>
  <c r="VJ12" i="4"/>
  <c r="VJ13" i="4"/>
  <c r="VJ14" i="4"/>
  <c r="VJ15" i="4"/>
  <c r="VJ16" i="4"/>
  <c r="VJ17" i="4"/>
  <c r="VJ18" i="4"/>
  <c r="VJ19" i="4"/>
  <c r="VJ20" i="4"/>
  <c r="VJ21" i="4"/>
  <c r="VJ22" i="4"/>
  <c r="VJ23" i="4"/>
  <c r="VJ24" i="4"/>
  <c r="VJ25" i="4"/>
  <c r="VJ26" i="4"/>
  <c r="VJ27" i="4"/>
  <c r="VJ28" i="4"/>
  <c r="VJ29" i="4"/>
  <c r="VJ30" i="4"/>
  <c r="VJ31" i="4"/>
  <c r="VJ32" i="4"/>
  <c r="VJ33" i="4"/>
  <c r="VJ34" i="4"/>
  <c r="VJ35" i="4"/>
  <c r="VJ36" i="4"/>
  <c r="VJ37" i="4"/>
  <c r="VJ38" i="4"/>
  <c r="VJ39" i="4"/>
  <c r="VJ40" i="4"/>
  <c r="VJ41" i="4"/>
  <c r="VJ42" i="4"/>
  <c r="VJ43" i="4"/>
  <c r="VJ44" i="4"/>
  <c r="VJ45" i="4"/>
  <c r="VJ46" i="4"/>
  <c r="VJ47" i="4"/>
  <c r="VJ48" i="4"/>
  <c r="VJ49" i="4"/>
  <c r="VJ50" i="4"/>
  <c r="VJ51" i="4"/>
  <c r="VJ52" i="4"/>
  <c r="VJ53" i="4"/>
  <c r="VJ54" i="4"/>
  <c r="VJ55" i="4"/>
  <c r="VJ56" i="4"/>
  <c r="VJ57" i="4"/>
  <c r="VJ58" i="4"/>
  <c r="VJ59" i="4"/>
  <c r="VJ60" i="4"/>
  <c r="VJ61" i="4"/>
  <c r="VJ62" i="4"/>
  <c r="VJ63" i="4"/>
  <c r="VJ64" i="4"/>
  <c r="VJ65" i="4"/>
  <c r="VJ66" i="4"/>
  <c r="VJ67" i="4"/>
  <c r="VJ68" i="4"/>
  <c r="VJ69" i="4"/>
  <c r="VJ70" i="4"/>
  <c r="VJ71" i="4"/>
  <c r="VJ72" i="4"/>
  <c r="VJ73" i="4"/>
  <c r="VJ74" i="4"/>
  <c r="VJ75" i="4"/>
  <c r="VJ76" i="4"/>
  <c r="VJ77" i="4"/>
  <c r="VJ78" i="4"/>
  <c r="VJ79" i="4"/>
  <c r="VJ80" i="4"/>
  <c r="VJ81" i="4"/>
  <c r="VJ82" i="4"/>
  <c r="VJ83" i="4"/>
  <c r="VH5" i="4"/>
  <c r="VH6" i="4"/>
  <c r="VH7" i="4"/>
  <c r="VH8" i="4"/>
  <c r="VH9" i="4"/>
  <c r="VH10" i="4"/>
  <c r="VH11" i="4"/>
  <c r="VH12" i="4"/>
  <c r="VH13" i="4"/>
  <c r="VH14" i="4"/>
  <c r="VH15" i="4"/>
  <c r="VH16" i="4"/>
  <c r="VH17" i="4"/>
  <c r="VH18" i="4"/>
  <c r="VH19" i="4"/>
  <c r="VH20" i="4"/>
  <c r="VH21" i="4"/>
  <c r="VH22" i="4"/>
  <c r="VH23" i="4"/>
  <c r="VH24" i="4"/>
  <c r="VH25" i="4"/>
  <c r="VH26" i="4"/>
  <c r="VH27" i="4"/>
  <c r="VH28" i="4"/>
  <c r="VH29" i="4"/>
  <c r="VH30" i="4"/>
  <c r="VH31" i="4"/>
  <c r="VH32" i="4"/>
  <c r="VH33" i="4"/>
  <c r="VH34" i="4"/>
  <c r="VH35" i="4"/>
  <c r="VH36" i="4"/>
  <c r="VH37" i="4"/>
  <c r="VH38" i="4"/>
  <c r="VH39" i="4"/>
  <c r="VH40" i="4"/>
  <c r="VH41" i="4"/>
  <c r="VH42" i="4"/>
  <c r="VH43" i="4"/>
  <c r="VH44" i="4"/>
  <c r="VH45" i="4"/>
  <c r="VH46" i="4"/>
  <c r="VH47" i="4"/>
  <c r="VH48" i="4"/>
  <c r="VH49" i="4"/>
  <c r="VH50" i="4"/>
  <c r="VH51" i="4"/>
  <c r="VH52" i="4"/>
  <c r="VH53" i="4"/>
  <c r="VH54" i="4"/>
  <c r="VH55" i="4"/>
  <c r="VH56" i="4"/>
  <c r="VH57" i="4"/>
  <c r="VH58" i="4"/>
  <c r="VH59" i="4"/>
  <c r="VH60" i="4"/>
  <c r="VH61" i="4"/>
  <c r="VH62" i="4"/>
  <c r="VH63" i="4"/>
  <c r="VH64" i="4"/>
  <c r="VH65" i="4"/>
  <c r="VH66" i="4"/>
  <c r="VH67" i="4"/>
  <c r="VH68" i="4"/>
  <c r="VH69" i="4"/>
  <c r="VH70" i="4"/>
  <c r="VH71" i="4"/>
  <c r="VH72" i="4"/>
  <c r="VH73" i="4"/>
  <c r="VH74" i="4"/>
  <c r="VH75" i="4"/>
  <c r="VH76" i="4"/>
  <c r="VH77" i="4"/>
  <c r="VH78" i="4"/>
  <c r="VH79" i="4"/>
  <c r="VH80" i="4"/>
  <c r="VH81" i="4"/>
  <c r="VH82" i="4"/>
  <c r="VH83" i="4"/>
  <c r="VG5" i="4"/>
  <c r="VG6" i="4"/>
  <c r="VG7" i="4"/>
  <c r="VG8" i="4"/>
  <c r="VG9" i="4"/>
  <c r="VG10" i="4"/>
  <c r="VG11" i="4"/>
  <c r="VG12" i="4"/>
  <c r="VG13" i="4"/>
  <c r="VG14" i="4"/>
  <c r="VG15" i="4"/>
  <c r="VG16" i="4"/>
  <c r="VG17" i="4"/>
  <c r="VG18" i="4"/>
  <c r="VG19" i="4"/>
  <c r="VG20" i="4"/>
  <c r="VG21" i="4"/>
  <c r="VG22" i="4"/>
  <c r="VG23" i="4"/>
  <c r="VG24" i="4"/>
  <c r="VG25" i="4"/>
  <c r="VG26" i="4"/>
  <c r="VG27" i="4"/>
  <c r="VG28" i="4"/>
  <c r="VG29" i="4"/>
  <c r="VG30" i="4"/>
  <c r="VG31" i="4"/>
  <c r="VG32" i="4"/>
  <c r="VG33" i="4"/>
  <c r="VG34" i="4"/>
  <c r="VG35" i="4"/>
  <c r="VG36" i="4"/>
  <c r="VG37" i="4"/>
  <c r="VG38" i="4"/>
  <c r="VG39" i="4"/>
  <c r="VG40" i="4"/>
  <c r="VG41" i="4"/>
  <c r="VG42" i="4"/>
  <c r="VG43" i="4"/>
  <c r="VG44" i="4"/>
  <c r="VG45" i="4"/>
  <c r="VG46" i="4"/>
  <c r="VG47" i="4"/>
  <c r="VG48" i="4"/>
  <c r="VG49" i="4"/>
  <c r="VG50" i="4"/>
  <c r="VG51" i="4"/>
  <c r="VG52" i="4"/>
  <c r="VG53" i="4"/>
  <c r="VG54" i="4"/>
  <c r="VG55" i="4"/>
  <c r="VG56" i="4"/>
  <c r="VG57" i="4"/>
  <c r="VG58" i="4"/>
  <c r="VG59" i="4"/>
  <c r="VG60" i="4"/>
  <c r="VG61" i="4"/>
  <c r="VG62" i="4"/>
  <c r="VG63" i="4"/>
  <c r="VG64" i="4"/>
  <c r="VG65" i="4"/>
  <c r="VG66" i="4"/>
  <c r="VG67" i="4"/>
  <c r="VG68" i="4"/>
  <c r="VG69" i="4"/>
  <c r="VG70" i="4"/>
  <c r="VG71" i="4"/>
  <c r="VG72" i="4"/>
  <c r="VG73" i="4"/>
  <c r="VG74" i="4"/>
  <c r="VG75" i="4"/>
  <c r="VG76" i="4"/>
  <c r="VG77" i="4"/>
  <c r="VG78" i="4"/>
  <c r="VG79" i="4"/>
  <c r="VG80" i="4"/>
  <c r="VG81" i="4"/>
  <c r="VG82" i="4"/>
  <c r="VG83" i="4"/>
  <c r="VD5" i="4"/>
  <c r="VD6" i="4"/>
  <c r="VD7" i="4"/>
  <c r="O30" i="21" s="1"/>
  <c r="VD8" i="4"/>
  <c r="VD9" i="4"/>
  <c r="VD10" i="4"/>
  <c r="VD11" i="4"/>
  <c r="VD12" i="4"/>
  <c r="VD13" i="4"/>
  <c r="VD14" i="4"/>
  <c r="VD15" i="4"/>
  <c r="VD16" i="4"/>
  <c r="VD17" i="4"/>
  <c r="VD18" i="4"/>
  <c r="VD19" i="4"/>
  <c r="VD20" i="4"/>
  <c r="VD21" i="4"/>
  <c r="VD22" i="4"/>
  <c r="VD23" i="4"/>
  <c r="VD24" i="4"/>
  <c r="VD25" i="4"/>
  <c r="VD26" i="4"/>
  <c r="VD27" i="4"/>
  <c r="VD28" i="4"/>
  <c r="VD29" i="4"/>
  <c r="VD30" i="4"/>
  <c r="VD31" i="4"/>
  <c r="VD32" i="4"/>
  <c r="VD33" i="4"/>
  <c r="VD34" i="4"/>
  <c r="VD35" i="4"/>
  <c r="VD36" i="4"/>
  <c r="VD37" i="4"/>
  <c r="VD38" i="4"/>
  <c r="VD39" i="4"/>
  <c r="VD40" i="4"/>
  <c r="VD41" i="4"/>
  <c r="VD42" i="4"/>
  <c r="VD43" i="4"/>
  <c r="VD44" i="4"/>
  <c r="VD45" i="4"/>
  <c r="VD46" i="4"/>
  <c r="VD47" i="4"/>
  <c r="VD48" i="4"/>
  <c r="VD49" i="4"/>
  <c r="VD50" i="4"/>
  <c r="VD51" i="4"/>
  <c r="VD52" i="4"/>
  <c r="VD53" i="4"/>
  <c r="VD54" i="4"/>
  <c r="VD55" i="4"/>
  <c r="VD56" i="4"/>
  <c r="VD57" i="4"/>
  <c r="VD58" i="4"/>
  <c r="VD59" i="4"/>
  <c r="VD60" i="4"/>
  <c r="VD61" i="4"/>
  <c r="VD62" i="4"/>
  <c r="VD63" i="4"/>
  <c r="VD64" i="4"/>
  <c r="VD65" i="4"/>
  <c r="VD66" i="4"/>
  <c r="VD67" i="4"/>
  <c r="VD68" i="4"/>
  <c r="VD69" i="4"/>
  <c r="VD70" i="4"/>
  <c r="O9" i="21" s="1"/>
  <c r="VD71" i="4"/>
  <c r="VD72" i="4"/>
  <c r="VD73" i="4"/>
  <c r="VD74" i="4"/>
  <c r="VD75" i="4"/>
  <c r="VD76" i="4"/>
  <c r="VD77" i="4"/>
  <c r="VD78" i="4"/>
  <c r="VD79" i="4"/>
  <c r="VD80" i="4"/>
  <c r="VD81" i="4"/>
  <c r="VD82" i="4"/>
  <c r="VD83" i="4"/>
  <c r="VL7" i="4"/>
  <c r="T32" i="25" s="1"/>
  <c r="VL8" i="4"/>
  <c r="T33" i="25" s="1"/>
  <c r="VL9" i="4"/>
  <c r="T34" i="25" s="1"/>
  <c r="VL14" i="4"/>
  <c r="VL15" i="4"/>
  <c r="T22" i="25" s="1"/>
  <c r="VL19" i="4"/>
  <c r="VL20" i="4"/>
  <c r="VL21" i="4"/>
  <c r="VL22" i="4"/>
  <c r="VL23" i="4"/>
  <c r="VL25" i="4"/>
  <c r="VL26" i="4"/>
  <c r="VL34" i="4"/>
  <c r="VL35" i="4"/>
  <c r="T15" i="25" s="1"/>
  <c r="VL36" i="4"/>
  <c r="VL37" i="4"/>
  <c r="VL39" i="4"/>
  <c r="VL40" i="4"/>
  <c r="T40" i="25" s="1"/>
  <c r="VL41" i="4"/>
  <c r="T35" i="25" s="1"/>
  <c r="VL42" i="4"/>
  <c r="T37" i="25" s="1"/>
  <c r="VL43" i="4"/>
  <c r="T39" i="25" s="1"/>
  <c r="VL44" i="4"/>
  <c r="T38" i="25" s="1"/>
  <c r="VL45" i="4"/>
  <c r="T36" i="25" s="1"/>
  <c r="VL46" i="4"/>
  <c r="VL49" i="4"/>
  <c r="T17" i="25" s="1"/>
  <c r="VL50" i="4"/>
  <c r="T18" i="25" s="1"/>
  <c r="VL51" i="4"/>
  <c r="VL55" i="4"/>
  <c r="VL56" i="4"/>
  <c r="T20" i="25" s="1"/>
  <c r="VL60" i="4"/>
  <c r="VL61" i="4"/>
  <c r="T19" i="25" s="1"/>
  <c r="VL64" i="4"/>
  <c r="T11" i="25" s="1"/>
  <c r="VL65" i="4"/>
  <c r="T12" i="25" s="1"/>
  <c r="VL66" i="4"/>
  <c r="T14" i="25" s="1"/>
  <c r="VL67" i="4"/>
  <c r="T13" i="25" s="1"/>
  <c r="VL68" i="4"/>
  <c r="T10" i="25" s="1"/>
  <c r="VL70" i="4"/>
  <c r="T9" i="25" s="1"/>
  <c r="VL71" i="4"/>
  <c r="VL76" i="4"/>
  <c r="VL77" i="4"/>
  <c r="T21" i="25" s="1"/>
  <c r="VL78" i="4"/>
  <c r="VL81" i="4"/>
  <c r="T16" i="25" s="1"/>
  <c r="VL82" i="4"/>
  <c r="VK1" i="4"/>
  <c r="VL1" i="4"/>
  <c r="VM1" i="4"/>
  <c r="VN1" i="4"/>
  <c r="VO1" i="4"/>
  <c r="VP1" i="4"/>
  <c r="VQ1" i="4"/>
  <c r="VS1" i="4"/>
  <c r="AX13" i="25" l="1"/>
  <c r="AX39" i="25"/>
  <c r="AX19" i="25"/>
  <c r="AX36" i="25"/>
  <c r="AX34" i="25"/>
  <c r="AX14" i="25"/>
  <c r="AX37" i="25"/>
  <c r="AX12" i="25"/>
  <c r="AX11" i="25"/>
  <c r="AX54" i="25"/>
  <c r="AX80" i="25"/>
  <c r="AX10" i="25"/>
  <c r="AX20" i="25"/>
  <c r="AX38" i="25"/>
  <c r="AX66" i="25"/>
  <c r="AX33" i="25"/>
  <c r="AX65" i="25"/>
  <c r="AX21" i="25"/>
  <c r="AX49" i="25"/>
  <c r="AX35" i="25"/>
  <c r="AX61" i="25"/>
  <c r="AX76" i="25"/>
  <c r="AX78" i="25"/>
  <c r="AX84" i="25"/>
  <c r="AX40" i="25"/>
  <c r="AX67" i="25"/>
  <c r="AX82" i="25"/>
  <c r="AX51" i="25"/>
  <c r="AX32" i="25"/>
  <c r="AX50" i="25"/>
  <c r="AX69" i="25"/>
  <c r="AX56" i="25"/>
  <c r="AX57" i="25"/>
  <c r="AX22" i="25"/>
  <c r="AX16" i="25"/>
  <c r="AX79" i="25"/>
  <c r="AX72" i="25"/>
  <c r="AX55" i="25"/>
  <c r="AX18" i="25"/>
  <c r="AX83" i="25"/>
  <c r="AX68" i="25"/>
  <c r="AX60" i="25"/>
  <c r="AX71" i="25"/>
  <c r="AX17" i="25"/>
  <c r="AX74" i="25"/>
  <c r="AX58" i="25"/>
  <c r="T85" i="25"/>
  <c r="AX70" i="25"/>
  <c r="AX77" i="25"/>
  <c r="AX63" i="25"/>
  <c r="AX59" i="25"/>
  <c r="AX62" i="25"/>
  <c r="AX15" i="25"/>
  <c r="T41" i="25"/>
  <c r="AX64" i="25"/>
  <c r="AX53" i="25"/>
  <c r="AX75" i="25"/>
  <c r="AX81" i="25"/>
  <c r="AX9" i="25"/>
  <c r="AX52" i="25"/>
  <c r="AX73" i="25"/>
  <c r="T23" i="25"/>
  <c r="I74" i="27"/>
  <c r="Z74" i="27"/>
  <c r="Z56" i="27"/>
  <c r="Z53" i="27"/>
  <c r="I53" i="27"/>
  <c r="I56" i="27"/>
  <c r="AH54" i="16" l="1"/>
  <c r="AH57" i="16"/>
  <c r="AE57" i="16"/>
  <c r="AE54" i="16"/>
  <c r="AB54" i="16"/>
  <c r="AB57" i="16"/>
  <c r="Y57" i="16"/>
  <c r="Y54" i="16"/>
  <c r="V54" i="16"/>
  <c r="V57" i="16"/>
  <c r="S57" i="16"/>
  <c r="S54" i="16"/>
  <c r="P54" i="16"/>
  <c r="P57" i="16"/>
  <c r="M57" i="16"/>
  <c r="M54" i="16"/>
  <c r="J54" i="16"/>
  <c r="J57" i="16"/>
  <c r="AH77" i="16"/>
  <c r="AE77" i="16"/>
  <c r="AB77" i="16"/>
  <c r="Y77" i="16"/>
  <c r="V77" i="16"/>
  <c r="S77" i="16"/>
  <c r="P77" i="16"/>
  <c r="M77" i="16"/>
  <c r="J77" i="16"/>
  <c r="I56" i="17"/>
  <c r="I53" i="17"/>
  <c r="I50" i="17"/>
  <c r="I74" i="17"/>
  <c r="W74" i="17"/>
  <c r="W73" i="17"/>
  <c r="AK57" i="16" l="1"/>
  <c r="AK54" i="16"/>
  <c r="AK77" i="16"/>
  <c r="I46" i="25" l="1"/>
  <c r="A2" i="30" l="1"/>
  <c r="R2" i="30"/>
  <c r="AD10" i="30" s="1" a="1"/>
  <c r="AD10" i="30" s="1"/>
  <c r="VB5" i="4" a="1"/>
  <c r="VB5" i="4" s="1"/>
  <c r="VB6" i="4" a="1"/>
  <c r="VB6" i="4" s="1"/>
  <c r="VB7" i="4" a="1"/>
  <c r="VB7" i="4" s="1"/>
  <c r="VB8" i="4" a="1"/>
  <c r="VB8" i="4" s="1"/>
  <c r="VB9" i="4" a="1"/>
  <c r="VB9" i="4" s="1"/>
  <c r="VB10" i="4" a="1"/>
  <c r="VB10" i="4" s="1"/>
  <c r="VB11" i="4" a="1"/>
  <c r="VB11" i="4" s="1"/>
  <c r="VB12" i="4" a="1"/>
  <c r="VB12" i="4" s="1"/>
  <c r="VB13" i="4" a="1"/>
  <c r="VB13" i="4" s="1"/>
  <c r="VB14" i="4" a="1"/>
  <c r="VB14" i="4" s="1"/>
  <c r="VB15" i="4" a="1"/>
  <c r="VB15" i="4" s="1"/>
  <c r="VB16" i="4" a="1"/>
  <c r="VB16" i="4" s="1"/>
  <c r="VB17" i="4" a="1"/>
  <c r="VB17" i="4" s="1"/>
  <c r="VB18" i="4" a="1"/>
  <c r="VB18" i="4" s="1"/>
  <c r="VB19" i="4" a="1"/>
  <c r="VB19" i="4" s="1"/>
  <c r="VB20" i="4" a="1"/>
  <c r="VB20" i="4" s="1"/>
  <c r="VB21" i="4" a="1"/>
  <c r="VB21" i="4" s="1"/>
  <c r="VB22" i="4" a="1"/>
  <c r="VB22" i="4" s="1"/>
  <c r="VB23" i="4" a="1"/>
  <c r="VB23" i="4" s="1"/>
  <c r="VB24" i="4" a="1"/>
  <c r="VB24" i="4" s="1"/>
  <c r="VB25" i="4" a="1"/>
  <c r="VB25" i="4" s="1"/>
  <c r="VB26" i="4" a="1"/>
  <c r="VB26" i="4" s="1"/>
  <c r="VB27" i="4" a="1"/>
  <c r="VB27" i="4" s="1"/>
  <c r="VB28" i="4" a="1"/>
  <c r="VB28" i="4" s="1"/>
  <c r="VB29" i="4" a="1"/>
  <c r="VB29" i="4" s="1"/>
  <c r="VB30" i="4" a="1"/>
  <c r="VB30" i="4" s="1"/>
  <c r="VB31" i="4" a="1"/>
  <c r="VB31" i="4" s="1"/>
  <c r="VB32" i="4" a="1"/>
  <c r="VB32" i="4" s="1"/>
  <c r="VB33" i="4" a="1"/>
  <c r="VB33" i="4" s="1"/>
  <c r="VB34" i="4" a="1"/>
  <c r="VB34" i="4" s="1"/>
  <c r="VB35" i="4" a="1"/>
  <c r="VB35" i="4" s="1"/>
  <c r="VB36" i="4" a="1"/>
  <c r="VB36" i="4" s="1"/>
  <c r="VB37" i="4" a="1"/>
  <c r="VB37" i="4" s="1"/>
  <c r="VB38" i="4" a="1"/>
  <c r="VB38" i="4" s="1"/>
  <c r="VB39" i="4" a="1"/>
  <c r="VB39" i="4" s="1"/>
  <c r="VB40" i="4" a="1"/>
  <c r="VB40" i="4" s="1"/>
  <c r="VB41" i="4" a="1"/>
  <c r="VB41" i="4" s="1"/>
  <c r="VB42" i="4" a="1"/>
  <c r="VB42" i="4" s="1"/>
  <c r="VB43" i="4" a="1"/>
  <c r="VB43" i="4" s="1"/>
  <c r="VB44" i="4" a="1"/>
  <c r="VB44" i="4" s="1"/>
  <c r="VB45" i="4" a="1"/>
  <c r="VB45" i="4" s="1"/>
  <c r="VB46" i="4" a="1"/>
  <c r="VB46" i="4" s="1"/>
  <c r="VB47" i="4" a="1"/>
  <c r="VB47" i="4" s="1"/>
  <c r="VB48" i="4" a="1"/>
  <c r="VB48" i="4" s="1"/>
  <c r="VB49" i="4" a="1"/>
  <c r="VB49" i="4" s="1"/>
  <c r="VB50" i="4" a="1"/>
  <c r="VB50" i="4" s="1"/>
  <c r="VB51" i="4" a="1"/>
  <c r="VB51" i="4" s="1"/>
  <c r="VB52" i="4" a="1"/>
  <c r="VB52" i="4" s="1"/>
  <c r="VB53" i="4" a="1"/>
  <c r="VB53" i="4" s="1"/>
  <c r="VB54" i="4" a="1"/>
  <c r="VB54" i="4" s="1"/>
  <c r="VB55" i="4" a="1"/>
  <c r="VB55" i="4" s="1"/>
  <c r="VB56" i="4" a="1"/>
  <c r="VB56" i="4" s="1"/>
  <c r="VB57" i="4" a="1"/>
  <c r="VB57" i="4" s="1"/>
  <c r="VB58" i="4" a="1"/>
  <c r="VB58" i="4" s="1"/>
  <c r="VB59" i="4" a="1"/>
  <c r="VB59" i="4" s="1"/>
  <c r="VB60" i="4" a="1"/>
  <c r="VB60" i="4" s="1"/>
  <c r="VB61" i="4" a="1"/>
  <c r="VB61" i="4" s="1"/>
  <c r="VB62" i="4" a="1"/>
  <c r="VB62" i="4" s="1"/>
  <c r="VB63" i="4" a="1"/>
  <c r="VB63" i="4" s="1"/>
  <c r="VB64" i="4" a="1"/>
  <c r="VB64" i="4" s="1"/>
  <c r="VB65" i="4" a="1"/>
  <c r="VB65" i="4" s="1"/>
  <c r="VB66" i="4" a="1"/>
  <c r="VB66" i="4" s="1"/>
  <c r="VB67" i="4" a="1"/>
  <c r="VB67" i="4" s="1"/>
  <c r="VB68" i="4" a="1"/>
  <c r="VB68" i="4" s="1"/>
  <c r="VB69" i="4" a="1"/>
  <c r="VB69" i="4" s="1"/>
  <c r="VB70" i="4" a="1"/>
  <c r="VB70" i="4" s="1"/>
  <c r="VB71" i="4" a="1"/>
  <c r="VB71" i="4" s="1"/>
  <c r="VB72" i="4" a="1"/>
  <c r="VB72" i="4" s="1"/>
  <c r="VB73" i="4" a="1"/>
  <c r="VB73" i="4" s="1"/>
  <c r="VB74" i="4" a="1"/>
  <c r="VB74" i="4" s="1"/>
  <c r="VB75" i="4" a="1"/>
  <c r="VB75" i="4" s="1"/>
  <c r="VB76" i="4" a="1"/>
  <c r="VB76" i="4" s="1"/>
  <c r="VB77" i="4" a="1"/>
  <c r="VB77" i="4" s="1"/>
  <c r="VB78" i="4" a="1"/>
  <c r="VB78" i="4" s="1"/>
  <c r="VB79" i="4" a="1"/>
  <c r="VB79" i="4" s="1"/>
  <c r="VB80" i="4" a="1"/>
  <c r="VB80" i="4" s="1"/>
  <c r="VB81" i="4" a="1"/>
  <c r="VB81" i="4" s="1"/>
  <c r="VB82" i="4" a="1"/>
  <c r="VB82" i="4" s="1"/>
  <c r="VB83" i="4" a="1"/>
  <c r="VB83" i="4" s="1"/>
  <c r="AH2" i="15"/>
  <c r="AH4" i="15"/>
  <c r="AH5" i="15"/>
  <c r="AH6" i="15"/>
  <c r="AH7" i="15"/>
  <c r="AH8" i="15"/>
  <c r="AH9" i="15"/>
  <c r="AH10" i="15"/>
  <c r="AH11" i="15"/>
  <c r="AH12" i="15"/>
  <c r="AH13" i="15"/>
  <c r="AH14" i="15"/>
  <c r="AH15" i="15"/>
  <c r="AH16" i="15"/>
  <c r="AH17" i="15"/>
  <c r="AH18" i="15"/>
  <c r="AH19" i="15"/>
  <c r="AH20" i="15"/>
  <c r="AH21" i="15"/>
  <c r="AH22" i="15"/>
  <c r="AH23" i="15"/>
  <c r="AH24" i="15"/>
  <c r="AH25" i="15"/>
  <c r="AH3" i="15"/>
  <c r="AH26" i="15"/>
  <c r="AH27" i="15"/>
  <c r="AH28" i="15"/>
  <c r="AH29" i="15"/>
  <c r="AH30" i="15"/>
  <c r="AH31" i="15"/>
  <c r="AH32" i="15"/>
  <c r="AH33" i="15"/>
  <c r="AH34" i="15"/>
  <c r="AH35" i="15"/>
  <c r="AH36" i="15"/>
  <c r="AH37" i="15"/>
  <c r="AH38" i="15"/>
  <c r="AH39" i="15"/>
  <c r="AH40" i="15"/>
  <c r="AH41" i="15"/>
  <c r="AH42" i="15"/>
  <c r="AH43" i="15"/>
  <c r="AH44" i="15"/>
  <c r="AH45" i="15"/>
  <c r="AH46" i="15"/>
  <c r="AH47" i="15"/>
  <c r="AH48" i="15"/>
  <c r="AH49" i="15"/>
  <c r="AH50" i="15"/>
  <c r="AH51" i="15"/>
  <c r="AH52" i="15"/>
  <c r="AH53" i="15"/>
  <c r="AH54" i="15"/>
  <c r="AH55" i="15"/>
  <c r="AH56" i="15"/>
  <c r="AH57" i="15"/>
  <c r="AH58" i="15"/>
  <c r="AH59" i="15"/>
  <c r="AH60" i="15"/>
  <c r="AH61" i="15"/>
  <c r="AH62" i="15"/>
  <c r="AH63" i="15"/>
  <c r="AH64" i="15"/>
  <c r="AH65" i="15"/>
  <c r="AH66" i="15"/>
  <c r="AH67" i="15"/>
  <c r="AH68" i="15"/>
  <c r="AH69" i="15"/>
  <c r="AH70" i="15"/>
  <c r="AH71" i="15"/>
  <c r="AH72" i="15"/>
  <c r="AH73" i="15"/>
  <c r="AH74" i="15"/>
  <c r="AH75" i="15"/>
  <c r="AH76" i="15"/>
  <c r="AH77" i="15"/>
  <c r="AH78" i="15"/>
  <c r="AH79" i="15"/>
  <c r="AH80" i="15"/>
  <c r="AD2" i="15"/>
  <c r="AD4" i="15"/>
  <c r="AD5" i="15"/>
  <c r="AD6" i="15"/>
  <c r="AD7" i="15"/>
  <c r="AD8" i="15"/>
  <c r="AD9" i="15"/>
  <c r="AD10" i="15"/>
  <c r="AD11" i="15"/>
  <c r="AD12" i="15"/>
  <c r="AD13" i="15"/>
  <c r="AD14" i="15"/>
  <c r="AD15" i="15"/>
  <c r="AD16" i="15"/>
  <c r="AD17" i="15"/>
  <c r="AD18" i="15"/>
  <c r="AD19" i="15"/>
  <c r="AD20" i="15"/>
  <c r="AD21" i="15"/>
  <c r="AD22" i="15"/>
  <c r="AD23" i="15"/>
  <c r="AD24" i="15"/>
  <c r="AD25" i="15"/>
  <c r="AD3" i="15"/>
  <c r="AD26" i="15"/>
  <c r="AD27" i="15"/>
  <c r="AD28" i="15"/>
  <c r="AD29" i="15"/>
  <c r="AD30" i="15"/>
  <c r="AD31" i="15"/>
  <c r="AD32" i="15"/>
  <c r="AD33" i="15"/>
  <c r="AD34" i="15"/>
  <c r="AD35" i="15"/>
  <c r="AD36" i="15"/>
  <c r="AD37" i="15"/>
  <c r="AD38" i="15"/>
  <c r="AD39" i="15"/>
  <c r="AD40" i="15"/>
  <c r="AD41" i="15"/>
  <c r="AD42" i="15"/>
  <c r="AD43" i="15"/>
  <c r="AD44" i="15"/>
  <c r="AD45" i="15"/>
  <c r="AD46" i="15"/>
  <c r="AD47" i="15"/>
  <c r="AD48" i="15"/>
  <c r="AD49" i="15"/>
  <c r="AD50" i="15"/>
  <c r="AD51" i="15"/>
  <c r="AD52" i="15"/>
  <c r="AD53" i="15"/>
  <c r="AD54" i="15"/>
  <c r="AD55" i="15"/>
  <c r="AD56" i="15"/>
  <c r="AD57" i="15"/>
  <c r="AD58" i="15"/>
  <c r="AD59" i="15"/>
  <c r="AD60" i="15"/>
  <c r="AD61" i="15"/>
  <c r="AD62" i="15"/>
  <c r="AD63" i="15"/>
  <c r="AD64" i="15"/>
  <c r="AD65" i="15"/>
  <c r="AD66" i="15"/>
  <c r="AD67" i="15"/>
  <c r="AD68" i="15"/>
  <c r="AD69" i="15"/>
  <c r="AD70" i="15"/>
  <c r="AD71" i="15"/>
  <c r="AD72" i="15"/>
  <c r="AD73" i="15"/>
  <c r="AD74" i="15"/>
  <c r="AD75" i="15"/>
  <c r="AD76" i="15"/>
  <c r="AD77" i="15"/>
  <c r="AD78" i="15"/>
  <c r="AD79" i="15"/>
  <c r="AD80" i="15"/>
  <c r="Y2" i="15"/>
  <c r="Y4" i="15"/>
  <c r="Y5" i="15"/>
  <c r="Y6" i="15"/>
  <c r="Y7" i="15"/>
  <c r="Y8" i="15"/>
  <c r="Y9" i="15"/>
  <c r="Y10" i="15"/>
  <c r="Y11" i="15"/>
  <c r="Y12" i="15"/>
  <c r="Y13" i="15"/>
  <c r="Y14" i="15"/>
  <c r="Y15" i="15"/>
  <c r="Y16" i="15"/>
  <c r="Y17" i="15"/>
  <c r="Y18" i="15"/>
  <c r="Y19" i="15"/>
  <c r="Y20" i="15"/>
  <c r="Y21" i="15"/>
  <c r="Y22" i="15"/>
  <c r="Y23" i="15"/>
  <c r="Y24" i="15"/>
  <c r="Y25" i="15"/>
  <c r="Y3" i="15"/>
  <c r="Y26" i="15"/>
  <c r="Y27" i="15"/>
  <c r="Y28" i="15"/>
  <c r="Y29" i="15"/>
  <c r="Y30" i="15"/>
  <c r="Y31" i="15"/>
  <c r="Y32" i="15"/>
  <c r="Y33" i="15"/>
  <c r="Y34" i="15"/>
  <c r="Y35" i="15"/>
  <c r="Y36" i="15"/>
  <c r="Y37" i="15"/>
  <c r="Y38" i="15"/>
  <c r="Y39" i="15"/>
  <c r="Y40" i="15"/>
  <c r="Y41" i="15"/>
  <c r="Y42" i="15"/>
  <c r="Y43" i="15"/>
  <c r="Y44" i="15"/>
  <c r="Y45" i="15"/>
  <c r="Y46" i="15"/>
  <c r="Y47" i="15"/>
  <c r="Y48" i="15"/>
  <c r="Y49" i="15"/>
  <c r="Y50" i="15"/>
  <c r="Y51" i="15"/>
  <c r="Y52" i="15"/>
  <c r="Y53" i="15"/>
  <c r="Y54" i="15"/>
  <c r="Y55" i="15"/>
  <c r="Y56" i="15"/>
  <c r="Y57" i="15"/>
  <c r="Y58" i="15"/>
  <c r="Y59" i="15"/>
  <c r="Y60" i="15"/>
  <c r="Y61" i="15"/>
  <c r="Y62" i="15"/>
  <c r="Y63" i="15"/>
  <c r="Y64" i="15"/>
  <c r="Y65" i="15"/>
  <c r="Y66" i="15"/>
  <c r="Y67" i="15"/>
  <c r="Y68" i="15"/>
  <c r="Y69" i="15"/>
  <c r="Y70" i="15"/>
  <c r="Y71" i="15"/>
  <c r="Y72" i="15"/>
  <c r="Y73" i="15"/>
  <c r="Y74" i="15"/>
  <c r="Y75" i="15"/>
  <c r="Y76" i="15"/>
  <c r="Y77" i="15"/>
  <c r="Y78" i="15"/>
  <c r="Y79" i="15"/>
  <c r="Y80" i="15"/>
  <c r="J2" i="15"/>
  <c r="J4" i="15"/>
  <c r="J5" i="15"/>
  <c r="J6" i="15"/>
  <c r="J7" i="15"/>
  <c r="J8" i="15"/>
  <c r="J9" i="15"/>
  <c r="J10" i="15"/>
  <c r="J11" i="15"/>
  <c r="J12" i="15"/>
  <c r="J13" i="15"/>
  <c r="J14" i="15"/>
  <c r="J15" i="15"/>
  <c r="J16" i="15"/>
  <c r="J17" i="15"/>
  <c r="J18" i="15"/>
  <c r="J19" i="15"/>
  <c r="J20" i="15"/>
  <c r="J21" i="15"/>
  <c r="J22" i="15"/>
  <c r="J23" i="15"/>
  <c r="J24" i="15"/>
  <c r="J25" i="15"/>
  <c r="J3" i="15"/>
  <c r="J26" i="15"/>
  <c r="J27" i="15"/>
  <c r="J28" i="15"/>
  <c r="J29" i="15"/>
  <c r="J30" i="15"/>
  <c r="J31" i="15"/>
  <c r="J32" i="15"/>
  <c r="J33" i="15"/>
  <c r="J34" i="15"/>
  <c r="J35" i="15"/>
  <c r="J36" i="15"/>
  <c r="J37" i="15"/>
  <c r="J38" i="15"/>
  <c r="J39" i="15"/>
  <c r="J40" i="15"/>
  <c r="J41" i="15"/>
  <c r="J42" i="15"/>
  <c r="J43" i="15"/>
  <c r="J44" i="15"/>
  <c r="J45" i="15"/>
  <c r="J46" i="15"/>
  <c r="J47" i="15"/>
  <c r="J48" i="15"/>
  <c r="J49" i="15"/>
  <c r="J50" i="15"/>
  <c r="J51" i="15"/>
  <c r="J52" i="15"/>
  <c r="J53" i="15"/>
  <c r="J54" i="15"/>
  <c r="J55" i="15"/>
  <c r="J56" i="15"/>
  <c r="J57" i="15"/>
  <c r="J58" i="15"/>
  <c r="J59" i="15"/>
  <c r="J60" i="15"/>
  <c r="J61" i="15"/>
  <c r="J62" i="15"/>
  <c r="J63" i="15"/>
  <c r="J64" i="15"/>
  <c r="J65" i="15"/>
  <c r="J66" i="15"/>
  <c r="J67" i="15"/>
  <c r="J68" i="15"/>
  <c r="J69" i="15"/>
  <c r="J70" i="15"/>
  <c r="J71" i="15"/>
  <c r="J72" i="15"/>
  <c r="J73" i="15"/>
  <c r="J74" i="15"/>
  <c r="J75" i="15"/>
  <c r="J76" i="15"/>
  <c r="J77" i="15"/>
  <c r="J78" i="15"/>
  <c r="J79" i="15"/>
  <c r="J80" i="15"/>
  <c r="S2" i="15"/>
  <c r="S4" i="15"/>
  <c r="S5" i="15"/>
  <c r="S6" i="15"/>
  <c r="S7" i="15"/>
  <c r="S8" i="15"/>
  <c r="S9" i="15"/>
  <c r="S10" i="15"/>
  <c r="S11" i="15"/>
  <c r="S12" i="15"/>
  <c r="S13" i="15"/>
  <c r="S14" i="15"/>
  <c r="S15" i="15"/>
  <c r="S16" i="15"/>
  <c r="S17" i="15"/>
  <c r="S18" i="15"/>
  <c r="S19" i="15"/>
  <c r="S20" i="15"/>
  <c r="S21" i="15"/>
  <c r="S22" i="15"/>
  <c r="S23" i="15"/>
  <c r="S24" i="15"/>
  <c r="S25" i="15"/>
  <c r="S3" i="15"/>
  <c r="S26" i="15"/>
  <c r="S27" i="15"/>
  <c r="S28" i="15"/>
  <c r="S29" i="15"/>
  <c r="S30" i="15"/>
  <c r="S31" i="15"/>
  <c r="S32" i="15"/>
  <c r="S33" i="15"/>
  <c r="S34" i="15"/>
  <c r="S35" i="15"/>
  <c r="S36" i="15"/>
  <c r="S37" i="15"/>
  <c r="S38" i="15"/>
  <c r="S39" i="15"/>
  <c r="S40" i="15"/>
  <c r="S41" i="15"/>
  <c r="S42" i="15"/>
  <c r="S43" i="15"/>
  <c r="S44" i="15"/>
  <c r="S45" i="15"/>
  <c r="S46" i="15"/>
  <c r="S47" i="15"/>
  <c r="S48" i="15"/>
  <c r="S49" i="15"/>
  <c r="S50" i="15"/>
  <c r="S51" i="15"/>
  <c r="S52" i="15"/>
  <c r="S53" i="15"/>
  <c r="S54" i="15"/>
  <c r="S55" i="15"/>
  <c r="S56" i="15"/>
  <c r="S57" i="15"/>
  <c r="S58" i="15"/>
  <c r="S59" i="15"/>
  <c r="S60" i="15"/>
  <c r="S61" i="15"/>
  <c r="S62" i="15"/>
  <c r="S63" i="15"/>
  <c r="S64" i="15"/>
  <c r="S65" i="15"/>
  <c r="S66" i="15"/>
  <c r="S67" i="15"/>
  <c r="S68" i="15"/>
  <c r="S69" i="15"/>
  <c r="S70" i="15"/>
  <c r="S71" i="15"/>
  <c r="S72" i="15"/>
  <c r="S73" i="15"/>
  <c r="S74" i="15"/>
  <c r="S75" i="15"/>
  <c r="S76" i="15"/>
  <c r="S77" i="15"/>
  <c r="S78" i="15"/>
  <c r="S79" i="15"/>
  <c r="S80" i="15"/>
  <c r="O2" i="15"/>
  <c r="O4" i="15"/>
  <c r="O5" i="15"/>
  <c r="O6" i="15"/>
  <c r="O7" i="15"/>
  <c r="O8" i="15"/>
  <c r="O9" i="15"/>
  <c r="O10" i="15"/>
  <c r="O11" i="15"/>
  <c r="O12" i="15"/>
  <c r="O13" i="15"/>
  <c r="O14" i="15"/>
  <c r="O15" i="15"/>
  <c r="O16" i="15"/>
  <c r="O17" i="15"/>
  <c r="O18" i="15"/>
  <c r="O19" i="15"/>
  <c r="O20" i="15"/>
  <c r="O21" i="15"/>
  <c r="O22" i="15"/>
  <c r="O23" i="15"/>
  <c r="O24" i="15"/>
  <c r="O25" i="15"/>
  <c r="O3" i="15"/>
  <c r="O26" i="15"/>
  <c r="O27" i="15"/>
  <c r="O28" i="15"/>
  <c r="O29" i="15"/>
  <c r="O30" i="15"/>
  <c r="O31" i="15"/>
  <c r="O32" i="15"/>
  <c r="O33" i="15"/>
  <c r="O34" i="15"/>
  <c r="O35" i="15"/>
  <c r="O36" i="15"/>
  <c r="O37" i="15"/>
  <c r="O38" i="15"/>
  <c r="O39" i="15"/>
  <c r="O40" i="15"/>
  <c r="O41" i="15"/>
  <c r="O42" i="15"/>
  <c r="O43" i="15"/>
  <c r="O44" i="15"/>
  <c r="O45" i="15"/>
  <c r="O46" i="15"/>
  <c r="O47" i="15"/>
  <c r="O48" i="15"/>
  <c r="O49" i="15"/>
  <c r="O50" i="15"/>
  <c r="O51" i="15"/>
  <c r="O52" i="15"/>
  <c r="O53" i="15"/>
  <c r="O54" i="15"/>
  <c r="O55" i="15"/>
  <c r="O56" i="15"/>
  <c r="O57" i="15"/>
  <c r="O58" i="15"/>
  <c r="O59" i="15"/>
  <c r="O60" i="15"/>
  <c r="O61" i="15"/>
  <c r="O62" i="15"/>
  <c r="O63" i="15"/>
  <c r="O64" i="15"/>
  <c r="O65" i="15"/>
  <c r="O66" i="15"/>
  <c r="O67" i="15"/>
  <c r="O68" i="15"/>
  <c r="O69" i="15"/>
  <c r="O70" i="15"/>
  <c r="O71" i="15"/>
  <c r="O72" i="15"/>
  <c r="O73" i="15"/>
  <c r="O74" i="15"/>
  <c r="O75" i="15"/>
  <c r="O76" i="15"/>
  <c r="O77" i="15"/>
  <c r="O78" i="15"/>
  <c r="O79" i="15"/>
  <c r="O80" i="15"/>
  <c r="P2" i="29"/>
  <c r="W71" i="29" s="1"/>
  <c r="AK82" i="30"/>
  <c r="AK65" i="30"/>
  <c r="AK55" i="30"/>
  <c r="W74" i="30" l="1"/>
  <c r="I56" i="30"/>
  <c r="W48" i="30" s="1"/>
  <c r="I50" i="30"/>
  <c r="I53" i="30"/>
  <c r="I105" i="30"/>
  <c r="I74" i="30"/>
  <c r="I78" i="30"/>
  <c r="I10" i="30"/>
  <c r="W78" i="30"/>
  <c r="I76" i="30"/>
  <c r="W76" i="30"/>
  <c r="I11" i="30"/>
  <c r="I79" i="30"/>
  <c r="I12" i="30"/>
  <c r="W79" i="30"/>
  <c r="I41" i="30"/>
  <c r="I22" i="30"/>
  <c r="I63" i="30"/>
  <c r="I86" i="30"/>
  <c r="I40" i="30"/>
  <c r="I23" i="30"/>
  <c r="I64" i="30"/>
  <c r="W54" i="30" s="1"/>
  <c r="I87" i="30"/>
  <c r="I27" i="30"/>
  <c r="I72" i="30"/>
  <c r="I93" i="30"/>
  <c r="I28" i="30"/>
  <c r="W72" i="30"/>
  <c r="I94" i="30"/>
  <c r="I44" i="30"/>
  <c r="I29" i="30"/>
  <c r="I73" i="30"/>
  <c r="I100" i="30"/>
  <c r="R1" i="30"/>
  <c r="I34" i="30"/>
  <c r="W73" i="30"/>
  <c r="I101" i="30"/>
  <c r="W81" i="30" s="1"/>
  <c r="Z81" i="30" s="1"/>
  <c r="I25" i="30"/>
  <c r="I42" i="30"/>
  <c r="I71" i="30"/>
  <c r="I77" i="30"/>
  <c r="I88" i="30"/>
  <c r="I26" i="30"/>
  <c r="I43" i="30"/>
  <c r="W71" i="30"/>
  <c r="W77" i="30"/>
  <c r="I89" i="30"/>
  <c r="I13" i="30"/>
  <c r="I35" i="30"/>
  <c r="I59" i="30"/>
  <c r="I80" i="30"/>
  <c r="I102" i="30"/>
  <c r="I19" i="30"/>
  <c r="I36" i="30"/>
  <c r="I60" i="30"/>
  <c r="W80" i="30"/>
  <c r="I103" i="30"/>
  <c r="I20" i="30"/>
  <c r="L20" i="30" s="1"/>
  <c r="I37" i="30"/>
  <c r="I61" i="30"/>
  <c r="I75" i="30"/>
  <c r="I81" i="30"/>
  <c r="I104" i="30"/>
  <c r="I21" i="30"/>
  <c r="I38" i="30"/>
  <c r="I62" i="30"/>
  <c r="W75" i="30"/>
  <c r="I82" i="30"/>
  <c r="L23" i="30" l="1"/>
  <c r="L11" i="30"/>
  <c r="L13" i="30"/>
  <c r="L27" i="30"/>
  <c r="L37" i="30"/>
  <c r="L34" i="30"/>
  <c r="L43" i="30"/>
  <c r="L29" i="30"/>
  <c r="L36" i="30"/>
  <c r="L44" i="30"/>
  <c r="L10" i="30"/>
  <c r="L38" i="30"/>
  <c r="L19" i="30"/>
  <c r="L22" i="30"/>
  <c r="L21" i="30"/>
  <c r="L41" i="30"/>
  <c r="W47" i="30"/>
  <c r="L53" i="30"/>
  <c r="L26" i="30"/>
  <c r="L42" i="30"/>
  <c r="L28" i="30"/>
  <c r="L40" i="30"/>
  <c r="L25" i="30"/>
  <c r="L12" i="30"/>
  <c r="L35" i="30"/>
  <c r="I17" i="30" a="1"/>
  <c r="I17" i="30" s="1"/>
  <c r="L17" i="30" s="1"/>
  <c r="I32" i="30" a="1"/>
  <c r="I32" i="30" s="1"/>
  <c r="L32" i="30" s="1"/>
  <c r="Z76" i="30"/>
  <c r="Z79" i="30"/>
  <c r="L100" i="30"/>
  <c r="W50" i="30"/>
  <c r="L60" i="30"/>
  <c r="L89" i="30"/>
  <c r="L105" i="30"/>
  <c r="Z73" i="30"/>
  <c r="L73" i="30"/>
  <c r="W43" i="30"/>
  <c r="W49" i="30"/>
  <c r="L59" i="30"/>
  <c r="I65" i="30"/>
  <c r="L65" i="30" s="1"/>
  <c r="L88" i="30"/>
  <c r="W42" i="30"/>
  <c r="Z72" i="30"/>
  <c r="L72" i="30"/>
  <c r="Z71" i="30"/>
  <c r="L71" i="30"/>
  <c r="I83" i="30"/>
  <c r="L83" i="30" s="1"/>
  <c r="L63" i="30"/>
  <c r="W53" i="30"/>
  <c r="L81" i="30"/>
  <c r="I45" i="30"/>
  <c r="L45" i="30" s="1"/>
  <c r="L101" i="30"/>
  <c r="L104" i="30"/>
  <c r="W44" i="30"/>
  <c r="L82" i="30"/>
  <c r="L62" i="30"/>
  <c r="W52" i="30"/>
  <c r="L87" i="30"/>
  <c r="W41" i="30"/>
  <c r="I14" i="30"/>
  <c r="Z78" i="30"/>
  <c r="L78" i="30"/>
  <c r="L103" i="30"/>
  <c r="AE77" i="30" a="1"/>
  <c r="L94" i="30"/>
  <c r="L79" i="30"/>
  <c r="L64" i="30"/>
  <c r="L56" i="30"/>
  <c r="L86" i="30"/>
  <c r="I90" i="30"/>
  <c r="L90" i="30" s="1"/>
  <c r="L102" i="30"/>
  <c r="L50" i="30"/>
  <c r="W46" i="30"/>
  <c r="W12" i="30"/>
  <c r="Z74" i="30"/>
  <c r="L74" i="30"/>
  <c r="Z75" i="30"/>
  <c r="L75" i="30"/>
  <c r="Z80" i="30"/>
  <c r="L80" i="30"/>
  <c r="I95" i="30"/>
  <c r="L95" i="30" s="1"/>
  <c r="L93" i="30"/>
  <c r="L76" i="30"/>
  <c r="I30" i="30"/>
  <c r="L30" i="30" s="1"/>
  <c r="W33" i="30"/>
  <c r="W34" i="30"/>
  <c r="W51" i="30"/>
  <c r="L61" i="30"/>
  <c r="Z77" i="30"/>
  <c r="L77" i="30"/>
  <c r="L14" i="30" l="1"/>
  <c r="W35" i="30"/>
  <c r="W13" i="30"/>
  <c r="I47" i="30"/>
  <c r="L47" i="30" s="1"/>
  <c r="W45" i="30"/>
  <c r="Z47" i="30" s="1"/>
  <c r="AK79" i="30"/>
  <c r="AK81" i="30"/>
  <c r="AK78" i="30"/>
  <c r="AK80" i="30"/>
  <c r="AE77" i="30"/>
  <c r="AK77" i="30" s="1"/>
  <c r="I67" i="30"/>
  <c r="W10" i="30"/>
  <c r="AE50" i="30" l="1" a="1"/>
  <c r="AE50" i="30" s="1"/>
  <c r="AK50" i="30" s="1"/>
  <c r="Z52" i="30"/>
  <c r="Z51" i="30"/>
  <c r="Z48" i="30"/>
  <c r="W11" i="30"/>
  <c r="W14" i="30" s="1"/>
  <c r="Z13" i="30" s="1"/>
  <c r="Z49" i="30"/>
  <c r="I97" i="30"/>
  <c r="I106" i="30" s="1"/>
  <c r="L106" i="30" s="1"/>
  <c r="L67" i="30"/>
  <c r="L97" i="30" s="1"/>
  <c r="Z54" i="30"/>
  <c r="Z50" i="30"/>
  <c r="Z53" i="30"/>
  <c r="AK53" i="30" l="1"/>
  <c r="AK51" i="30"/>
  <c r="AK54" i="30"/>
  <c r="AK52" i="30"/>
  <c r="Z42" i="30"/>
  <c r="Z12" i="30"/>
  <c r="Z44" i="30"/>
  <c r="Z46" i="30"/>
  <c r="Z41" i="30"/>
  <c r="Z43" i="30"/>
  <c r="Z11" i="30"/>
  <c r="Z45" i="30"/>
  <c r="Z10" i="30"/>
  <c r="Z14" i="30" l="1"/>
  <c r="A2" i="29" l="1"/>
  <c r="I89" i="29"/>
  <c r="AK76" i="29"/>
  <c r="AK65" i="29"/>
  <c r="AK56" i="29"/>
  <c r="AK46" i="29"/>
  <c r="I85" i="25"/>
  <c r="I41" i="25"/>
  <c r="I23" i="25"/>
  <c r="J82" i="21"/>
  <c r="J39" i="21"/>
  <c r="J23" i="21"/>
  <c r="K50" i="25"/>
  <c r="K51" i="25"/>
  <c r="L49" i="21"/>
  <c r="L50" i="21"/>
  <c r="K54" i="25"/>
  <c r="K55" i="25"/>
  <c r="K57" i="25"/>
  <c r="K58" i="25"/>
  <c r="K61" i="25"/>
  <c r="K63" i="25"/>
  <c r="AO63" i="25" s="1"/>
  <c r="L62" i="21"/>
  <c r="K67" i="25"/>
  <c r="K69" i="25"/>
  <c r="AC6" i="27"/>
  <c r="K74" i="25"/>
  <c r="AO74" i="25" s="1"/>
  <c r="L74" i="21"/>
  <c r="R1" i="17"/>
  <c r="K79" i="25"/>
  <c r="K80" i="25"/>
  <c r="K81" i="25"/>
  <c r="K83" i="25"/>
  <c r="K84" i="25"/>
  <c r="K13" i="25"/>
  <c r="AO13" i="25" s="1"/>
  <c r="L31" i="21"/>
  <c r="K20" i="25"/>
  <c r="AO20" i="25" s="1"/>
  <c r="K34" i="25"/>
  <c r="AO34" i="25" s="1"/>
  <c r="K21" i="25"/>
  <c r="AO21" i="25" s="1"/>
  <c r="L33" i="21"/>
  <c r="K22" i="25"/>
  <c r="AO22" i="25" s="1"/>
  <c r="K38" i="25"/>
  <c r="AO38" i="25" s="1"/>
  <c r="K40" i="25"/>
  <c r="AO40" i="25" s="1"/>
  <c r="AC53" i="27" l="1"/>
  <c r="AC56" i="27"/>
  <c r="AC74" i="27"/>
  <c r="L74" i="17"/>
  <c r="L53" i="17"/>
  <c r="L56" i="17"/>
  <c r="L50" i="17"/>
  <c r="AI81" i="25"/>
  <c r="AO81" i="25"/>
  <c r="AI58" i="25"/>
  <c r="AO58" i="25"/>
  <c r="AI54" i="25"/>
  <c r="AO54" i="25"/>
  <c r="AI51" i="25"/>
  <c r="AO51" i="25"/>
  <c r="AI69" i="25"/>
  <c r="AO69" i="25"/>
  <c r="AI50" i="25"/>
  <c r="AO50" i="25"/>
  <c r="AI67" i="25"/>
  <c r="AO67" i="25"/>
  <c r="AI84" i="25"/>
  <c r="AO84" i="25"/>
  <c r="AI83" i="25"/>
  <c r="AO83" i="25"/>
  <c r="AI61" i="25"/>
  <c r="AO61" i="25"/>
  <c r="AI57" i="25"/>
  <c r="AO57" i="25"/>
  <c r="AI79" i="25"/>
  <c r="AO79" i="25"/>
  <c r="AI55" i="25"/>
  <c r="AO55" i="25"/>
  <c r="AI80" i="25"/>
  <c r="AO80" i="25"/>
  <c r="W74" i="25"/>
  <c r="AI74" i="25"/>
  <c r="W38" i="25"/>
  <c r="AU38" i="25"/>
  <c r="AI38" i="25"/>
  <c r="W22" i="25"/>
  <c r="AI22" i="25"/>
  <c r="W21" i="25"/>
  <c r="AI21" i="25"/>
  <c r="W13" i="25"/>
  <c r="AI13" i="25"/>
  <c r="W40" i="25"/>
  <c r="AU40" i="25"/>
  <c r="AI40" i="25"/>
  <c r="W34" i="25"/>
  <c r="AI34" i="25"/>
  <c r="AU34" i="25"/>
  <c r="W63" i="25"/>
  <c r="AI63" i="25"/>
  <c r="W20" i="25"/>
  <c r="AI20" i="25"/>
  <c r="W55" i="25"/>
  <c r="W54" i="25"/>
  <c r="W51" i="25"/>
  <c r="W79" i="25"/>
  <c r="W50" i="25"/>
  <c r="W80" i="25"/>
  <c r="W69" i="25"/>
  <c r="W67" i="25"/>
  <c r="W57" i="25"/>
  <c r="W84" i="25"/>
  <c r="W83" i="25"/>
  <c r="W61" i="25"/>
  <c r="W81" i="25"/>
  <c r="W58" i="25"/>
  <c r="Q63" i="25"/>
  <c r="N23" i="25"/>
  <c r="N85" i="25"/>
  <c r="Z23" i="25"/>
  <c r="Z85" i="25"/>
  <c r="AR85" i="25"/>
  <c r="N41" i="25"/>
  <c r="Q74" i="25"/>
  <c r="Z41" i="25"/>
  <c r="Q84" i="25"/>
  <c r="W76" i="29"/>
  <c r="I74" i="29"/>
  <c r="W77" i="29"/>
  <c r="W73" i="29"/>
  <c r="W74" i="29"/>
  <c r="W75" i="29"/>
  <c r="W72" i="29"/>
  <c r="W78" i="29"/>
  <c r="W79" i="29"/>
  <c r="W80" i="29"/>
  <c r="AD10" i="29" a="1"/>
  <c r="AD10" i="29" s="1"/>
  <c r="I43" i="29"/>
  <c r="I12" i="29"/>
  <c r="I13" i="29"/>
  <c r="I42" i="29"/>
  <c r="I20" i="29"/>
  <c r="I78" i="29"/>
  <c r="I80" i="29"/>
  <c r="I81" i="29"/>
  <c r="I50" i="29"/>
  <c r="I10" i="29"/>
  <c r="AU61" i="25"/>
  <c r="K35" i="25"/>
  <c r="L6" i="27"/>
  <c r="I75" i="29"/>
  <c r="I37" i="29"/>
  <c r="I76" i="29"/>
  <c r="I104" i="29"/>
  <c r="I34" i="29"/>
  <c r="I72" i="29"/>
  <c r="I101" i="29"/>
  <c r="I35" i="29"/>
  <c r="I103" i="29"/>
  <c r="I11" i="29"/>
  <c r="I38" i="29"/>
  <c r="I77" i="29"/>
  <c r="I21" i="29"/>
  <c r="I25" i="29"/>
  <c r="I59" i="29"/>
  <c r="I88" i="29"/>
  <c r="I56" i="29"/>
  <c r="I26" i="29"/>
  <c r="I61" i="29"/>
  <c r="I93" i="29"/>
  <c r="I53" i="29"/>
  <c r="I28" i="29"/>
  <c r="I62" i="29"/>
  <c r="I94" i="29"/>
  <c r="I87" i="29"/>
  <c r="I29" i="29"/>
  <c r="I71" i="29"/>
  <c r="I100" i="29"/>
  <c r="I19" i="29"/>
  <c r="I36" i="29"/>
  <c r="I60" i="29"/>
  <c r="I79" i="29"/>
  <c r="I102" i="29"/>
  <c r="I22" i="29"/>
  <c r="I40" i="29"/>
  <c r="I63" i="29"/>
  <c r="I82" i="29"/>
  <c r="I105" i="29"/>
  <c r="I23" i="29"/>
  <c r="I41" i="29"/>
  <c r="I64" i="29"/>
  <c r="I86" i="29"/>
  <c r="I27" i="29"/>
  <c r="I44" i="29"/>
  <c r="I73" i="29"/>
  <c r="L13" i="21"/>
  <c r="L71" i="21"/>
  <c r="L47" i="21"/>
  <c r="K52" i="25"/>
  <c r="AO52" i="25" s="1"/>
  <c r="K62" i="25"/>
  <c r="AO62" i="25" s="1"/>
  <c r="L59" i="21"/>
  <c r="Q50" i="25"/>
  <c r="L73" i="21"/>
  <c r="K76" i="25"/>
  <c r="AO76" i="25" s="1"/>
  <c r="Q13" i="25"/>
  <c r="K75" i="25"/>
  <c r="AO75" i="25" s="1"/>
  <c r="L72" i="21"/>
  <c r="L34" i="21"/>
  <c r="K36" i="25"/>
  <c r="AO36" i="25" s="1"/>
  <c r="K33" i="25"/>
  <c r="AO33" i="25" s="1"/>
  <c r="K77" i="25"/>
  <c r="AO77" i="25" s="1"/>
  <c r="L32" i="21"/>
  <c r="L69" i="21"/>
  <c r="L60" i="21"/>
  <c r="K56" i="25"/>
  <c r="L53" i="21"/>
  <c r="K71" i="25"/>
  <c r="AO71" i="25" s="1"/>
  <c r="L68" i="21"/>
  <c r="K70" i="25"/>
  <c r="AO70" i="25" s="1"/>
  <c r="L67" i="21"/>
  <c r="L57" i="21"/>
  <c r="K60" i="25"/>
  <c r="AO60" i="25" s="1"/>
  <c r="K37" i="25"/>
  <c r="AO37" i="25" s="1"/>
  <c r="L35" i="21"/>
  <c r="AU69" i="25"/>
  <c r="AU51" i="25"/>
  <c r="AC51" i="25"/>
  <c r="K39" i="25"/>
  <c r="AO39" i="25" s="1"/>
  <c r="L37" i="21"/>
  <c r="AC22" i="25"/>
  <c r="Q22" i="25"/>
  <c r="K68" i="25"/>
  <c r="AO68" i="25" s="1"/>
  <c r="L65" i="21"/>
  <c r="AC58" i="25"/>
  <c r="Q58" i="25"/>
  <c r="AU58" i="25"/>
  <c r="L48" i="21"/>
  <c r="K78" i="25"/>
  <c r="L75" i="21"/>
  <c r="AC57" i="25"/>
  <c r="Q57" i="25"/>
  <c r="AU57" i="25"/>
  <c r="K32" i="25"/>
  <c r="L30" i="21"/>
  <c r="AC21" i="25"/>
  <c r="Q21" i="25"/>
  <c r="AU83" i="25"/>
  <c r="AC83" i="25"/>
  <c r="K66" i="25"/>
  <c r="AO66" i="25" s="1"/>
  <c r="L63" i="21"/>
  <c r="K49" i="25"/>
  <c r="L46" i="21"/>
  <c r="AC63" i="25"/>
  <c r="AC69" i="25"/>
  <c r="AC81" i="25"/>
  <c r="AC84" i="25"/>
  <c r="K65" i="25"/>
  <c r="AO65" i="25" s="1"/>
  <c r="K53" i="25"/>
  <c r="K82" i="25"/>
  <c r="AO82" i="25" s="1"/>
  <c r="L79" i="21"/>
  <c r="L61" i="21"/>
  <c r="K64" i="25"/>
  <c r="AO64" i="25" s="1"/>
  <c r="AU55" i="25"/>
  <c r="AC55" i="25"/>
  <c r="Q55" i="25"/>
  <c r="Q38" i="25"/>
  <c r="AC38" i="25"/>
  <c r="Q34" i="25"/>
  <c r="AC34" i="25"/>
  <c r="Q81" i="25"/>
  <c r="AU81" i="25"/>
  <c r="AC20" i="25"/>
  <c r="Q20" i="25"/>
  <c r="K73" i="25"/>
  <c r="AO73" i="25" s="1"/>
  <c r="L70" i="21"/>
  <c r="AU54" i="25"/>
  <c r="Q54" i="25"/>
  <c r="AC54" i="25"/>
  <c r="Q40" i="25"/>
  <c r="AC40" i="25"/>
  <c r="Q51" i="25"/>
  <c r="L58" i="21"/>
  <c r="L81" i="21"/>
  <c r="AC50" i="25"/>
  <c r="L22" i="21"/>
  <c r="L80" i="21"/>
  <c r="L56" i="21"/>
  <c r="AC61" i="25"/>
  <c r="AC67" i="25"/>
  <c r="AC79" i="25"/>
  <c r="AU84" i="25"/>
  <c r="L21" i="21"/>
  <c r="L55" i="21"/>
  <c r="AU67" i="25"/>
  <c r="AU79" i="25"/>
  <c r="K72" i="25"/>
  <c r="AO72" i="25" s="1"/>
  <c r="AU63" i="25"/>
  <c r="L20" i="21"/>
  <c r="L38" i="21"/>
  <c r="L78" i="21"/>
  <c r="L66" i="21"/>
  <c r="L54" i="21"/>
  <c r="K59" i="25"/>
  <c r="AO59" i="25" s="1"/>
  <c r="AU50" i="25"/>
  <c r="Q61" i="25"/>
  <c r="Q67" i="25"/>
  <c r="Q79" i="25"/>
  <c r="L77" i="21"/>
  <c r="Q80" i="25"/>
  <c r="Q83" i="25"/>
  <c r="L36" i="21"/>
  <c r="L76" i="21"/>
  <c r="L64" i="21"/>
  <c r="L52" i="21"/>
  <c r="AC74" i="25"/>
  <c r="AC80" i="25"/>
  <c r="AC13" i="25"/>
  <c r="L51" i="21"/>
  <c r="AU74" i="25"/>
  <c r="AU80" i="25"/>
  <c r="Q69" i="25"/>
  <c r="W48" i="29" l="1"/>
  <c r="W49" i="29"/>
  <c r="W12" i="29"/>
  <c r="W81" i="29"/>
  <c r="Z81" i="29" s="1"/>
  <c r="W51" i="29"/>
  <c r="W54" i="29"/>
  <c r="W50" i="29"/>
  <c r="W53" i="29"/>
  <c r="W52" i="29"/>
  <c r="W44" i="29"/>
  <c r="W43" i="29"/>
  <c r="W47" i="29"/>
  <c r="W42" i="29"/>
  <c r="L74" i="27"/>
  <c r="L53" i="27"/>
  <c r="L56" i="27"/>
  <c r="I32" i="29" a="1"/>
  <c r="I32" i="29" s="1"/>
  <c r="I17" i="29" a="1"/>
  <c r="I17" i="29" s="1"/>
  <c r="AI78" i="25"/>
  <c r="AO78" i="25"/>
  <c r="AI53" i="25"/>
  <c r="AO53" i="25"/>
  <c r="AO35" i="25"/>
  <c r="AI56" i="25"/>
  <c r="AO56" i="25"/>
  <c r="AU32" i="25"/>
  <c r="AO32" i="25"/>
  <c r="AO49" i="25"/>
  <c r="AU49" i="25"/>
  <c r="BA49" i="25"/>
  <c r="W65" i="25"/>
  <c r="AI65" i="25"/>
  <c r="AC32" i="25"/>
  <c r="Q32" i="25"/>
  <c r="AI32" i="25"/>
  <c r="W32" i="25"/>
  <c r="BA32" i="25"/>
  <c r="W70" i="25"/>
  <c r="AI70" i="25"/>
  <c r="W52" i="25"/>
  <c r="AI52" i="25"/>
  <c r="AU33" i="25"/>
  <c r="AI33" i="25"/>
  <c r="AI35" i="25"/>
  <c r="AU35" i="25"/>
  <c r="W75" i="25"/>
  <c r="AI75" i="25"/>
  <c r="W82" i="25"/>
  <c r="AI82" i="25"/>
  <c r="W60" i="25"/>
  <c r="AI60" i="25"/>
  <c r="W77" i="25"/>
  <c r="AI77" i="25"/>
  <c r="W68" i="25"/>
  <c r="AI68" i="25"/>
  <c r="W39" i="25"/>
  <c r="AU39" i="25"/>
  <c r="AI39" i="25"/>
  <c r="W76" i="25"/>
  <c r="AI76" i="25"/>
  <c r="W59" i="25"/>
  <c r="AI59" i="25"/>
  <c r="W49" i="25"/>
  <c r="AI49" i="25"/>
  <c r="AC49" i="25"/>
  <c r="Q49" i="25"/>
  <c r="W37" i="25"/>
  <c r="AU37" i="25"/>
  <c r="AI37" i="25"/>
  <c r="W73" i="25"/>
  <c r="AI73" i="25"/>
  <c r="W64" i="25"/>
  <c r="AI64" i="25"/>
  <c r="W36" i="25"/>
  <c r="AU36" i="25"/>
  <c r="AI36" i="25"/>
  <c r="W71" i="25"/>
  <c r="AI71" i="25"/>
  <c r="W66" i="25"/>
  <c r="AI66" i="25"/>
  <c r="W72" i="25"/>
  <c r="AI72" i="25"/>
  <c r="W62" i="25"/>
  <c r="AI62" i="25"/>
  <c r="W78" i="25"/>
  <c r="Q35" i="25"/>
  <c r="W35" i="25"/>
  <c r="W53" i="25"/>
  <c r="Q33" i="25"/>
  <c r="W33" i="25"/>
  <c r="W56" i="25"/>
  <c r="Z77" i="29"/>
  <c r="Q77" i="25"/>
  <c r="Q82" i="25"/>
  <c r="AC65" i="25"/>
  <c r="AU68" i="25"/>
  <c r="AU60" i="25"/>
  <c r="Q59" i="25"/>
  <c r="K41" i="25"/>
  <c r="AO41" i="25" s="1"/>
  <c r="Q70" i="25"/>
  <c r="Q75" i="25"/>
  <c r="Q71" i="25"/>
  <c r="Q76" i="25"/>
  <c r="K85" i="25"/>
  <c r="AO85" i="25" s="1"/>
  <c r="AU73" i="25"/>
  <c r="Q64" i="25"/>
  <c r="Q52" i="25"/>
  <c r="AC66" i="25"/>
  <c r="AC72" i="25"/>
  <c r="Q62" i="25"/>
  <c r="Z71" i="29"/>
  <c r="Z76" i="29"/>
  <c r="Z78" i="29"/>
  <c r="Z80" i="29"/>
  <c r="Z72" i="29"/>
  <c r="Z73" i="29"/>
  <c r="Z75" i="29"/>
  <c r="Z74" i="29"/>
  <c r="I14" i="29"/>
  <c r="W41" i="29"/>
  <c r="W46" i="29"/>
  <c r="I90" i="29"/>
  <c r="AU75" i="25"/>
  <c r="AC77" i="25"/>
  <c r="AC35" i="25"/>
  <c r="AU76" i="25"/>
  <c r="AC64" i="25"/>
  <c r="AC75" i="25"/>
  <c r="AC52" i="25"/>
  <c r="I65" i="29"/>
  <c r="I95" i="29"/>
  <c r="W33" i="29"/>
  <c r="I45" i="29"/>
  <c r="I30" i="29"/>
  <c r="Z79" i="29"/>
  <c r="W34" i="29"/>
  <c r="AE71" i="29" a="1"/>
  <c r="AU78" i="25"/>
  <c r="AC60" i="25"/>
  <c r="Q60" i="25"/>
  <c r="AU52" i="25"/>
  <c r="AU62" i="25"/>
  <c r="AC62" i="25"/>
  <c r="AC73" i="25"/>
  <c r="Q65" i="25"/>
  <c r="Q73" i="25"/>
  <c r="AU77" i="25"/>
  <c r="AC78" i="25"/>
  <c r="Q36" i="25"/>
  <c r="Q78" i="25"/>
  <c r="AC36" i="25"/>
  <c r="AU65" i="25"/>
  <c r="Q66" i="25"/>
  <c r="AU64" i="25"/>
  <c r="AC76" i="25"/>
  <c r="AC33" i="25"/>
  <c r="AU59" i="25"/>
  <c r="AC59" i="25"/>
  <c r="Q72" i="25"/>
  <c r="Q68" i="25"/>
  <c r="L39" i="21"/>
  <c r="L82" i="21"/>
  <c r="Q39" i="25"/>
  <c r="AC39" i="25"/>
  <c r="Q37" i="25"/>
  <c r="AC37" i="25"/>
  <c r="AC68" i="25"/>
  <c r="AU82" i="25"/>
  <c r="AC82" i="25"/>
  <c r="Q53" i="25"/>
  <c r="AU53" i="25"/>
  <c r="AC53" i="25"/>
  <c r="AU70" i="25"/>
  <c r="AC70" i="25"/>
  <c r="AU72" i="25"/>
  <c r="AU71" i="25"/>
  <c r="AC71" i="25"/>
  <c r="AU66" i="25"/>
  <c r="AC56" i="25"/>
  <c r="Q56" i="25"/>
  <c r="AU56" i="25"/>
  <c r="Q49" i="11"/>
  <c r="N49" i="11"/>
  <c r="K7" i="11"/>
  <c r="W10" i="29" l="1"/>
  <c r="W41" i="25"/>
  <c r="AI41" i="25"/>
  <c r="W85" i="25"/>
  <c r="AI85" i="25"/>
  <c r="AC41" i="25"/>
  <c r="Q85" i="25"/>
  <c r="Q41" i="25"/>
  <c r="AU85" i="25"/>
  <c r="AC85" i="25"/>
  <c r="W35" i="29"/>
  <c r="I67" i="29"/>
  <c r="W13" i="29"/>
  <c r="I47" i="29"/>
  <c r="W45" i="29"/>
  <c r="Z53" i="29" s="1"/>
  <c r="I83" i="29"/>
  <c r="AK73" i="29"/>
  <c r="AK75" i="29"/>
  <c r="AK72" i="29"/>
  <c r="AK74" i="29"/>
  <c r="AE71" i="29"/>
  <c r="AK71" i="29" s="1"/>
  <c r="A2" i="27"/>
  <c r="I10" i="27"/>
  <c r="L10" i="27" s="1"/>
  <c r="I11" i="27"/>
  <c r="L11" i="27" s="1"/>
  <c r="I12" i="27"/>
  <c r="L12" i="27" s="1"/>
  <c r="I13" i="27"/>
  <c r="L13" i="27" s="1"/>
  <c r="I19" i="27"/>
  <c r="L19" i="27" s="1"/>
  <c r="I20" i="27"/>
  <c r="L20" i="27" s="1"/>
  <c r="I21" i="27"/>
  <c r="L21" i="27" s="1"/>
  <c r="I22" i="27"/>
  <c r="L22" i="27" s="1"/>
  <c r="I23" i="27"/>
  <c r="L23" i="27" s="1"/>
  <c r="I25" i="27"/>
  <c r="L25" i="27" s="1"/>
  <c r="I26" i="27"/>
  <c r="L26" i="27" s="1"/>
  <c r="I27" i="27"/>
  <c r="L27" i="27" s="1"/>
  <c r="I28" i="27"/>
  <c r="L28" i="27" s="1"/>
  <c r="I29" i="27"/>
  <c r="L29" i="27" s="1"/>
  <c r="I34" i="27"/>
  <c r="L34" i="27" s="1"/>
  <c r="I35" i="27"/>
  <c r="L35" i="27" s="1"/>
  <c r="I36" i="27"/>
  <c r="L36" i="27" s="1"/>
  <c r="I37" i="27"/>
  <c r="L37" i="27" s="1"/>
  <c r="I38" i="27"/>
  <c r="L38" i="27" s="1"/>
  <c r="I40" i="27"/>
  <c r="L40" i="27" s="1"/>
  <c r="I41" i="27"/>
  <c r="L41" i="27" s="1"/>
  <c r="I42" i="27"/>
  <c r="L42" i="27" s="1"/>
  <c r="I43" i="27"/>
  <c r="L43" i="27" s="1"/>
  <c r="I44" i="27"/>
  <c r="L44" i="27" s="1"/>
  <c r="I50" i="27"/>
  <c r="L50" i="27" s="1"/>
  <c r="I59" i="27"/>
  <c r="L59" i="27" s="1"/>
  <c r="I60" i="27"/>
  <c r="L60" i="27" s="1"/>
  <c r="I61" i="27"/>
  <c r="L61" i="27" s="1"/>
  <c r="I62" i="27"/>
  <c r="L62" i="27" s="1"/>
  <c r="I63" i="27"/>
  <c r="L63" i="27" s="1"/>
  <c r="I64" i="27"/>
  <c r="L64" i="27" s="1"/>
  <c r="I71" i="27"/>
  <c r="L71" i="27" s="1"/>
  <c r="I72" i="27"/>
  <c r="L72" i="27" s="1"/>
  <c r="I73" i="27"/>
  <c r="L73" i="27" s="1"/>
  <c r="I75" i="27"/>
  <c r="L75" i="27" s="1"/>
  <c r="I76" i="27"/>
  <c r="L76" i="27" s="1"/>
  <c r="I77" i="27"/>
  <c r="L77" i="27" s="1"/>
  <c r="I78" i="27"/>
  <c r="L78" i="27" s="1"/>
  <c r="I79" i="27"/>
  <c r="L79" i="27" s="1"/>
  <c r="I80" i="27"/>
  <c r="L80" i="27" s="1"/>
  <c r="I81" i="27"/>
  <c r="L81" i="27" s="1"/>
  <c r="I82" i="27"/>
  <c r="L82" i="27" s="1"/>
  <c r="I86" i="27"/>
  <c r="L86" i="27" s="1"/>
  <c r="I87" i="27"/>
  <c r="L87" i="27" s="1"/>
  <c r="I88" i="27"/>
  <c r="L88" i="27" s="1"/>
  <c r="I89" i="27"/>
  <c r="L89" i="27" s="1"/>
  <c r="I93" i="27"/>
  <c r="L93" i="27" s="1"/>
  <c r="I94" i="27"/>
  <c r="L94" i="27" s="1"/>
  <c r="I100" i="27"/>
  <c r="L100" i="27" s="1"/>
  <c r="I101" i="27"/>
  <c r="L101" i="27" s="1"/>
  <c r="I102" i="27"/>
  <c r="L102" i="27" s="1"/>
  <c r="I103" i="27"/>
  <c r="L103" i="27" s="1"/>
  <c r="I104" i="27"/>
  <c r="L104" i="27" s="1"/>
  <c r="I105" i="27"/>
  <c r="L105" i="27" s="1"/>
  <c r="VC55" i="4" a="1"/>
  <c r="VC55" i="4" s="1"/>
  <c r="VC54" i="4" a="1"/>
  <c r="VC54" i="4" s="1"/>
  <c r="VC57" i="4" a="1"/>
  <c r="VC57" i="4" s="1"/>
  <c r="VC58" i="4" a="1"/>
  <c r="VC58" i="4" s="1"/>
  <c r="VC60" i="4" a="1"/>
  <c r="VC60" i="4" s="1"/>
  <c r="VC59" i="4" a="1"/>
  <c r="VC59" i="4" s="1"/>
  <c r="VC69" i="4" a="1"/>
  <c r="VC69" i="4" s="1"/>
  <c r="VC62" i="4" a="1"/>
  <c r="VC62" i="4" s="1"/>
  <c r="VC63" i="4" a="1"/>
  <c r="VC63" i="4" s="1"/>
  <c r="VC27" i="4" a="1"/>
  <c r="VC27" i="4" s="1"/>
  <c r="VC33" i="4" a="1"/>
  <c r="VC33" i="4" s="1"/>
  <c r="VC12" i="4" a="1"/>
  <c r="VC12" i="4" s="1"/>
  <c r="VC18" i="4" a="1"/>
  <c r="VC18" i="4" s="1"/>
  <c r="VC29" i="4" a="1"/>
  <c r="VC29" i="4" s="1"/>
  <c r="VC30" i="4" a="1"/>
  <c r="VC30" i="4" s="1"/>
  <c r="VC24" i="4" a="1"/>
  <c r="VC24" i="4" s="1"/>
  <c r="VC83" i="4" a="1"/>
  <c r="VC83" i="4" s="1"/>
  <c r="VC6" i="4" a="1"/>
  <c r="VC6" i="4" s="1"/>
  <c r="VC32" i="4" a="1"/>
  <c r="VC32" i="4" s="1"/>
  <c r="VC28" i="4" a="1"/>
  <c r="VC28" i="4" s="1"/>
  <c r="VC31" i="4" a="1"/>
  <c r="VC31" i="4" s="1"/>
  <c r="VC76" i="4" a="1"/>
  <c r="VC76" i="4" s="1"/>
  <c r="VC75" i="4" a="1"/>
  <c r="VC75" i="4" s="1"/>
  <c r="VC72" i="4" a="1"/>
  <c r="VC72" i="4" s="1"/>
  <c r="VC73" i="4" a="1"/>
  <c r="VC73" i="4" s="1"/>
  <c r="VC74" i="4" a="1"/>
  <c r="VC74" i="4" s="1"/>
  <c r="VC10" i="4" a="1"/>
  <c r="VC10" i="4" s="1"/>
  <c r="VC14" i="4" a="1"/>
  <c r="VC14" i="4" s="1"/>
  <c r="VC13" i="4" a="1"/>
  <c r="VC13" i="4" s="1"/>
  <c r="VC47" i="4" a="1"/>
  <c r="VC47" i="4" s="1"/>
  <c r="VC17" i="4" a="1"/>
  <c r="VC17" i="4" s="1"/>
  <c r="VC48" i="4" a="1"/>
  <c r="VC48" i="4" s="1"/>
  <c r="VC5" i="4" a="1"/>
  <c r="VC5" i="4" s="1"/>
  <c r="VC79" i="4" a="1"/>
  <c r="VC79" i="4" s="1"/>
  <c r="VC80" i="4" a="1"/>
  <c r="VC80" i="4" s="1"/>
  <c r="VC11" i="4" a="1"/>
  <c r="VC11" i="4" s="1"/>
  <c r="VC16" i="4" a="1"/>
  <c r="VC16" i="4" s="1"/>
  <c r="VC38" i="4" a="1"/>
  <c r="VC38" i="4" s="1"/>
  <c r="VC52" i="4" a="1"/>
  <c r="VC52" i="4" s="1"/>
  <c r="VC70" i="4" a="1"/>
  <c r="VC70" i="4" s="1"/>
  <c r="VC68" i="4" a="1"/>
  <c r="VC68" i="4" s="1"/>
  <c r="VC64" i="4" a="1"/>
  <c r="VC64" i="4" s="1"/>
  <c r="VC65" i="4" a="1"/>
  <c r="VC65" i="4" s="1"/>
  <c r="VC67" i="4" a="1"/>
  <c r="VC67" i="4" s="1"/>
  <c r="VC66" i="4" a="1"/>
  <c r="VC66" i="4" s="1"/>
  <c r="VC35" i="4" a="1"/>
  <c r="VC35" i="4" s="1"/>
  <c r="VC49" i="4" a="1"/>
  <c r="VC49" i="4" s="1"/>
  <c r="VC50" i="4" a="1"/>
  <c r="VC50" i="4" s="1"/>
  <c r="VC7" i="4" a="1"/>
  <c r="VC7" i="4" s="1"/>
  <c r="VC8" i="4" a="1"/>
  <c r="VC8" i="4" s="1"/>
  <c r="VC61" i="4" a="1"/>
  <c r="VC61" i="4" s="1"/>
  <c r="VC56" i="4" a="1"/>
  <c r="VC56" i="4" s="1"/>
  <c r="VC9" i="4" a="1"/>
  <c r="VC9" i="4" s="1"/>
  <c r="VC77" i="4" a="1"/>
  <c r="VC77" i="4" s="1"/>
  <c r="VC41" i="4" a="1"/>
  <c r="VC41" i="4" s="1"/>
  <c r="VC15" i="4" a="1"/>
  <c r="VC15" i="4" s="1"/>
  <c r="VC45" i="4" a="1"/>
  <c r="VC45" i="4" s="1"/>
  <c r="VC42" i="4" a="1"/>
  <c r="VC42" i="4" s="1"/>
  <c r="VC44" i="4" a="1"/>
  <c r="VC44" i="4" s="1"/>
  <c r="VC43" i="4" a="1"/>
  <c r="VC43" i="4" s="1"/>
  <c r="VC40" i="4" a="1"/>
  <c r="VC40" i="4" s="1"/>
  <c r="VC46" i="4" a="1"/>
  <c r="VC46" i="4" s="1"/>
  <c r="VC20" i="4" a="1"/>
  <c r="VC20" i="4" s="1"/>
  <c r="VC19" i="4" a="1"/>
  <c r="VC19" i="4" s="1"/>
  <c r="VC21" i="4" a="1"/>
  <c r="VC21" i="4" s="1"/>
  <c r="VC22" i="4" a="1"/>
  <c r="VC22" i="4" s="1"/>
  <c r="VC23" i="4" a="1"/>
  <c r="VC23" i="4" s="1"/>
  <c r="VC26" i="4" a="1"/>
  <c r="VC26" i="4" s="1"/>
  <c r="VC36" i="4" a="1"/>
  <c r="VC36" i="4" s="1"/>
  <c r="VC37" i="4" a="1"/>
  <c r="VC37" i="4" s="1"/>
  <c r="VC25" i="4" a="1"/>
  <c r="VC25" i="4" s="1"/>
  <c r="VC34" i="4" a="1"/>
  <c r="VC34" i="4" s="1"/>
  <c r="VC78" i="4" a="1"/>
  <c r="VC78" i="4" s="1"/>
  <c r="VC39" i="4" a="1"/>
  <c r="VC39" i="4" s="1"/>
  <c r="VC51" i="4" a="1"/>
  <c r="VC51" i="4" s="1"/>
  <c r="VC82" i="4" a="1"/>
  <c r="VC82" i="4" s="1"/>
  <c r="VC71" i="4" a="1"/>
  <c r="VC71" i="4" s="1"/>
  <c r="VC81" i="4" a="1"/>
  <c r="VC81" i="4" s="1"/>
  <c r="Z105" i="27"/>
  <c r="AC105" i="27" s="1"/>
  <c r="Z104" i="27"/>
  <c r="AC104" i="27" s="1"/>
  <c r="Z103" i="27"/>
  <c r="AC103" i="27" s="1"/>
  <c r="Z102" i="27"/>
  <c r="AC102" i="27" s="1"/>
  <c r="Z101" i="27"/>
  <c r="AC101" i="27" s="1"/>
  <c r="Z100" i="27"/>
  <c r="AC100" i="27" s="1"/>
  <c r="Z94" i="27"/>
  <c r="AC94" i="27" s="1"/>
  <c r="Z93" i="27"/>
  <c r="AC93" i="27" s="1"/>
  <c r="Z89" i="27"/>
  <c r="AC89" i="27" s="1"/>
  <c r="Z88" i="27"/>
  <c r="AC88" i="27" s="1"/>
  <c r="Z87" i="27"/>
  <c r="AC87" i="27" s="1"/>
  <c r="Z86" i="27"/>
  <c r="AC86" i="27" s="1"/>
  <c r="Z82" i="27"/>
  <c r="AC82" i="27" s="1"/>
  <c r="Z81" i="27"/>
  <c r="AC81" i="27" s="1"/>
  <c r="Z80" i="27"/>
  <c r="AC80" i="27" s="1"/>
  <c r="Z79" i="27"/>
  <c r="AC79" i="27" s="1"/>
  <c r="Z78" i="27"/>
  <c r="AC78" i="27" s="1"/>
  <c r="Z77" i="27"/>
  <c r="AC77" i="27" s="1"/>
  <c r="Z76" i="27"/>
  <c r="AC76" i="27" s="1"/>
  <c r="Z75" i="27"/>
  <c r="AC75" i="27" s="1"/>
  <c r="Z73" i="27"/>
  <c r="AC73" i="27" s="1"/>
  <c r="Z72" i="27"/>
  <c r="AC72" i="27" s="1"/>
  <c r="Z71" i="27"/>
  <c r="AC71" i="27" s="1"/>
  <c r="Z64" i="27"/>
  <c r="AC64" i="27" s="1"/>
  <c r="Z63" i="27"/>
  <c r="AC63" i="27" s="1"/>
  <c r="Z62" i="27"/>
  <c r="AC62" i="27" s="1"/>
  <c r="Z61" i="27"/>
  <c r="AC61" i="27" s="1"/>
  <c r="Z60" i="27"/>
  <c r="AC60" i="27" s="1"/>
  <c r="Z59" i="27"/>
  <c r="AC59" i="27" s="1"/>
  <c r="Z50" i="27"/>
  <c r="AC50" i="27" s="1"/>
  <c r="Z44" i="27"/>
  <c r="AC44" i="27" s="1"/>
  <c r="Z43" i="27"/>
  <c r="AC43" i="27" s="1"/>
  <c r="Z42" i="27"/>
  <c r="AC42" i="27" s="1"/>
  <c r="Z41" i="27"/>
  <c r="AC41" i="27" s="1"/>
  <c r="Z40" i="27"/>
  <c r="AC40" i="27" s="1"/>
  <c r="Z38" i="27"/>
  <c r="AC38" i="27" s="1"/>
  <c r="Z37" i="27"/>
  <c r="AC37" i="27" s="1"/>
  <c r="Z36" i="27"/>
  <c r="AC36" i="27" s="1"/>
  <c r="Z35" i="27"/>
  <c r="AC35" i="27" s="1"/>
  <c r="Z34" i="27"/>
  <c r="AC34" i="27" s="1"/>
  <c r="Z29" i="27"/>
  <c r="AC29" i="27" s="1"/>
  <c r="Z28" i="27"/>
  <c r="AC28" i="27" s="1"/>
  <c r="Z27" i="27"/>
  <c r="AC27" i="27" s="1"/>
  <c r="Z26" i="27"/>
  <c r="AC26" i="27" s="1"/>
  <c r="Z25" i="27"/>
  <c r="AC25" i="27" s="1"/>
  <c r="Z23" i="27"/>
  <c r="AC23" i="27" s="1"/>
  <c r="Z22" i="27"/>
  <c r="AC22" i="27" s="1"/>
  <c r="Z21" i="27"/>
  <c r="AC21" i="27" s="1"/>
  <c r="Z20" i="27"/>
  <c r="AC20" i="27" s="1"/>
  <c r="Z19" i="27"/>
  <c r="AC19" i="27" s="1"/>
  <c r="Z13" i="27"/>
  <c r="AC13" i="27" s="1"/>
  <c r="Z12" i="27"/>
  <c r="AC12" i="27" s="1"/>
  <c r="Z11" i="27"/>
  <c r="AC11" i="27" s="1"/>
  <c r="Z10" i="27"/>
  <c r="AC10" i="27" s="1"/>
  <c r="R2" i="27"/>
  <c r="W11" i="29" l="1"/>
  <c r="Z32" i="27" a="1"/>
  <c r="Z32" i="27" s="1"/>
  <c r="AC32" i="27" s="1"/>
  <c r="Z17" i="27" a="1"/>
  <c r="Z17" i="27" s="1"/>
  <c r="AC17" i="27" s="1"/>
  <c r="I17" i="27" a="1"/>
  <c r="I17" i="27" s="1"/>
  <c r="L17" i="27" s="1"/>
  <c r="I32" i="27" a="1"/>
  <c r="I32" i="27" s="1"/>
  <c r="L32" i="27" s="1"/>
  <c r="I83" i="27"/>
  <c r="L83" i="27" s="1"/>
  <c r="Z50" i="29"/>
  <c r="W14" i="29"/>
  <c r="Z43" i="29" s="1"/>
  <c r="Z49" i="29"/>
  <c r="Z47" i="29"/>
  <c r="Z51" i="29"/>
  <c r="Z54" i="29"/>
  <c r="Z52" i="29"/>
  <c r="Z48" i="29"/>
  <c r="AE41" i="29" a="1"/>
  <c r="AK43" i="29" s="1"/>
  <c r="I97" i="29"/>
  <c r="I95" i="27"/>
  <c r="L95" i="27" s="1"/>
  <c r="I90" i="27"/>
  <c r="L90" i="27" s="1"/>
  <c r="I65" i="27"/>
  <c r="L65" i="27" s="1"/>
  <c r="I30" i="27"/>
  <c r="L30" i="27" s="1"/>
  <c r="I14" i="27"/>
  <c r="L14" i="27" s="1"/>
  <c r="I45" i="27"/>
  <c r="L45" i="27" s="1"/>
  <c r="Z90" i="27"/>
  <c r="AC90" i="27" s="1"/>
  <c r="Z65" i="27"/>
  <c r="AC65" i="27" s="1"/>
  <c r="Z95" i="27"/>
  <c r="AC95" i="27" s="1"/>
  <c r="Z30" i="27"/>
  <c r="AC30" i="27" s="1"/>
  <c r="Z45" i="27"/>
  <c r="AC45" i="27" s="1"/>
  <c r="Z14" i="27"/>
  <c r="AC14" i="27" s="1"/>
  <c r="I106" i="29" l="1"/>
  <c r="Z46" i="29"/>
  <c r="Z44" i="29"/>
  <c r="Z10" i="29"/>
  <c r="Z45" i="29"/>
  <c r="Z12" i="29"/>
  <c r="Z42" i="29"/>
  <c r="Z11" i="29"/>
  <c r="Z41" i="29"/>
  <c r="Z13" i="29"/>
  <c r="AK42" i="29"/>
  <c r="AK45" i="29"/>
  <c r="AE41" i="29"/>
  <c r="AK41" i="29" s="1"/>
  <c r="AK44" i="29"/>
  <c r="I67" i="27"/>
  <c r="L67" i="27" s="1"/>
  <c r="I47" i="27"/>
  <c r="L47" i="27" s="1"/>
  <c r="Z83" i="27"/>
  <c r="AC83" i="27" s="1"/>
  <c r="Z47" i="27"/>
  <c r="AC47" i="27" s="1"/>
  <c r="Z67" i="27"/>
  <c r="AC67" i="27" l="1"/>
  <c r="AC97" i="27" s="1"/>
  <c r="Z14" i="29"/>
  <c r="L97" i="27"/>
  <c r="I97" i="27"/>
  <c r="Z97" i="27"/>
  <c r="I50" i="11"/>
  <c r="I43" i="11"/>
  <c r="Z106" i="27" l="1"/>
  <c r="AC106" i="27" s="1"/>
  <c r="I106" i="27"/>
  <c r="L106" i="27" s="1"/>
  <c r="UR80" i="4"/>
  <c r="US80" i="4"/>
  <c r="UR11" i="4"/>
  <c r="US11" i="4"/>
  <c r="UR16" i="4"/>
  <c r="US16" i="4"/>
  <c r="UR38" i="4"/>
  <c r="US38" i="4"/>
  <c r="UR52" i="4"/>
  <c r="US52" i="4"/>
  <c r="UR70" i="4"/>
  <c r="US70" i="4"/>
  <c r="UR68" i="4"/>
  <c r="US68" i="4"/>
  <c r="UR64" i="4"/>
  <c r="US64" i="4"/>
  <c r="UR65" i="4"/>
  <c r="US65" i="4"/>
  <c r="UR67" i="4"/>
  <c r="US67" i="4"/>
  <c r="UR66" i="4"/>
  <c r="US66" i="4"/>
  <c r="UR35" i="4"/>
  <c r="US35" i="4"/>
  <c r="UR49" i="4"/>
  <c r="US49" i="4"/>
  <c r="UR50" i="4"/>
  <c r="US50" i="4"/>
  <c r="UR7" i="4"/>
  <c r="US7" i="4"/>
  <c r="UR8" i="4"/>
  <c r="US8" i="4"/>
  <c r="UR61" i="4"/>
  <c r="US61" i="4"/>
  <c r="UR56" i="4"/>
  <c r="US56" i="4"/>
  <c r="UR9" i="4"/>
  <c r="US9" i="4"/>
  <c r="UR77" i="4"/>
  <c r="US77" i="4"/>
  <c r="UR41" i="4"/>
  <c r="US41" i="4"/>
  <c r="UR15" i="4"/>
  <c r="US15" i="4"/>
  <c r="UR45" i="4"/>
  <c r="US45" i="4"/>
  <c r="UR42" i="4"/>
  <c r="US42" i="4"/>
  <c r="UR44" i="4"/>
  <c r="US44" i="4"/>
  <c r="UR43" i="4"/>
  <c r="US43" i="4"/>
  <c r="UR40" i="4"/>
  <c r="US40" i="4"/>
  <c r="UR46" i="4"/>
  <c r="US46" i="4"/>
  <c r="UR20" i="4"/>
  <c r="US20" i="4"/>
  <c r="UR19" i="4"/>
  <c r="US19" i="4"/>
  <c r="UR21" i="4"/>
  <c r="US21" i="4"/>
  <c r="UR22" i="4"/>
  <c r="US22" i="4"/>
  <c r="UR23" i="4"/>
  <c r="US23" i="4"/>
  <c r="UR26" i="4"/>
  <c r="US26" i="4"/>
  <c r="UR36" i="4"/>
  <c r="US36" i="4"/>
  <c r="UR37" i="4"/>
  <c r="US37" i="4"/>
  <c r="UR25" i="4"/>
  <c r="US25" i="4"/>
  <c r="UR34" i="4"/>
  <c r="US34" i="4"/>
  <c r="UR78" i="4"/>
  <c r="US78" i="4"/>
  <c r="UR39" i="4"/>
  <c r="US39" i="4"/>
  <c r="UR51" i="4"/>
  <c r="US51" i="4"/>
  <c r="UR82" i="4"/>
  <c r="US82" i="4"/>
  <c r="UR71" i="4"/>
  <c r="US71" i="4"/>
  <c r="UR81" i="4"/>
  <c r="US81" i="4"/>
  <c r="UR79" i="4"/>
  <c r="US79" i="4"/>
  <c r="UR55" i="4"/>
  <c r="US55" i="4"/>
  <c r="UR54" i="4"/>
  <c r="US54" i="4"/>
  <c r="UR57" i="4"/>
  <c r="US57" i="4"/>
  <c r="UR58" i="4"/>
  <c r="US58" i="4"/>
  <c r="UR60" i="4"/>
  <c r="US60" i="4"/>
  <c r="UR59" i="4"/>
  <c r="US59" i="4"/>
  <c r="UR69" i="4"/>
  <c r="US69" i="4"/>
  <c r="UR62" i="4"/>
  <c r="US62" i="4"/>
  <c r="UR63" i="4"/>
  <c r="US63" i="4"/>
  <c r="UR27" i="4"/>
  <c r="US27" i="4"/>
  <c r="UR33" i="4"/>
  <c r="US33" i="4"/>
  <c r="UR12" i="4"/>
  <c r="US12" i="4"/>
  <c r="UR18" i="4"/>
  <c r="US18" i="4"/>
  <c r="UR29" i="4"/>
  <c r="US29" i="4"/>
  <c r="UR30" i="4"/>
  <c r="US30" i="4"/>
  <c r="UR24" i="4"/>
  <c r="US24" i="4"/>
  <c r="UR83" i="4"/>
  <c r="US83" i="4"/>
  <c r="UR6" i="4"/>
  <c r="US6" i="4"/>
  <c r="UR32" i="4"/>
  <c r="US32" i="4"/>
  <c r="UR28" i="4"/>
  <c r="US28" i="4"/>
  <c r="UR31" i="4"/>
  <c r="US31" i="4"/>
  <c r="UR76" i="4"/>
  <c r="US76" i="4"/>
  <c r="UR75" i="4"/>
  <c r="US75" i="4"/>
  <c r="UR72" i="4"/>
  <c r="US72" i="4"/>
  <c r="UR73" i="4"/>
  <c r="US73" i="4"/>
  <c r="UR74" i="4"/>
  <c r="US74" i="4"/>
  <c r="UR10" i="4"/>
  <c r="US10" i="4"/>
  <c r="UR14" i="4"/>
  <c r="US14" i="4"/>
  <c r="UR13" i="4"/>
  <c r="US13" i="4"/>
  <c r="UR47" i="4"/>
  <c r="US47" i="4"/>
  <c r="UR17" i="4"/>
  <c r="US17" i="4"/>
  <c r="UR48" i="4"/>
  <c r="US48" i="4"/>
  <c r="UR5" i="4"/>
  <c r="US5" i="4"/>
  <c r="BA66" i="25" l="1"/>
  <c r="BA83" i="25"/>
  <c r="BA81" i="25"/>
  <c r="BA77" i="25"/>
  <c r="BA72" i="25"/>
  <c r="BA61" i="25"/>
  <c r="BA50" i="25"/>
  <c r="BA67" i="25"/>
  <c r="BA55" i="25"/>
  <c r="BA74" i="25"/>
  <c r="BA57" i="25"/>
  <c r="BA75" i="25"/>
  <c r="BA76" i="25"/>
  <c r="BA54" i="25"/>
  <c r="BA71" i="25"/>
  <c r="BA60" i="25"/>
  <c r="BA65" i="25"/>
  <c r="BA53" i="25"/>
  <c r="BA82" i="25"/>
  <c r="BA70" i="25"/>
  <c r="BA59" i="25"/>
  <c r="BA79" i="25"/>
  <c r="BA69" i="25"/>
  <c r="BA58" i="25"/>
  <c r="BA64" i="25"/>
  <c r="BA63" i="25"/>
  <c r="BA52" i="25"/>
  <c r="BA80" i="25"/>
  <c r="BA38" i="25"/>
  <c r="BA33" i="25"/>
  <c r="BA22" i="25"/>
  <c r="AU22" i="25"/>
  <c r="AU13" i="25"/>
  <c r="BA13" i="25"/>
  <c r="BA40" i="25"/>
  <c r="BA35" i="25"/>
  <c r="BA39" i="25"/>
  <c r="BA21" i="25"/>
  <c r="AU21" i="25"/>
  <c r="BA34" i="25"/>
  <c r="C69" i="7"/>
  <c r="AU41" i="25" l="1"/>
  <c r="BA84" i="25"/>
  <c r="BA36" i="25"/>
  <c r="BA56" i="25"/>
  <c r="BA68" i="25"/>
  <c r="BA78" i="25"/>
  <c r="AR23" i="25"/>
  <c r="BA51" i="25"/>
  <c r="BA62" i="25"/>
  <c r="BA73" i="25"/>
  <c r="BA20" i="25"/>
  <c r="AU20" i="25"/>
  <c r="BA37" i="25"/>
  <c r="D51" i="7"/>
  <c r="E51" i="7"/>
  <c r="F51" i="7"/>
  <c r="G51" i="7"/>
  <c r="H51" i="7"/>
  <c r="I51" i="7"/>
  <c r="D57" i="7"/>
  <c r="E57" i="7"/>
  <c r="F57" i="7"/>
  <c r="G57" i="7"/>
  <c r="H57" i="7"/>
  <c r="I57" i="7"/>
  <c r="D64" i="7"/>
  <c r="E64" i="7"/>
  <c r="F64" i="7"/>
  <c r="G64" i="7"/>
  <c r="H64" i="7"/>
  <c r="I64" i="7"/>
  <c r="D69" i="7"/>
  <c r="E69" i="7"/>
  <c r="F69" i="7"/>
  <c r="G69" i="7"/>
  <c r="H69" i="7"/>
  <c r="I69" i="7"/>
  <c r="G42" i="7"/>
  <c r="F42" i="7"/>
  <c r="D42" i="7"/>
  <c r="I42" i="7"/>
  <c r="E42" i="7"/>
  <c r="F38" i="7"/>
  <c r="E38" i="7"/>
  <c r="G38" i="7"/>
  <c r="I28" i="7"/>
  <c r="H28" i="7"/>
  <c r="G28" i="7"/>
  <c r="F28" i="7"/>
  <c r="E28" i="7"/>
  <c r="I18" i="7"/>
  <c r="E18" i="7"/>
  <c r="H18" i="7"/>
  <c r="G18" i="7"/>
  <c r="F18" i="7"/>
  <c r="I12" i="7"/>
  <c r="G12" i="7"/>
  <c r="F12" i="7"/>
  <c r="E12" i="7"/>
  <c r="H7" i="7"/>
  <c r="I7" i="7"/>
  <c r="E7" i="7"/>
  <c r="F7" i="7"/>
  <c r="G7" i="7"/>
  <c r="D38" i="7"/>
  <c r="H12" i="7"/>
  <c r="H42" i="7"/>
  <c r="H38" i="7"/>
  <c r="I38" i="7"/>
  <c r="AM9" i="21"/>
  <c r="VF70" i="4"/>
  <c r="AG9" i="21" s="1"/>
  <c r="VI70" i="4"/>
  <c r="VE70" i="4"/>
  <c r="U9" i="21" s="1"/>
  <c r="R30" i="21"/>
  <c r="VE7" i="4"/>
  <c r="U30" i="21" s="1"/>
  <c r="VF7" i="4"/>
  <c r="AG30" i="21" s="1"/>
  <c r="AM30" i="21"/>
  <c r="VI7" i="4"/>
  <c r="AA30" i="21" s="1"/>
  <c r="O31" i="21"/>
  <c r="VE8" i="4"/>
  <c r="U31" i="21" s="1"/>
  <c r="VF8" i="4"/>
  <c r="AG31" i="21" s="1"/>
  <c r="AM31" i="21"/>
  <c r="VI8" i="4"/>
  <c r="O32" i="21"/>
  <c r="VE9" i="4"/>
  <c r="U32" i="21" s="1"/>
  <c r="VF9" i="4"/>
  <c r="AG32" i="21" s="1"/>
  <c r="AM32" i="21"/>
  <c r="VI9" i="4"/>
  <c r="O70" i="21"/>
  <c r="VE10" i="4"/>
  <c r="U70" i="21" s="1"/>
  <c r="VF10" i="4"/>
  <c r="AG70" i="21" s="1"/>
  <c r="AM70" i="21"/>
  <c r="VI10" i="4"/>
  <c r="O78" i="21"/>
  <c r="VE11" i="4"/>
  <c r="U78" i="21" s="1"/>
  <c r="VF11" i="4"/>
  <c r="AG78" i="21" s="1"/>
  <c r="AM78" i="21"/>
  <c r="VI11" i="4"/>
  <c r="O56" i="21"/>
  <c r="VE12" i="4"/>
  <c r="U56" i="21" s="1"/>
  <c r="VF12" i="4"/>
  <c r="AG56" i="21" s="1"/>
  <c r="AM56" i="21"/>
  <c r="VI12" i="4"/>
  <c r="VE55" i="4"/>
  <c r="VF55" i="4"/>
  <c r="VI55" i="4"/>
  <c r="O47" i="21"/>
  <c r="VE54" i="4"/>
  <c r="U47" i="21" s="1"/>
  <c r="VF54" i="4"/>
  <c r="AG47" i="21" s="1"/>
  <c r="AM47" i="21"/>
  <c r="VI54" i="4"/>
  <c r="O79" i="21"/>
  <c r="VE16" i="4"/>
  <c r="U79" i="21" s="1"/>
  <c r="VF16" i="4"/>
  <c r="AG79" i="21" s="1"/>
  <c r="AM79" i="21"/>
  <c r="VI16" i="4"/>
  <c r="O48" i="21"/>
  <c r="VE57" i="4"/>
  <c r="U48" i="21" s="1"/>
  <c r="VF57" i="4"/>
  <c r="AG48" i="21" s="1"/>
  <c r="AM48" i="21"/>
  <c r="VI57" i="4"/>
  <c r="O57" i="21"/>
  <c r="VE18" i="4"/>
  <c r="U57" i="21" s="1"/>
  <c r="VF18" i="4"/>
  <c r="AG57" i="21" s="1"/>
  <c r="AM57" i="21"/>
  <c r="VI18" i="4"/>
  <c r="VE19" i="4"/>
  <c r="VF19" i="4"/>
  <c r="VI19" i="4"/>
  <c r="VE20" i="4"/>
  <c r="VF20" i="4"/>
  <c r="VI20" i="4"/>
  <c r="VE21" i="4"/>
  <c r="VF21" i="4"/>
  <c r="VI21" i="4"/>
  <c r="VE22" i="4"/>
  <c r="VF22" i="4"/>
  <c r="VI22" i="4"/>
  <c r="VE23" i="4"/>
  <c r="VF23" i="4"/>
  <c r="VI23" i="4"/>
  <c r="O60" i="21"/>
  <c r="VE24" i="4"/>
  <c r="U60" i="21" s="1"/>
  <c r="VF24" i="4"/>
  <c r="AG60" i="21" s="1"/>
  <c r="AM60" i="21"/>
  <c r="VI24" i="4"/>
  <c r="VE25" i="4"/>
  <c r="VF25" i="4"/>
  <c r="VI25" i="4"/>
  <c r="VE26" i="4"/>
  <c r="VF26" i="4"/>
  <c r="VI26" i="4"/>
  <c r="O54" i="21"/>
  <c r="VE27" i="4"/>
  <c r="U54" i="21" s="1"/>
  <c r="VF27" i="4"/>
  <c r="AG54" i="21" s="1"/>
  <c r="AM54" i="21"/>
  <c r="VI27" i="4"/>
  <c r="O64" i="21"/>
  <c r="VE28" i="4"/>
  <c r="U64" i="21" s="1"/>
  <c r="VF28" i="4"/>
  <c r="AG64" i="21" s="1"/>
  <c r="AM64" i="21"/>
  <c r="VI28" i="4"/>
  <c r="O62" i="21"/>
  <c r="VE6" i="4"/>
  <c r="U62" i="21" s="1"/>
  <c r="VF6" i="4"/>
  <c r="AG62" i="21" s="1"/>
  <c r="AM62" i="21"/>
  <c r="VI6" i="4"/>
  <c r="O59" i="21"/>
  <c r="VE30" i="4"/>
  <c r="U59" i="21" s="1"/>
  <c r="VF30" i="4"/>
  <c r="AG59" i="21" s="1"/>
  <c r="AM59" i="21"/>
  <c r="VI30" i="4"/>
  <c r="O65" i="21"/>
  <c r="VE31" i="4"/>
  <c r="U65" i="21" s="1"/>
  <c r="VF31" i="4"/>
  <c r="AG65" i="21" s="1"/>
  <c r="AM65" i="21"/>
  <c r="VI31" i="4"/>
  <c r="O63" i="21"/>
  <c r="VE32" i="4"/>
  <c r="U63" i="21" s="1"/>
  <c r="VF32" i="4"/>
  <c r="AG63" i="21" s="1"/>
  <c r="AM63" i="21"/>
  <c r="VI32" i="4"/>
  <c r="O55" i="21"/>
  <c r="VE33" i="4"/>
  <c r="U55" i="21" s="1"/>
  <c r="VF33" i="4"/>
  <c r="AG55" i="21" s="1"/>
  <c r="AM55" i="21"/>
  <c r="VI33" i="4"/>
  <c r="VE34" i="4"/>
  <c r="VF34" i="4"/>
  <c r="VI34" i="4"/>
  <c r="VE36" i="4"/>
  <c r="VF36" i="4"/>
  <c r="VI36" i="4"/>
  <c r="VE37" i="4"/>
  <c r="VF37" i="4"/>
  <c r="VI37" i="4"/>
  <c r="O80" i="21"/>
  <c r="VE38" i="4"/>
  <c r="U80" i="21" s="1"/>
  <c r="VF38" i="4"/>
  <c r="AG80" i="21" s="1"/>
  <c r="AM80" i="21"/>
  <c r="VI38" i="4"/>
  <c r="VE39" i="4"/>
  <c r="VF39" i="4"/>
  <c r="VI39" i="4"/>
  <c r="O38" i="21"/>
  <c r="VE40" i="4"/>
  <c r="U38" i="21" s="1"/>
  <c r="VF40" i="4"/>
  <c r="AG38" i="21" s="1"/>
  <c r="AM38" i="21"/>
  <c r="VI40" i="4"/>
  <c r="O33" i="21"/>
  <c r="VE41" i="4"/>
  <c r="U33" i="21" s="1"/>
  <c r="VF41" i="4"/>
  <c r="AG33" i="21" s="1"/>
  <c r="AM33" i="21"/>
  <c r="VI41" i="4"/>
  <c r="O35" i="21"/>
  <c r="VE42" i="4"/>
  <c r="U35" i="21" s="1"/>
  <c r="VF42" i="4"/>
  <c r="AG35" i="21" s="1"/>
  <c r="AM35" i="21"/>
  <c r="VI42" i="4"/>
  <c r="O37" i="21"/>
  <c r="VE43" i="4"/>
  <c r="U37" i="21" s="1"/>
  <c r="VF43" i="4"/>
  <c r="AG37" i="21" s="1"/>
  <c r="AM37" i="21"/>
  <c r="VI43" i="4"/>
  <c r="O36" i="21"/>
  <c r="VE44" i="4"/>
  <c r="U36" i="21" s="1"/>
  <c r="VF44" i="4"/>
  <c r="AG36" i="21" s="1"/>
  <c r="AM36" i="21"/>
  <c r="VI44" i="4"/>
  <c r="O34" i="21"/>
  <c r="VE45" i="4"/>
  <c r="U34" i="21" s="1"/>
  <c r="VF45" i="4"/>
  <c r="AG34" i="21" s="1"/>
  <c r="AM34" i="21"/>
  <c r="VI45" i="4"/>
  <c r="AA34" i="21" s="1"/>
  <c r="VE46" i="4"/>
  <c r="VF46" i="4"/>
  <c r="VI46" i="4"/>
  <c r="O72" i="21"/>
  <c r="VE47" i="4"/>
  <c r="U72" i="21" s="1"/>
  <c r="VF47" i="4"/>
  <c r="AG72" i="21" s="1"/>
  <c r="AM72" i="21"/>
  <c r="VI47" i="4"/>
  <c r="O74" i="21"/>
  <c r="VE48" i="4"/>
  <c r="U74" i="21" s="1"/>
  <c r="VF48" i="4"/>
  <c r="AG74" i="21" s="1"/>
  <c r="AM74" i="21"/>
  <c r="VI48" i="4"/>
  <c r="O17" i="21"/>
  <c r="VE49" i="4"/>
  <c r="U17" i="21" s="1"/>
  <c r="VF49" i="4"/>
  <c r="AG17" i="21" s="1"/>
  <c r="AM17" i="21"/>
  <c r="VI49" i="4"/>
  <c r="O18" i="21"/>
  <c r="VE50" i="4"/>
  <c r="U18" i="21" s="1"/>
  <c r="VF50" i="4"/>
  <c r="AG18" i="21" s="1"/>
  <c r="AM18" i="21"/>
  <c r="VI50" i="4"/>
  <c r="VE51" i="4"/>
  <c r="VF51" i="4"/>
  <c r="VI51" i="4"/>
  <c r="O46" i="21"/>
  <c r="VE53" i="4"/>
  <c r="U46" i="21" s="1"/>
  <c r="VF53" i="4"/>
  <c r="AG46" i="21" s="1"/>
  <c r="AM46" i="21"/>
  <c r="VI53" i="4"/>
  <c r="VE76" i="4"/>
  <c r="VF76" i="4"/>
  <c r="VI76" i="4"/>
  <c r="O66" i="21"/>
  <c r="VE75" i="4"/>
  <c r="U66" i="21" s="1"/>
  <c r="VF75" i="4"/>
  <c r="AG66" i="21" s="1"/>
  <c r="AM66" i="21"/>
  <c r="VI75" i="4"/>
  <c r="O69" i="21"/>
  <c r="VE74" i="4"/>
  <c r="U69" i="21" s="1"/>
  <c r="VF74" i="4"/>
  <c r="AG69" i="21" s="1"/>
  <c r="AM69" i="21"/>
  <c r="VI74" i="4"/>
  <c r="O49" i="21"/>
  <c r="VE58" i="4"/>
  <c r="U49" i="21" s="1"/>
  <c r="VF58" i="4"/>
  <c r="AG49" i="21" s="1"/>
  <c r="AM49" i="21"/>
  <c r="VI58" i="4"/>
  <c r="O50" i="21"/>
  <c r="VE59" i="4"/>
  <c r="U50" i="21" s="1"/>
  <c r="VF59" i="4"/>
  <c r="AG50" i="21" s="1"/>
  <c r="AM50" i="21"/>
  <c r="VI59" i="4"/>
  <c r="VE60" i="4"/>
  <c r="VF60" i="4"/>
  <c r="VI60" i="4"/>
  <c r="O19" i="21"/>
  <c r="VE61" i="4"/>
  <c r="U19" i="21" s="1"/>
  <c r="VF61" i="4"/>
  <c r="AG19" i="21" s="1"/>
  <c r="AM19" i="21"/>
  <c r="VI61" i="4"/>
  <c r="O12" i="21"/>
  <c r="VE65" i="4"/>
  <c r="U12" i="21" s="1"/>
  <c r="VF65" i="4"/>
  <c r="AG12" i="21" s="1"/>
  <c r="AM12" i="21"/>
  <c r="VI65" i="4"/>
  <c r="O51" i="21"/>
  <c r="VE69" i="4"/>
  <c r="U51" i="21" s="1"/>
  <c r="VF69" i="4"/>
  <c r="AG51" i="21" s="1"/>
  <c r="AM51" i="21"/>
  <c r="VI69" i="4"/>
  <c r="VE71" i="4"/>
  <c r="VF71" i="4"/>
  <c r="VI71" i="4"/>
  <c r="O67" i="21"/>
  <c r="VE72" i="4"/>
  <c r="U67" i="21" s="1"/>
  <c r="VF72" i="4"/>
  <c r="AG67" i="21" s="1"/>
  <c r="AM67" i="21"/>
  <c r="VI72" i="4"/>
  <c r="O68" i="21"/>
  <c r="VE73" i="4"/>
  <c r="U68" i="21" s="1"/>
  <c r="VF73" i="4"/>
  <c r="AG68" i="21" s="1"/>
  <c r="AM68" i="21"/>
  <c r="VI73" i="4"/>
  <c r="O21" i="21"/>
  <c r="VE77" i="4"/>
  <c r="U21" i="21" s="1"/>
  <c r="VF77" i="4"/>
  <c r="AG21" i="21" s="1"/>
  <c r="AM21" i="21"/>
  <c r="VI77" i="4"/>
  <c r="VE78" i="4"/>
  <c r="VF78" i="4"/>
  <c r="VI78" i="4"/>
  <c r="O77" i="21"/>
  <c r="VE80" i="4"/>
  <c r="U77" i="21" s="1"/>
  <c r="VF80" i="4"/>
  <c r="AG77" i="21" s="1"/>
  <c r="AM77" i="21"/>
  <c r="VI80" i="4"/>
  <c r="VE82" i="4"/>
  <c r="VF82" i="4"/>
  <c r="VI82" i="4"/>
  <c r="O61" i="21"/>
  <c r="VE83" i="4"/>
  <c r="U61" i="21" s="1"/>
  <c r="VF83" i="4"/>
  <c r="AG61" i="21" s="1"/>
  <c r="AM61" i="21"/>
  <c r="VI83" i="4"/>
  <c r="O81" i="21"/>
  <c r="VE52" i="4"/>
  <c r="U81" i="21" s="1"/>
  <c r="VF52" i="4"/>
  <c r="AG81" i="21" s="1"/>
  <c r="AM81" i="21"/>
  <c r="VI52" i="4"/>
  <c r="O11" i="21"/>
  <c r="VE64" i="4"/>
  <c r="U11" i="21" s="1"/>
  <c r="VF64" i="4"/>
  <c r="AG11" i="21" s="1"/>
  <c r="AM11" i="21"/>
  <c r="VI64" i="4"/>
  <c r="O14" i="21"/>
  <c r="VE66" i="4"/>
  <c r="U14" i="21" s="1"/>
  <c r="VF66" i="4"/>
  <c r="AG14" i="21" s="1"/>
  <c r="AM14" i="21"/>
  <c r="VI66" i="4"/>
  <c r="O76" i="21"/>
  <c r="VE79" i="4"/>
  <c r="U76" i="21" s="1"/>
  <c r="VF79" i="4"/>
  <c r="AG76" i="21" s="1"/>
  <c r="AM76" i="21"/>
  <c r="VI79" i="4"/>
  <c r="O16" i="21"/>
  <c r="VE81" i="4"/>
  <c r="U16" i="21" s="1"/>
  <c r="VF81" i="4"/>
  <c r="AG16" i="21" s="1"/>
  <c r="AM16" i="21"/>
  <c r="VI81" i="4"/>
  <c r="O22" i="21"/>
  <c r="VE15" i="4"/>
  <c r="U22" i="21" s="1"/>
  <c r="VF15" i="4"/>
  <c r="AG22" i="21" s="1"/>
  <c r="AM22" i="21"/>
  <c r="VI15" i="4"/>
  <c r="O58" i="21"/>
  <c r="VE29" i="4"/>
  <c r="U58" i="21" s="1"/>
  <c r="VF29" i="4"/>
  <c r="AG58" i="21" s="1"/>
  <c r="AM58" i="21"/>
  <c r="VI29" i="4"/>
  <c r="O15" i="21"/>
  <c r="VE35" i="4"/>
  <c r="U15" i="21" s="1"/>
  <c r="VF35" i="4"/>
  <c r="AG15" i="21" s="1"/>
  <c r="AM15" i="21"/>
  <c r="VI35" i="4"/>
  <c r="O20" i="21"/>
  <c r="VE56" i="4"/>
  <c r="U20" i="21" s="1"/>
  <c r="VF56" i="4"/>
  <c r="AG20" i="21" s="1"/>
  <c r="AM20" i="21"/>
  <c r="VI56" i="4"/>
  <c r="O52" i="21"/>
  <c r="VE62" i="4"/>
  <c r="U52" i="21" s="1"/>
  <c r="VF62" i="4"/>
  <c r="AG52" i="21" s="1"/>
  <c r="AM52" i="21"/>
  <c r="VI62" i="4"/>
  <c r="O53" i="21"/>
  <c r="VE63" i="4"/>
  <c r="U53" i="21" s="1"/>
  <c r="VF63" i="4"/>
  <c r="AG53" i="21" s="1"/>
  <c r="AM53" i="21"/>
  <c r="VI63" i="4"/>
  <c r="O13" i="21"/>
  <c r="VE67" i="4"/>
  <c r="U13" i="21" s="1"/>
  <c r="VF67" i="4"/>
  <c r="AG13" i="21" s="1"/>
  <c r="AM13" i="21"/>
  <c r="VI67" i="4"/>
  <c r="O10" i="21"/>
  <c r="VE68" i="4"/>
  <c r="U10" i="21" s="1"/>
  <c r="VF68" i="4"/>
  <c r="AG10" i="21" s="1"/>
  <c r="AM10" i="21"/>
  <c r="VI68" i="4"/>
  <c r="VE14" i="4"/>
  <c r="VF14" i="4"/>
  <c r="VI14" i="4"/>
  <c r="O71" i="21"/>
  <c r="VE13" i="4"/>
  <c r="U71" i="21" s="1"/>
  <c r="VF13" i="4"/>
  <c r="AG71" i="21" s="1"/>
  <c r="AM71" i="21"/>
  <c r="VI13" i="4"/>
  <c r="O73" i="21"/>
  <c r="VE17" i="4"/>
  <c r="U73" i="21" s="1"/>
  <c r="VF17" i="4"/>
  <c r="AG73" i="21" s="1"/>
  <c r="AM73" i="21"/>
  <c r="VI17" i="4"/>
  <c r="O75" i="21"/>
  <c r="VE5" i="4"/>
  <c r="U75" i="21" s="1"/>
  <c r="VF5" i="4"/>
  <c r="AG75" i="21" s="1"/>
  <c r="AM75" i="21"/>
  <c r="VI5" i="4"/>
  <c r="VC53" i="4" a="1"/>
  <c r="VC53" i="4" s="1"/>
  <c r="X77" i="21" l="1"/>
  <c r="AJ37" i="21"/>
  <c r="R33" i="21"/>
  <c r="X80" i="21"/>
  <c r="X65" i="21"/>
  <c r="X70" i="21"/>
  <c r="X68" i="21"/>
  <c r="X49" i="21"/>
  <c r="X74" i="21"/>
  <c r="AP34" i="21"/>
  <c r="X37" i="21"/>
  <c r="X79" i="21"/>
  <c r="X52" i="21"/>
  <c r="AJ34" i="21"/>
  <c r="X56" i="21"/>
  <c r="X71" i="21"/>
  <c r="X34" i="21"/>
  <c r="AJ38" i="21"/>
  <c r="X64" i="21"/>
  <c r="X57" i="21"/>
  <c r="AP32" i="21"/>
  <c r="X13" i="21"/>
  <c r="X61" i="21"/>
  <c r="R34" i="21"/>
  <c r="AP35" i="21"/>
  <c r="X38" i="21"/>
  <c r="AJ32" i="21"/>
  <c r="X75" i="21"/>
  <c r="AP20" i="21"/>
  <c r="X58" i="21"/>
  <c r="R38" i="21"/>
  <c r="X59" i="21"/>
  <c r="X32" i="21"/>
  <c r="R37" i="21"/>
  <c r="AJ13" i="21"/>
  <c r="AP21" i="21"/>
  <c r="X67" i="21"/>
  <c r="X69" i="21"/>
  <c r="X72" i="21"/>
  <c r="AP36" i="21"/>
  <c r="X35" i="21"/>
  <c r="X47" i="21"/>
  <c r="R32" i="21"/>
  <c r="AP13" i="21"/>
  <c r="AP38" i="21"/>
  <c r="AJ21" i="21"/>
  <c r="AJ36" i="21"/>
  <c r="R35" i="21"/>
  <c r="X63" i="21"/>
  <c r="X60" i="21"/>
  <c r="X78" i="21"/>
  <c r="X51" i="21"/>
  <c r="AP22" i="21"/>
  <c r="X76" i="21"/>
  <c r="X21" i="21"/>
  <c r="X50" i="21"/>
  <c r="X36" i="21"/>
  <c r="X54" i="21"/>
  <c r="X48" i="21"/>
  <c r="AP31" i="21"/>
  <c r="AJ20" i="21"/>
  <c r="X53" i="21"/>
  <c r="AJ22" i="21"/>
  <c r="R36" i="21"/>
  <c r="AP33" i="21"/>
  <c r="AJ31" i="21"/>
  <c r="X55" i="21"/>
  <c r="X20" i="21"/>
  <c r="X73" i="21"/>
  <c r="X22" i="21"/>
  <c r="X62" i="21"/>
  <c r="X31" i="21"/>
  <c r="X81" i="21"/>
  <c r="X66" i="21"/>
  <c r="X33" i="21"/>
  <c r="AJ69" i="21"/>
  <c r="AP74" i="21"/>
  <c r="AJ59" i="21"/>
  <c r="AJ74" i="21"/>
  <c r="AP64" i="21"/>
  <c r="AP79" i="21"/>
  <c r="AJ70" i="21"/>
  <c r="AJ57" i="21"/>
  <c r="AP70" i="21"/>
  <c r="AP81" i="21"/>
  <c r="AP55" i="21"/>
  <c r="AJ64" i="21"/>
  <c r="AJ79" i="21"/>
  <c r="AJ71" i="21"/>
  <c r="AJ77" i="21"/>
  <c r="AP49" i="21"/>
  <c r="AJ73" i="21"/>
  <c r="AJ76" i="21"/>
  <c r="AP51" i="21"/>
  <c r="AJ49" i="21"/>
  <c r="AA66" i="21"/>
  <c r="AA35" i="21"/>
  <c r="AJ65" i="21"/>
  <c r="AA62" i="21"/>
  <c r="AP60" i="21"/>
  <c r="AA48" i="21"/>
  <c r="AP78" i="21"/>
  <c r="AJ81" i="21"/>
  <c r="AP65" i="21"/>
  <c r="AJ51" i="21"/>
  <c r="AP66" i="21"/>
  <c r="AP62" i="21"/>
  <c r="AJ60" i="21"/>
  <c r="AP48" i="21"/>
  <c r="AJ78" i="21"/>
  <c r="AJ53" i="21"/>
  <c r="AJ67" i="21"/>
  <c r="AP58" i="21"/>
  <c r="AJ66" i="21"/>
  <c r="AP72" i="21"/>
  <c r="AJ62" i="21"/>
  <c r="AJ48" i="21"/>
  <c r="AJ58" i="21"/>
  <c r="AP68" i="21"/>
  <c r="AJ72" i="21"/>
  <c r="AP54" i="21"/>
  <c r="AP47" i="21"/>
  <c r="AP53" i="21"/>
  <c r="AJ55" i="21"/>
  <c r="AP61" i="21"/>
  <c r="AJ68" i="21"/>
  <c r="AP50" i="21"/>
  <c r="AP63" i="21"/>
  <c r="AJ54" i="21"/>
  <c r="AJ47" i="21"/>
  <c r="AP67" i="21"/>
  <c r="AP76" i="21"/>
  <c r="AP52" i="21"/>
  <c r="AJ61" i="21"/>
  <c r="AJ50" i="21"/>
  <c r="AP80" i="21"/>
  <c r="AJ63" i="21"/>
  <c r="AP56" i="21"/>
  <c r="AP73" i="21"/>
  <c r="AP75" i="21"/>
  <c r="AJ75" i="21"/>
  <c r="AP71" i="21"/>
  <c r="AJ52" i="21"/>
  <c r="AP77" i="21"/>
  <c r="AP69" i="21"/>
  <c r="AJ80" i="21"/>
  <c r="AP59" i="21"/>
  <c r="AP57" i="21"/>
  <c r="AJ56" i="21"/>
  <c r="AA21" i="21"/>
  <c r="AA33" i="21"/>
  <c r="AA9" i="21"/>
  <c r="AA16" i="21"/>
  <c r="AA64" i="21"/>
  <c r="AA79" i="21"/>
  <c r="AA10" i="21"/>
  <c r="AA76" i="21"/>
  <c r="AA49" i="21"/>
  <c r="AA36" i="21"/>
  <c r="AA73" i="21"/>
  <c r="AA18" i="21"/>
  <c r="AA80" i="21"/>
  <c r="AA75" i="21"/>
  <c r="AA52" i="21"/>
  <c r="AA12" i="21"/>
  <c r="AX23" i="25"/>
  <c r="AA13" i="21"/>
  <c r="AA68" i="21"/>
  <c r="AA46" i="21"/>
  <c r="AA38" i="21"/>
  <c r="AA54" i="21"/>
  <c r="AA56" i="21"/>
  <c r="AA70" i="21"/>
  <c r="AA58" i="21"/>
  <c r="AA65" i="21"/>
  <c r="AX41" i="25"/>
  <c r="BA41" i="25" s="1"/>
  <c r="R52" i="21"/>
  <c r="AA22" i="21"/>
  <c r="AA81" i="21"/>
  <c r="R80" i="21"/>
  <c r="AA55" i="21"/>
  <c r="R56" i="21"/>
  <c r="AA31" i="21"/>
  <c r="O23" i="21"/>
  <c r="R71" i="21"/>
  <c r="AA53" i="21"/>
  <c r="R77" i="21"/>
  <c r="AA67" i="21"/>
  <c r="R69" i="21"/>
  <c r="AJ33" i="21"/>
  <c r="R59" i="21"/>
  <c r="R57" i="21"/>
  <c r="U23" i="21"/>
  <c r="R50" i="21"/>
  <c r="AA20" i="21"/>
  <c r="R21" i="21"/>
  <c r="AA51" i="21"/>
  <c r="AA17" i="21"/>
  <c r="R64" i="21"/>
  <c r="AA60" i="21"/>
  <c r="R79" i="21"/>
  <c r="AA78" i="21"/>
  <c r="R22" i="21"/>
  <c r="R81" i="21"/>
  <c r="R55" i="21"/>
  <c r="O39" i="21"/>
  <c r="R31" i="21"/>
  <c r="AG23" i="21"/>
  <c r="R61" i="21"/>
  <c r="R70" i="21"/>
  <c r="R53" i="21"/>
  <c r="AA11" i="21"/>
  <c r="R67" i="21"/>
  <c r="AA19" i="21"/>
  <c r="AA72" i="21"/>
  <c r="AA32" i="21"/>
  <c r="AM23" i="21"/>
  <c r="R75" i="21"/>
  <c r="R73" i="21"/>
  <c r="R76" i="21"/>
  <c r="R49" i="21"/>
  <c r="AJ35" i="21"/>
  <c r="R65" i="21"/>
  <c r="AA47" i="21"/>
  <c r="R20" i="21"/>
  <c r="AA61" i="21"/>
  <c r="R51" i="21"/>
  <c r="AA50" i="21"/>
  <c r="AM82" i="21"/>
  <c r="AP46" i="21"/>
  <c r="AS34" i="21"/>
  <c r="AV34" i="21" s="1"/>
  <c r="AD34" i="21"/>
  <c r="AA63" i="21"/>
  <c r="R60" i="21"/>
  <c r="R78" i="21"/>
  <c r="AS30" i="21"/>
  <c r="AD30" i="21"/>
  <c r="R66" i="21"/>
  <c r="AG82" i="21"/>
  <c r="AJ46" i="21"/>
  <c r="R62" i="21"/>
  <c r="R48" i="21"/>
  <c r="AM39" i="21"/>
  <c r="AP30" i="21"/>
  <c r="R74" i="21"/>
  <c r="AA71" i="21"/>
  <c r="R58" i="21"/>
  <c r="AA77" i="21"/>
  <c r="AA69" i="21"/>
  <c r="U82" i="21"/>
  <c r="X46" i="21"/>
  <c r="R72" i="21"/>
  <c r="AA37" i="21"/>
  <c r="AA59" i="21"/>
  <c r="AA57" i="21"/>
  <c r="AG39" i="21"/>
  <c r="AJ30" i="21"/>
  <c r="R63" i="21"/>
  <c r="R13" i="21"/>
  <c r="AA15" i="21"/>
  <c r="AA14" i="21"/>
  <c r="R68" i="21"/>
  <c r="O82" i="21"/>
  <c r="R46" i="21"/>
  <c r="AA74" i="21"/>
  <c r="AP37" i="21"/>
  <c r="R54" i="21"/>
  <c r="R47" i="21"/>
  <c r="U39" i="21"/>
  <c r="X30" i="21"/>
  <c r="I75" i="7"/>
  <c r="D7" i="7"/>
  <c r="C7" i="7"/>
  <c r="D12" i="7"/>
  <c r="C12" i="7"/>
  <c r="D18" i="7"/>
  <c r="C18" i="7"/>
  <c r="D28" i="7"/>
  <c r="C28" i="7"/>
  <c r="C38" i="7"/>
  <c r="C42" i="7"/>
  <c r="C51" i="7"/>
  <c r="C57" i="7"/>
  <c r="C64" i="7"/>
  <c r="J75" i="7"/>
  <c r="R39" i="21" l="1"/>
  <c r="AD38" i="21"/>
  <c r="AD46" i="21"/>
  <c r="AD13" i="21"/>
  <c r="AD37" i="21"/>
  <c r="AS48" i="21"/>
  <c r="AV48" i="21" s="1"/>
  <c r="AS10" i="21"/>
  <c r="AD35" i="21"/>
  <c r="AD20" i="21"/>
  <c r="AS66" i="21"/>
  <c r="AV66" i="21" s="1"/>
  <c r="X82" i="21"/>
  <c r="AS36" i="21"/>
  <c r="AV36" i="21" s="1"/>
  <c r="AS17" i="21"/>
  <c r="AS46" i="21"/>
  <c r="AS62" i="21"/>
  <c r="AV62" i="21" s="1"/>
  <c r="AS12" i="21"/>
  <c r="AS16" i="21"/>
  <c r="AS9" i="21"/>
  <c r="AS14" i="21"/>
  <c r="AS15" i="21"/>
  <c r="AD33" i="21"/>
  <c r="AS18" i="21"/>
  <c r="X39" i="21"/>
  <c r="AS19" i="21"/>
  <c r="AD22" i="21"/>
  <c r="AD21" i="21"/>
  <c r="AS21" i="21"/>
  <c r="AV21" i="21" s="1"/>
  <c r="AS35" i="21"/>
  <c r="AV35" i="21" s="1"/>
  <c r="AJ82" i="21"/>
  <c r="AD77" i="21"/>
  <c r="AD53" i="21"/>
  <c r="AD70" i="21"/>
  <c r="AD54" i="21"/>
  <c r="AD52" i="21"/>
  <c r="AD51" i="21"/>
  <c r="AD50" i="21"/>
  <c r="AD71" i="21"/>
  <c r="AD56" i="21"/>
  <c r="AD80" i="21"/>
  <c r="AD67" i="21"/>
  <c r="AD61" i="21"/>
  <c r="AD72" i="21"/>
  <c r="AD58" i="21"/>
  <c r="AD68" i="21"/>
  <c r="AD66" i="21"/>
  <c r="AD75" i="21"/>
  <c r="AD47" i="21"/>
  <c r="AD78" i="21"/>
  <c r="AD73" i="21"/>
  <c r="AD64" i="21"/>
  <c r="AD57" i="21"/>
  <c r="AD55" i="21"/>
  <c r="AD59" i="21"/>
  <c r="AD60" i="21"/>
  <c r="AD65" i="21"/>
  <c r="AD49" i="21"/>
  <c r="AD48" i="21"/>
  <c r="AD76" i="21"/>
  <c r="AD69" i="21"/>
  <c r="AD74" i="21"/>
  <c r="AD81" i="21"/>
  <c r="AS70" i="21"/>
  <c r="AV70" i="21" s="1"/>
  <c r="AS64" i="21"/>
  <c r="AV64" i="21" s="1"/>
  <c r="AS33" i="21"/>
  <c r="AV33" i="21" s="1"/>
  <c r="AD63" i="21"/>
  <c r="AP82" i="21"/>
  <c r="AD79" i="21"/>
  <c r="AD62" i="21"/>
  <c r="AD36" i="21"/>
  <c r="AS79" i="21"/>
  <c r="AV79" i="21" s="1"/>
  <c r="AS76" i="21"/>
  <c r="AV76" i="21" s="1"/>
  <c r="AS80" i="21"/>
  <c r="AV80" i="21" s="1"/>
  <c r="AS49" i="21"/>
  <c r="AV49" i="21" s="1"/>
  <c r="AS72" i="21"/>
  <c r="AV72" i="21" s="1"/>
  <c r="AS75" i="21"/>
  <c r="AV75" i="21" s="1"/>
  <c r="AS65" i="21"/>
  <c r="AV65" i="21" s="1"/>
  <c r="AS68" i="21"/>
  <c r="AV68" i="21" s="1"/>
  <c r="AS73" i="21"/>
  <c r="AV73" i="21" s="1"/>
  <c r="AS38" i="21"/>
  <c r="AV38" i="21" s="1"/>
  <c r="AS54" i="21"/>
  <c r="AV54" i="21" s="1"/>
  <c r="AS60" i="21"/>
  <c r="AV60" i="21" s="1"/>
  <c r="AS13" i="21"/>
  <c r="AV13" i="21" s="1"/>
  <c r="AS51" i="21"/>
  <c r="AV51" i="21" s="1"/>
  <c r="AS22" i="21"/>
  <c r="AV22" i="21" s="1"/>
  <c r="AS52" i="21"/>
  <c r="AV52" i="21" s="1"/>
  <c r="AA23" i="21"/>
  <c r="AS53" i="21"/>
  <c r="AV53" i="21" s="1"/>
  <c r="AS11" i="21"/>
  <c r="AS58" i="21"/>
  <c r="AV58" i="21" s="1"/>
  <c r="AS81" i="21"/>
  <c r="AV81" i="21" s="1"/>
  <c r="AS56" i="21"/>
  <c r="AV56" i="21" s="1"/>
  <c r="AS67" i="21"/>
  <c r="AV67" i="21" s="1"/>
  <c r="AJ39" i="21"/>
  <c r="AS59" i="21"/>
  <c r="AV59" i="21" s="1"/>
  <c r="AS31" i="21"/>
  <c r="AV31" i="21" s="1"/>
  <c r="AD31" i="21"/>
  <c r="AS74" i="21"/>
  <c r="AV74" i="21" s="1"/>
  <c r="AS47" i="21"/>
  <c r="AV47" i="21" s="1"/>
  <c r="AP39" i="21"/>
  <c r="AA39" i="21"/>
  <c r="AV30" i="21"/>
  <c r="AS61" i="21"/>
  <c r="AV61" i="21" s="1"/>
  <c r="AS69" i="21"/>
  <c r="AV69" i="21" s="1"/>
  <c r="AS32" i="21"/>
  <c r="AV32" i="21" s="1"/>
  <c r="AD32" i="21"/>
  <c r="AS37" i="21"/>
  <c r="AV37" i="21" s="1"/>
  <c r="AS63" i="21"/>
  <c r="AV63" i="21" s="1"/>
  <c r="AS78" i="21"/>
  <c r="AV78" i="21" s="1"/>
  <c r="AS50" i="21"/>
  <c r="AV50" i="21" s="1"/>
  <c r="AA82" i="21"/>
  <c r="AS77" i="21"/>
  <c r="AV77" i="21" s="1"/>
  <c r="R82" i="21"/>
  <c r="AS20" i="21"/>
  <c r="AV20" i="21" s="1"/>
  <c r="AS55" i="21"/>
  <c r="AV55" i="21" s="1"/>
  <c r="AV46" i="21"/>
  <c r="AS57" i="21"/>
  <c r="AV57" i="21" s="1"/>
  <c r="AS71" i="21"/>
  <c r="AV71" i="21" s="1"/>
  <c r="L9" i="21"/>
  <c r="P1" i="29"/>
  <c r="L11" i="29" s="1"/>
  <c r="K18" i="25"/>
  <c r="AO18" i="25" s="1"/>
  <c r="L18" i="21"/>
  <c r="L16" i="21"/>
  <c r="K16" i="25"/>
  <c r="AO16" i="25" s="1"/>
  <c r="L11" i="21"/>
  <c r="K11" i="25"/>
  <c r="AO11" i="25" s="1"/>
  <c r="K10" i="25"/>
  <c r="AO10" i="25" s="1"/>
  <c r="L10" i="21"/>
  <c r="K12" i="25"/>
  <c r="AO12" i="25" s="1"/>
  <c r="L12" i="21"/>
  <c r="K17" i="25"/>
  <c r="AO17" i="25" s="1"/>
  <c r="L17" i="21"/>
  <c r="L15" i="21"/>
  <c r="K15" i="25"/>
  <c r="AO15" i="25" s="1"/>
  <c r="K14" i="25"/>
  <c r="AO14" i="25" s="1"/>
  <c r="L14" i="21"/>
  <c r="K9" i="25"/>
  <c r="K19" i="25"/>
  <c r="AO19" i="25" s="1"/>
  <c r="L19" i="21"/>
  <c r="D75" i="7"/>
  <c r="C75" i="7"/>
  <c r="E75" i="7"/>
  <c r="G75" i="7"/>
  <c r="H75" i="7"/>
  <c r="L89" i="29" l="1"/>
  <c r="L73" i="29"/>
  <c r="L76" i="29"/>
  <c r="L22" i="29"/>
  <c r="L74" i="29"/>
  <c r="L34" i="29"/>
  <c r="L79" i="29"/>
  <c r="L44" i="29"/>
  <c r="L42" i="29"/>
  <c r="L10" i="29"/>
  <c r="L87" i="29"/>
  <c r="L88" i="29"/>
  <c r="L40" i="29"/>
  <c r="L72" i="29"/>
  <c r="L13" i="29"/>
  <c r="L27" i="29"/>
  <c r="L35" i="29"/>
  <c r="L21" i="29"/>
  <c r="L23" i="29"/>
  <c r="L36" i="29"/>
  <c r="L56" i="29"/>
  <c r="L53" i="29"/>
  <c r="L100" i="29"/>
  <c r="L64" i="29"/>
  <c r="L63" i="29"/>
  <c r="L20" i="29"/>
  <c r="L78" i="29"/>
  <c r="L94" i="29"/>
  <c r="L19" i="29"/>
  <c r="L41" i="29"/>
  <c r="L43" i="29"/>
  <c r="L59" i="29"/>
  <c r="L37" i="29"/>
  <c r="L80" i="29"/>
  <c r="L102" i="29"/>
  <c r="L81" i="29"/>
  <c r="L103" i="29"/>
  <c r="L75" i="29"/>
  <c r="L25" i="29"/>
  <c r="L62" i="29"/>
  <c r="L61" i="29"/>
  <c r="L12" i="29"/>
  <c r="L38" i="29"/>
  <c r="L50" i="29"/>
  <c r="L28" i="29"/>
  <c r="L82" i="29"/>
  <c r="L101" i="29"/>
  <c r="L93" i="29"/>
  <c r="L26" i="29"/>
  <c r="L71" i="29"/>
  <c r="L104" i="29"/>
  <c r="L60" i="29"/>
  <c r="L77" i="29"/>
  <c r="L29" i="29"/>
  <c r="L86" i="29"/>
  <c r="L105" i="29"/>
  <c r="L95" i="29"/>
  <c r="L32" i="29"/>
  <c r="L65" i="29"/>
  <c r="L14" i="29"/>
  <c r="L30" i="29"/>
  <c r="L90" i="29"/>
  <c r="L17" i="29"/>
  <c r="L45" i="29"/>
  <c r="L67" i="29"/>
  <c r="L83" i="29"/>
  <c r="L47" i="29"/>
  <c r="L97" i="29"/>
  <c r="L106" i="29"/>
  <c r="AO9" i="25"/>
  <c r="BA9" i="25"/>
  <c r="W11" i="25"/>
  <c r="AI11" i="25"/>
  <c r="W9" i="25"/>
  <c r="AI9" i="25"/>
  <c r="W10" i="25"/>
  <c r="AI10" i="25"/>
  <c r="W15" i="25"/>
  <c r="AI15" i="25"/>
  <c r="W16" i="25"/>
  <c r="AI16" i="25"/>
  <c r="W19" i="25"/>
  <c r="AI19" i="25"/>
  <c r="W17" i="25"/>
  <c r="AI17" i="25"/>
  <c r="W14" i="25"/>
  <c r="AI14" i="25"/>
  <c r="W12" i="25"/>
  <c r="AI12" i="25"/>
  <c r="W18" i="25"/>
  <c r="AI18" i="25"/>
  <c r="AD82" i="21"/>
  <c r="AS23" i="21"/>
  <c r="AD39" i="21"/>
  <c r="K23" i="25"/>
  <c r="AO23" i="25" s="1"/>
  <c r="AV82" i="21"/>
  <c r="AS82" i="21"/>
  <c r="AV39" i="21"/>
  <c r="AS39" i="21"/>
  <c r="AP19" i="21"/>
  <c r="AJ19" i="21"/>
  <c r="AD19" i="21"/>
  <c r="X19" i="21"/>
  <c r="R19" i="21"/>
  <c r="AV19" i="21"/>
  <c r="BA10" i="25"/>
  <c r="AU10" i="25"/>
  <c r="Q10" i="25"/>
  <c r="AC10" i="25"/>
  <c r="AJ15" i="21"/>
  <c r="AD15" i="21"/>
  <c r="AP15" i="21"/>
  <c r="AV15" i="21"/>
  <c r="R15" i="21"/>
  <c r="X15" i="21"/>
  <c r="BA19" i="25"/>
  <c r="Q19" i="25"/>
  <c r="AU19" i="25"/>
  <c r="AC19" i="25"/>
  <c r="BA11" i="25"/>
  <c r="AU11" i="25"/>
  <c r="AC11" i="25"/>
  <c r="Q11" i="25"/>
  <c r="Q17" i="25"/>
  <c r="BA17" i="25"/>
  <c r="AU17" i="25"/>
  <c r="AC17" i="25"/>
  <c r="AC15" i="25"/>
  <c r="Q15" i="25"/>
  <c r="BA15" i="25"/>
  <c r="AU15" i="25"/>
  <c r="X12" i="21"/>
  <c r="AJ12" i="21"/>
  <c r="AD12" i="21"/>
  <c r="R12" i="21"/>
  <c r="AV12" i="21"/>
  <c r="AP12" i="21"/>
  <c r="AJ10" i="21"/>
  <c r="AD10" i="21"/>
  <c r="X10" i="21"/>
  <c r="AP10" i="21"/>
  <c r="R10" i="21"/>
  <c r="AV10" i="21"/>
  <c r="X9" i="21"/>
  <c r="AJ9" i="21"/>
  <c r="L23" i="21"/>
  <c r="AD9" i="21"/>
  <c r="R9" i="21"/>
  <c r="AP9" i="21"/>
  <c r="BA12" i="25"/>
  <c r="AU12" i="25"/>
  <c r="AC12" i="25"/>
  <c r="Q12" i="25"/>
  <c r="AC16" i="25"/>
  <c r="Q16" i="25"/>
  <c r="BA16" i="25"/>
  <c r="AU16" i="25"/>
  <c r="AJ17" i="21"/>
  <c r="AD17" i="21"/>
  <c r="X17" i="21"/>
  <c r="AP17" i="21"/>
  <c r="AV17" i="21"/>
  <c r="R17" i="21"/>
  <c r="AJ16" i="21"/>
  <c r="AD16" i="21"/>
  <c r="AV16" i="21"/>
  <c r="R16" i="21"/>
  <c r="X16" i="21"/>
  <c r="AP16" i="21"/>
  <c r="AU9" i="25"/>
  <c r="AC9" i="25"/>
  <c r="Q9" i="25"/>
  <c r="X14" i="21"/>
  <c r="AJ14" i="21"/>
  <c r="R14" i="21"/>
  <c r="AP14" i="21"/>
  <c r="AV14" i="21"/>
  <c r="AD14" i="21"/>
  <c r="AD18" i="21"/>
  <c r="X18" i="21"/>
  <c r="R18" i="21"/>
  <c r="AP18" i="21"/>
  <c r="AJ18" i="21"/>
  <c r="AV18" i="21"/>
  <c r="X11" i="21"/>
  <c r="AP11" i="21"/>
  <c r="AJ11" i="21"/>
  <c r="AD11" i="21"/>
  <c r="R11" i="21"/>
  <c r="AV11" i="21"/>
  <c r="AU14" i="25"/>
  <c r="Q14" i="25"/>
  <c r="AC14" i="25"/>
  <c r="BA14" i="25"/>
  <c r="Q18" i="25"/>
  <c r="BA18" i="25"/>
  <c r="AU18" i="25"/>
  <c r="AC18" i="25"/>
  <c r="F75" i="7"/>
  <c r="K47" i="11"/>
  <c r="N47" i="11"/>
  <c r="Q47" i="11"/>
  <c r="T47" i="11"/>
  <c r="W47" i="11"/>
  <c r="K48" i="11"/>
  <c r="N48" i="11"/>
  <c r="Q48" i="11"/>
  <c r="T48" i="11"/>
  <c r="W48" i="11"/>
  <c r="K49" i="11"/>
  <c r="T49" i="11"/>
  <c r="W49" i="11"/>
  <c r="W46" i="11"/>
  <c r="T46" i="11"/>
  <c r="Q46" i="11"/>
  <c r="N46" i="11"/>
  <c r="K46" i="11"/>
  <c r="W23" i="25" l="1"/>
  <c r="AI23" i="25"/>
  <c r="AC23" i="25"/>
  <c r="Q23" i="25"/>
  <c r="BA23" i="25"/>
  <c r="AU23" i="25"/>
  <c r="X23" i="21"/>
  <c r="R23" i="21"/>
  <c r="AP23" i="21"/>
  <c r="AJ23" i="21"/>
  <c r="AD23" i="21"/>
  <c r="K50" i="11"/>
  <c r="N50" i="11"/>
  <c r="W50" i="11"/>
  <c r="Q50" i="11"/>
  <c r="T50" i="11"/>
  <c r="W80" i="17"/>
  <c r="W71" i="17"/>
  <c r="AK114" i="16"/>
  <c r="A130" i="16" s="1"/>
  <c r="AK113" i="16"/>
  <c r="A128" i="16" s="1"/>
  <c r="AH104" i="16"/>
  <c r="B1" i="4"/>
  <c r="C1" i="4"/>
  <c r="D1" i="4"/>
  <c r="E1" i="4"/>
  <c r="F1" i="4"/>
  <c r="G1" i="4"/>
  <c r="H1" i="4"/>
  <c r="I1" i="4"/>
  <c r="J1" i="4"/>
  <c r="K1" i="4"/>
  <c r="L1" i="4"/>
  <c r="M1" i="4"/>
  <c r="N1" i="4"/>
  <c r="O1" i="4"/>
  <c r="P1" i="4"/>
  <c r="Q1" i="4"/>
  <c r="R1" i="4"/>
  <c r="S1" i="4"/>
  <c r="T1" i="4"/>
  <c r="U1" i="4"/>
  <c r="V1" i="4"/>
  <c r="W1" i="4"/>
  <c r="X1" i="4"/>
  <c r="Y1" i="4"/>
  <c r="Z1" i="4"/>
  <c r="AA1" i="4"/>
  <c r="AB1" i="4"/>
  <c r="AC1" i="4"/>
  <c r="AD1" i="4"/>
  <c r="AE1" i="4"/>
  <c r="AF1" i="4"/>
  <c r="AG1" i="4"/>
  <c r="AH1" i="4"/>
  <c r="AI1" i="4"/>
  <c r="AJ1" i="4"/>
  <c r="AK1" i="4"/>
  <c r="AL1" i="4"/>
  <c r="AM1" i="4"/>
  <c r="AN1" i="4"/>
  <c r="AO1" i="4"/>
  <c r="AP1" i="4"/>
  <c r="AQ1" i="4"/>
  <c r="AR1" i="4"/>
  <c r="AS1" i="4"/>
  <c r="AT1" i="4"/>
  <c r="AU1" i="4"/>
  <c r="AV1" i="4"/>
  <c r="AW1" i="4"/>
  <c r="AX1" i="4"/>
  <c r="AY1" i="4"/>
  <c r="AZ1" i="4"/>
  <c r="BA1" i="4"/>
  <c r="BB1" i="4"/>
  <c r="BC1" i="4"/>
  <c r="BD1" i="4"/>
  <c r="BE1" i="4"/>
  <c r="BF1" i="4"/>
  <c r="BG1" i="4"/>
  <c r="BH1" i="4"/>
  <c r="BI1" i="4"/>
  <c r="BJ1" i="4"/>
  <c r="BK1" i="4"/>
  <c r="BL1" i="4"/>
  <c r="BM1" i="4"/>
  <c r="BN1" i="4"/>
  <c r="BO1" i="4"/>
  <c r="BP1" i="4"/>
  <c r="BQ1" i="4"/>
  <c r="BR1" i="4"/>
  <c r="BS1" i="4"/>
  <c r="BT1" i="4"/>
  <c r="BU1" i="4"/>
  <c r="BV1" i="4"/>
  <c r="BW1" i="4"/>
  <c r="BX1" i="4"/>
  <c r="BY1" i="4"/>
  <c r="BZ1" i="4"/>
  <c r="CA1" i="4"/>
  <c r="CB1" i="4"/>
  <c r="CC1" i="4"/>
  <c r="CD1" i="4"/>
  <c r="CE1" i="4"/>
  <c r="CF1" i="4"/>
  <c r="CG1" i="4"/>
  <c r="CH1" i="4"/>
  <c r="CI1" i="4"/>
  <c r="CJ1" i="4"/>
  <c r="CK1" i="4"/>
  <c r="CL1" i="4"/>
  <c r="CM1" i="4"/>
  <c r="CN1" i="4"/>
  <c r="CO1" i="4"/>
  <c r="CP1" i="4"/>
  <c r="CQ1" i="4"/>
  <c r="CR1" i="4"/>
  <c r="CS1" i="4"/>
  <c r="CT1" i="4"/>
  <c r="CU1" i="4"/>
  <c r="CV1" i="4"/>
  <c r="CW1" i="4"/>
  <c r="CX1" i="4"/>
  <c r="CY1" i="4"/>
  <c r="CZ1" i="4"/>
  <c r="DA1" i="4"/>
  <c r="DB1" i="4"/>
  <c r="DC1" i="4"/>
  <c r="DD1" i="4"/>
  <c r="DE1" i="4"/>
  <c r="DF1" i="4"/>
  <c r="DG1" i="4"/>
  <c r="DH1" i="4"/>
  <c r="DI1" i="4"/>
  <c r="DJ1" i="4"/>
  <c r="DK1" i="4"/>
  <c r="DL1" i="4"/>
  <c r="DM1" i="4"/>
  <c r="DN1" i="4"/>
  <c r="DO1" i="4"/>
  <c r="DP1" i="4"/>
  <c r="DQ1" i="4"/>
  <c r="DR1" i="4"/>
  <c r="DS1" i="4"/>
  <c r="DT1" i="4"/>
  <c r="DU1" i="4"/>
  <c r="DV1" i="4"/>
  <c r="DW1" i="4"/>
  <c r="DX1" i="4"/>
  <c r="DY1" i="4"/>
  <c r="DZ1" i="4"/>
  <c r="EA1" i="4"/>
  <c r="EB1" i="4"/>
  <c r="EC1" i="4"/>
  <c r="ED1" i="4"/>
  <c r="EE1" i="4"/>
  <c r="EF1" i="4"/>
  <c r="EG1" i="4"/>
  <c r="EH1" i="4"/>
  <c r="EI1" i="4"/>
  <c r="EJ1" i="4"/>
  <c r="EK1" i="4"/>
  <c r="EL1" i="4"/>
  <c r="EM1" i="4"/>
  <c r="EN1" i="4"/>
  <c r="EO1" i="4"/>
  <c r="EP1" i="4"/>
  <c r="EQ1" i="4"/>
  <c r="ER1" i="4"/>
  <c r="ES1" i="4"/>
  <c r="ET1" i="4"/>
  <c r="EU1" i="4"/>
  <c r="EV1" i="4"/>
  <c r="EW1" i="4"/>
  <c r="EX1" i="4"/>
  <c r="EY1" i="4"/>
  <c r="EZ1" i="4"/>
  <c r="FA1" i="4"/>
  <c r="FB1" i="4"/>
  <c r="FC1" i="4"/>
  <c r="FD1" i="4"/>
  <c r="FE1" i="4"/>
  <c r="FF1" i="4"/>
  <c r="FG1" i="4"/>
  <c r="FH1" i="4"/>
  <c r="FI1" i="4"/>
  <c r="FJ1" i="4"/>
  <c r="FK1" i="4"/>
  <c r="FL1" i="4"/>
  <c r="FM1" i="4"/>
  <c r="FN1" i="4"/>
  <c r="FO1" i="4"/>
  <c r="FP1" i="4"/>
  <c r="FQ1" i="4"/>
  <c r="FR1" i="4"/>
  <c r="FS1" i="4"/>
  <c r="FT1" i="4"/>
  <c r="FU1" i="4"/>
  <c r="FV1" i="4"/>
  <c r="FW1" i="4"/>
  <c r="FX1" i="4"/>
  <c r="FY1" i="4"/>
  <c r="FZ1" i="4"/>
  <c r="GA1" i="4"/>
  <c r="GB1" i="4"/>
  <c r="GC1" i="4"/>
  <c r="GD1" i="4"/>
  <c r="GE1" i="4"/>
  <c r="GF1" i="4"/>
  <c r="GG1" i="4"/>
  <c r="GH1" i="4"/>
  <c r="GI1" i="4"/>
  <c r="GJ1" i="4"/>
  <c r="GK1" i="4"/>
  <c r="GL1" i="4"/>
  <c r="GM1" i="4"/>
  <c r="GN1" i="4"/>
  <c r="GO1" i="4"/>
  <c r="GP1" i="4"/>
  <c r="GQ1" i="4"/>
  <c r="GR1" i="4"/>
  <c r="GS1" i="4"/>
  <c r="GT1" i="4"/>
  <c r="GU1" i="4"/>
  <c r="GV1" i="4"/>
  <c r="GW1" i="4"/>
  <c r="GX1" i="4"/>
  <c r="GY1" i="4"/>
  <c r="GZ1" i="4"/>
  <c r="HA1" i="4"/>
  <c r="HB1" i="4"/>
  <c r="HC1" i="4"/>
  <c r="HD1" i="4"/>
  <c r="HE1" i="4"/>
  <c r="HF1" i="4"/>
  <c r="HG1" i="4"/>
  <c r="HH1" i="4"/>
  <c r="HI1" i="4"/>
  <c r="HJ1" i="4"/>
  <c r="HK1" i="4"/>
  <c r="HL1" i="4"/>
  <c r="HM1" i="4"/>
  <c r="HN1" i="4"/>
  <c r="HO1" i="4"/>
  <c r="HP1" i="4"/>
  <c r="HQ1" i="4"/>
  <c r="HR1" i="4"/>
  <c r="HS1" i="4"/>
  <c r="HT1" i="4"/>
  <c r="HU1" i="4"/>
  <c r="HV1" i="4"/>
  <c r="HW1" i="4"/>
  <c r="HX1" i="4"/>
  <c r="HY1" i="4"/>
  <c r="HZ1" i="4"/>
  <c r="IA1" i="4"/>
  <c r="IB1" i="4"/>
  <c r="IC1" i="4"/>
  <c r="ID1" i="4"/>
  <c r="IE1" i="4"/>
  <c r="IF1" i="4"/>
  <c r="IG1" i="4"/>
  <c r="IH1" i="4"/>
  <c r="II1" i="4"/>
  <c r="IJ1" i="4"/>
  <c r="IK1" i="4"/>
  <c r="IL1" i="4"/>
  <c r="IM1" i="4"/>
  <c r="IN1" i="4"/>
  <c r="IO1" i="4"/>
  <c r="IP1" i="4"/>
  <c r="IQ1" i="4"/>
  <c r="IR1" i="4"/>
  <c r="IS1" i="4"/>
  <c r="IT1" i="4"/>
  <c r="IU1" i="4"/>
  <c r="IV1" i="4"/>
  <c r="IW1" i="4"/>
  <c r="IX1" i="4"/>
  <c r="IY1" i="4"/>
  <c r="IZ1" i="4"/>
  <c r="JA1" i="4"/>
  <c r="JB1" i="4"/>
  <c r="JC1" i="4"/>
  <c r="JD1" i="4"/>
  <c r="JE1" i="4"/>
  <c r="JF1" i="4"/>
  <c r="JG1" i="4"/>
  <c r="JH1" i="4"/>
  <c r="JI1" i="4"/>
  <c r="JJ1" i="4"/>
  <c r="JK1" i="4"/>
  <c r="JL1" i="4"/>
  <c r="JM1" i="4"/>
  <c r="JN1" i="4"/>
  <c r="JO1" i="4"/>
  <c r="JP1" i="4"/>
  <c r="JQ1" i="4"/>
  <c r="JR1" i="4"/>
  <c r="JS1" i="4"/>
  <c r="JT1" i="4"/>
  <c r="JU1" i="4"/>
  <c r="JV1" i="4"/>
  <c r="JW1" i="4"/>
  <c r="JX1" i="4"/>
  <c r="JY1" i="4"/>
  <c r="JZ1" i="4"/>
  <c r="KA1" i="4"/>
  <c r="KB1" i="4"/>
  <c r="KC1" i="4"/>
  <c r="KD1" i="4"/>
  <c r="KE1" i="4"/>
  <c r="KF1" i="4"/>
  <c r="KG1" i="4"/>
  <c r="KH1" i="4"/>
  <c r="KI1" i="4"/>
  <c r="KJ1" i="4"/>
  <c r="KK1" i="4"/>
  <c r="KL1" i="4"/>
  <c r="KM1" i="4"/>
  <c r="KN1" i="4"/>
  <c r="KO1" i="4"/>
  <c r="KP1" i="4"/>
  <c r="KQ1" i="4"/>
  <c r="KR1" i="4"/>
  <c r="KS1" i="4"/>
  <c r="KT1" i="4"/>
  <c r="KU1" i="4"/>
  <c r="KV1" i="4"/>
  <c r="KW1" i="4"/>
  <c r="KX1" i="4"/>
  <c r="KY1" i="4"/>
  <c r="KZ1" i="4"/>
  <c r="LA1" i="4"/>
  <c r="LB1" i="4"/>
  <c r="LC1" i="4"/>
  <c r="LD1" i="4"/>
  <c r="LE1" i="4"/>
  <c r="LF1" i="4"/>
  <c r="LG1" i="4"/>
  <c r="LH1" i="4"/>
  <c r="LI1" i="4"/>
  <c r="LJ1" i="4"/>
  <c r="LK1" i="4"/>
  <c r="LL1" i="4"/>
  <c r="LM1" i="4"/>
  <c r="LN1" i="4"/>
  <c r="LO1" i="4"/>
  <c r="LP1" i="4"/>
  <c r="LQ1" i="4"/>
  <c r="LR1" i="4"/>
  <c r="LS1" i="4"/>
  <c r="LT1" i="4"/>
  <c r="LU1" i="4"/>
  <c r="LV1" i="4"/>
  <c r="LW1" i="4"/>
  <c r="LX1" i="4"/>
  <c r="LY1" i="4"/>
  <c r="LZ1" i="4"/>
  <c r="MA1" i="4"/>
  <c r="MB1" i="4"/>
  <c r="MC1" i="4"/>
  <c r="MD1" i="4"/>
  <c r="ME1" i="4"/>
  <c r="MF1" i="4"/>
  <c r="MG1" i="4"/>
  <c r="MH1" i="4"/>
  <c r="MI1" i="4"/>
  <c r="MJ1" i="4"/>
  <c r="MK1" i="4"/>
  <c r="ML1" i="4"/>
  <c r="MM1" i="4"/>
  <c r="MN1" i="4"/>
  <c r="MO1" i="4"/>
  <c r="MP1" i="4"/>
  <c r="MQ1" i="4"/>
  <c r="MR1" i="4"/>
  <c r="MS1" i="4"/>
  <c r="MT1" i="4"/>
  <c r="MU1" i="4"/>
  <c r="MV1" i="4"/>
  <c r="MW1" i="4"/>
  <c r="MX1" i="4"/>
  <c r="MY1" i="4"/>
  <c r="MZ1" i="4"/>
  <c r="NA1" i="4"/>
  <c r="NB1" i="4"/>
  <c r="NC1" i="4"/>
  <c r="ND1" i="4"/>
  <c r="NE1" i="4"/>
  <c r="NF1" i="4"/>
  <c r="NG1" i="4"/>
  <c r="NH1" i="4"/>
  <c r="NI1" i="4"/>
  <c r="NJ1" i="4"/>
  <c r="NK1" i="4"/>
  <c r="NL1" i="4"/>
  <c r="NM1" i="4"/>
  <c r="NN1" i="4"/>
  <c r="NO1" i="4"/>
  <c r="NP1" i="4"/>
  <c r="NQ1" i="4"/>
  <c r="NR1" i="4"/>
  <c r="NS1" i="4"/>
  <c r="NT1" i="4"/>
  <c r="NU1" i="4"/>
  <c r="NV1" i="4"/>
  <c r="NW1" i="4"/>
  <c r="NX1" i="4"/>
  <c r="NY1" i="4"/>
  <c r="NZ1" i="4"/>
  <c r="OA1" i="4"/>
  <c r="OB1" i="4"/>
  <c r="OC1" i="4"/>
  <c r="OD1" i="4"/>
  <c r="OE1" i="4"/>
  <c r="OF1" i="4"/>
  <c r="OG1" i="4"/>
  <c r="OH1" i="4"/>
  <c r="OI1" i="4"/>
  <c r="OJ1" i="4"/>
  <c r="OK1" i="4"/>
  <c r="OL1" i="4"/>
  <c r="OM1" i="4"/>
  <c r="ON1" i="4"/>
  <c r="OO1" i="4"/>
  <c r="OP1" i="4"/>
  <c r="OQ1" i="4"/>
  <c r="OR1" i="4"/>
  <c r="OS1" i="4"/>
  <c r="OT1" i="4"/>
  <c r="OU1" i="4"/>
  <c r="OV1" i="4"/>
  <c r="OW1" i="4"/>
  <c r="OX1" i="4"/>
  <c r="OY1" i="4"/>
  <c r="OZ1" i="4"/>
  <c r="PA1" i="4"/>
  <c r="PB1" i="4"/>
  <c r="PC1" i="4"/>
  <c r="PD1" i="4"/>
  <c r="PE1" i="4"/>
  <c r="PF1" i="4"/>
  <c r="PG1" i="4"/>
  <c r="PH1" i="4"/>
  <c r="PI1" i="4"/>
  <c r="PJ1" i="4"/>
  <c r="PK1" i="4"/>
  <c r="PL1" i="4"/>
  <c r="PM1" i="4"/>
  <c r="PN1" i="4"/>
  <c r="PO1" i="4"/>
  <c r="PP1" i="4"/>
  <c r="PQ1" i="4"/>
  <c r="PR1" i="4"/>
  <c r="PS1" i="4"/>
  <c r="PT1" i="4"/>
  <c r="PU1" i="4"/>
  <c r="PV1" i="4"/>
  <c r="PW1" i="4"/>
  <c r="PX1" i="4"/>
  <c r="PY1" i="4"/>
  <c r="PZ1" i="4"/>
  <c r="QA1" i="4"/>
  <c r="QB1" i="4"/>
  <c r="QC1" i="4"/>
  <c r="QD1" i="4"/>
  <c r="QE1" i="4"/>
  <c r="QF1" i="4"/>
  <c r="QG1" i="4"/>
  <c r="QH1" i="4"/>
  <c r="QI1" i="4"/>
  <c r="QJ1" i="4"/>
  <c r="QK1" i="4"/>
  <c r="QL1" i="4"/>
  <c r="QM1" i="4"/>
  <c r="QN1" i="4"/>
  <c r="QO1" i="4"/>
  <c r="QP1" i="4"/>
  <c r="QQ1" i="4"/>
  <c r="QR1" i="4"/>
  <c r="QS1" i="4"/>
  <c r="QT1" i="4"/>
  <c r="QU1" i="4"/>
  <c r="QV1" i="4"/>
  <c r="QW1" i="4"/>
  <c r="QX1" i="4"/>
  <c r="QY1" i="4"/>
  <c r="QZ1" i="4"/>
  <c r="RA1" i="4"/>
  <c r="RB1" i="4"/>
  <c r="RC1" i="4"/>
  <c r="RD1" i="4"/>
  <c r="RE1" i="4"/>
  <c r="RF1" i="4"/>
  <c r="RG1" i="4"/>
  <c r="RH1" i="4"/>
  <c r="RI1" i="4"/>
  <c r="RJ1" i="4"/>
  <c r="RK1" i="4"/>
  <c r="RL1" i="4"/>
  <c r="RM1" i="4"/>
  <c r="RN1" i="4"/>
  <c r="RO1" i="4"/>
  <c r="RP1" i="4"/>
  <c r="RQ1" i="4"/>
  <c r="RR1" i="4"/>
  <c r="RS1" i="4"/>
  <c r="RT1" i="4"/>
  <c r="RU1" i="4"/>
  <c r="RV1" i="4"/>
  <c r="RW1" i="4"/>
  <c r="RX1" i="4"/>
  <c r="RY1" i="4"/>
  <c r="RZ1" i="4"/>
  <c r="SA1" i="4"/>
  <c r="SB1" i="4"/>
  <c r="SC1" i="4"/>
  <c r="SD1" i="4"/>
  <c r="SE1" i="4"/>
  <c r="SF1" i="4"/>
  <c r="SG1" i="4"/>
  <c r="SH1" i="4"/>
  <c r="SI1" i="4"/>
  <c r="SJ1" i="4"/>
  <c r="SK1" i="4"/>
  <c r="SL1" i="4"/>
  <c r="SM1" i="4"/>
  <c r="SN1" i="4"/>
  <c r="SO1" i="4"/>
  <c r="SP1" i="4"/>
  <c r="SQ1" i="4"/>
  <c r="SR1" i="4"/>
  <c r="SS1" i="4"/>
  <c r="ST1" i="4"/>
  <c r="SU1" i="4"/>
  <c r="SV1" i="4"/>
  <c r="SW1" i="4"/>
  <c r="SX1" i="4"/>
  <c r="SY1" i="4"/>
  <c r="SZ1" i="4"/>
  <c r="TA1" i="4"/>
  <c r="TB1" i="4"/>
  <c r="TC1" i="4"/>
  <c r="TD1" i="4"/>
  <c r="TE1" i="4"/>
  <c r="TF1" i="4"/>
  <c r="TG1" i="4"/>
  <c r="TH1" i="4"/>
  <c r="TI1" i="4"/>
  <c r="TJ1" i="4"/>
  <c r="TK1" i="4"/>
  <c r="TL1" i="4"/>
  <c r="TM1" i="4"/>
  <c r="TN1" i="4"/>
  <c r="TO1" i="4"/>
  <c r="TP1" i="4"/>
  <c r="TQ1" i="4"/>
  <c r="TR1" i="4"/>
  <c r="TS1" i="4"/>
  <c r="TT1" i="4"/>
  <c r="TU1" i="4"/>
  <c r="TV1" i="4"/>
  <c r="TW1" i="4"/>
  <c r="TX1" i="4"/>
  <c r="TY1" i="4"/>
  <c r="TZ1" i="4"/>
  <c r="UA1" i="4"/>
  <c r="UB1" i="4"/>
  <c r="UC1" i="4"/>
  <c r="UD1" i="4"/>
  <c r="UE1" i="4"/>
  <c r="UF1" i="4"/>
  <c r="UG1" i="4"/>
  <c r="UH1" i="4"/>
  <c r="UI1" i="4"/>
  <c r="UJ1" i="4"/>
  <c r="UK1" i="4"/>
  <c r="UL1" i="4"/>
  <c r="UM1" i="4"/>
  <c r="UN1" i="4"/>
  <c r="UO1" i="4"/>
  <c r="UP1" i="4"/>
  <c r="UQ1" i="4"/>
  <c r="UR1" i="4"/>
  <c r="US1" i="4"/>
  <c r="UT1" i="4"/>
  <c r="UU1" i="4"/>
  <c r="UV1" i="4"/>
  <c r="UW1" i="4"/>
  <c r="UX1" i="4"/>
  <c r="UY1" i="4"/>
  <c r="UZ1" i="4"/>
  <c r="VA1" i="4"/>
  <c r="VB1" i="4"/>
  <c r="VC1" i="4"/>
  <c r="VD1" i="4"/>
  <c r="VE1" i="4"/>
  <c r="VF1" i="4"/>
  <c r="VG1" i="4"/>
  <c r="VH1" i="4"/>
  <c r="VI1" i="4"/>
  <c r="VJ1" i="4"/>
  <c r="G128" i="16" l="1" a="1"/>
  <c r="G128" i="16" s="1"/>
  <c r="C128" i="16" a="1"/>
  <c r="C128" i="16" s="1"/>
  <c r="E128" i="16" s="1"/>
  <c r="G130" i="16" a="1"/>
  <c r="G130" i="16" s="1"/>
  <c r="C130" i="16" a="1"/>
  <c r="C130" i="16" s="1"/>
  <c r="E130" i="16" s="1"/>
  <c r="J30" i="16"/>
  <c r="J29" i="16"/>
  <c r="J28" i="16"/>
  <c r="J27" i="16"/>
  <c r="J26" i="16"/>
  <c r="J22" i="16"/>
  <c r="J21" i="16"/>
  <c r="J20" i="16"/>
  <c r="A2" i="16"/>
  <c r="J11" i="16"/>
  <c r="I130" i="16" l="1"/>
  <c r="I128" i="16"/>
  <c r="US53" i="4"/>
  <c r="UR53" i="4"/>
  <c r="I10" i="17"/>
  <c r="L10" i="17" s="1"/>
  <c r="A2" i="17"/>
  <c r="AX85" i="25" l="1"/>
  <c r="BA85" i="25" s="1"/>
  <c r="A4" i="11"/>
  <c r="A3" i="7"/>
  <c r="I94" i="7" l="1"/>
  <c r="D137" i="7" l="1"/>
  <c r="E137" i="7"/>
  <c r="F137" i="7"/>
  <c r="G137" i="7"/>
  <c r="I137" i="7"/>
  <c r="J137" i="7"/>
  <c r="C137" i="7"/>
  <c r="H137" i="7" l="1"/>
  <c r="P74" i="16" l="1"/>
  <c r="I71" i="17"/>
  <c r="Z71" i="17" l="1"/>
  <c r="L71" i="17"/>
  <c r="I73" i="17"/>
  <c r="I80" i="17"/>
  <c r="Z80" i="17" l="1"/>
  <c r="L80" i="17"/>
  <c r="Z73" i="17"/>
  <c r="L73" i="17"/>
  <c r="AK42" i="17"/>
  <c r="AK41" i="17"/>
  <c r="AK40" i="17"/>
  <c r="AK39" i="17"/>
  <c r="AK38" i="17"/>
  <c r="AK37" i="17"/>
  <c r="AK36" i="17"/>
  <c r="AK35" i="17"/>
  <c r="AK34" i="17"/>
  <c r="AV9" i="21" l="1"/>
  <c r="AV23" i="21" s="1"/>
  <c r="I49" i="12"/>
  <c r="H49" i="12"/>
  <c r="G49" i="12"/>
  <c r="F49" i="12"/>
  <c r="E49" i="12"/>
  <c r="W79" i="17" l="1"/>
  <c r="W78" i="17"/>
  <c r="W77" i="17"/>
  <c r="W76" i="17"/>
  <c r="W75" i="17"/>
  <c r="W72" i="17"/>
  <c r="I100" i="17" l="1"/>
  <c r="I101" i="17"/>
  <c r="I102" i="17"/>
  <c r="I103" i="17"/>
  <c r="I104" i="17"/>
  <c r="I105" i="17"/>
  <c r="W81" i="17" l="1"/>
  <c r="Z81" i="17" s="1"/>
  <c r="W12" i="17"/>
  <c r="I93" i="17"/>
  <c r="L93" i="17" s="1"/>
  <c r="I94" i="17"/>
  <c r="L94" i="17" s="1"/>
  <c r="I86" i="17"/>
  <c r="L86" i="17" s="1"/>
  <c r="I87" i="17"/>
  <c r="L87" i="17" s="1"/>
  <c r="I88" i="17"/>
  <c r="L88" i="17" s="1"/>
  <c r="I89" i="17"/>
  <c r="L89" i="17" s="1"/>
  <c r="I75" i="17"/>
  <c r="I76" i="17"/>
  <c r="I77" i="17"/>
  <c r="I78" i="17"/>
  <c r="I79" i="17"/>
  <c r="I81" i="17"/>
  <c r="L81" i="17" s="1"/>
  <c r="I82" i="17"/>
  <c r="L82" i="17" s="1"/>
  <c r="I72" i="17"/>
  <c r="I59" i="17"/>
  <c r="L59" i="17" s="1"/>
  <c r="I60" i="17"/>
  <c r="L60" i="17" s="1"/>
  <c r="I61" i="17"/>
  <c r="L61" i="17" s="1"/>
  <c r="I62" i="17"/>
  <c r="L62" i="17" s="1"/>
  <c r="I63" i="17"/>
  <c r="L63" i="17" s="1"/>
  <c r="I64" i="17"/>
  <c r="L64" i="17" s="1"/>
  <c r="W33" i="17"/>
  <c r="I40" i="17"/>
  <c r="L40" i="17" s="1"/>
  <c r="I41" i="17"/>
  <c r="L41" i="17" s="1"/>
  <c r="I42" i="17"/>
  <c r="L42" i="17" s="1"/>
  <c r="I43" i="17"/>
  <c r="L43" i="17" s="1"/>
  <c r="I44" i="17"/>
  <c r="L44" i="17" s="1"/>
  <c r="I34" i="17"/>
  <c r="L34" i="17" s="1"/>
  <c r="I35" i="17"/>
  <c r="L35" i="17" s="1"/>
  <c r="I36" i="17"/>
  <c r="L36" i="17" s="1"/>
  <c r="I37" i="17"/>
  <c r="L37" i="17" s="1"/>
  <c r="I38" i="17"/>
  <c r="I25" i="17"/>
  <c r="L25" i="17" s="1"/>
  <c r="I26" i="17"/>
  <c r="L26" i="17" s="1"/>
  <c r="I27" i="17"/>
  <c r="L27" i="17" s="1"/>
  <c r="I28" i="17"/>
  <c r="L28" i="17" s="1"/>
  <c r="I29" i="17"/>
  <c r="L29" i="17" s="1"/>
  <c r="I19" i="17"/>
  <c r="L19" i="17" s="1"/>
  <c r="I20" i="17"/>
  <c r="L20" i="17" s="1"/>
  <c r="I21" i="17"/>
  <c r="L21" i="17" s="1"/>
  <c r="I22" i="17"/>
  <c r="L22" i="17" s="1"/>
  <c r="I23" i="17"/>
  <c r="I11" i="17"/>
  <c r="L11" i="17" s="1"/>
  <c r="I12" i="17"/>
  <c r="L12" i="17" s="1"/>
  <c r="I13" i="17"/>
  <c r="L13" i="17" s="1"/>
  <c r="J103" i="16"/>
  <c r="M103" i="16"/>
  <c r="P103" i="16"/>
  <c r="S103" i="16"/>
  <c r="V103" i="16"/>
  <c r="Y103" i="16"/>
  <c r="AB103" i="16"/>
  <c r="AE103" i="16"/>
  <c r="AH103" i="16"/>
  <c r="J104" i="16"/>
  <c r="M104" i="16"/>
  <c r="P104" i="16"/>
  <c r="S104" i="16"/>
  <c r="V104" i="16"/>
  <c r="Y104" i="16"/>
  <c r="AB104" i="16"/>
  <c r="AE104" i="16"/>
  <c r="J105" i="16"/>
  <c r="M105" i="16"/>
  <c r="P105" i="16"/>
  <c r="S105" i="16"/>
  <c r="V105" i="16"/>
  <c r="Y105" i="16"/>
  <c r="AB105" i="16"/>
  <c r="AE105" i="16"/>
  <c r="AH105" i="16"/>
  <c r="J106" i="16"/>
  <c r="M106" i="16"/>
  <c r="P106" i="16"/>
  <c r="S106" i="16"/>
  <c r="V106" i="16"/>
  <c r="Y106" i="16"/>
  <c r="AB106" i="16"/>
  <c r="AE106" i="16"/>
  <c r="AH106" i="16"/>
  <c r="J107" i="16"/>
  <c r="M107" i="16"/>
  <c r="P107" i="16"/>
  <c r="S107" i="16"/>
  <c r="V107" i="16"/>
  <c r="Y107" i="16"/>
  <c r="AB107" i="16"/>
  <c r="AE107" i="16"/>
  <c r="AH107" i="16"/>
  <c r="J108" i="16"/>
  <c r="M108" i="16"/>
  <c r="P108" i="16"/>
  <c r="S108" i="16"/>
  <c r="V108" i="16"/>
  <c r="Y108" i="16"/>
  <c r="AB108" i="16"/>
  <c r="AE108" i="16"/>
  <c r="AH108" i="16"/>
  <c r="J96" i="16"/>
  <c r="M96" i="16"/>
  <c r="P96" i="16"/>
  <c r="S96" i="16"/>
  <c r="V96" i="16"/>
  <c r="Y96" i="16"/>
  <c r="AB96" i="16"/>
  <c r="AE96" i="16"/>
  <c r="AH96" i="16"/>
  <c r="J97" i="16"/>
  <c r="M97" i="16"/>
  <c r="P97" i="16"/>
  <c r="S97" i="16"/>
  <c r="V97" i="16"/>
  <c r="Y97" i="16"/>
  <c r="AB97" i="16"/>
  <c r="AE97" i="16"/>
  <c r="AH97" i="16"/>
  <c r="J89" i="16"/>
  <c r="M89" i="16"/>
  <c r="P89" i="16"/>
  <c r="S89" i="16"/>
  <c r="V89" i="16"/>
  <c r="Y89" i="16"/>
  <c r="AB89" i="16"/>
  <c r="AE89" i="16"/>
  <c r="AH89" i="16"/>
  <c r="J90" i="16"/>
  <c r="M90" i="16"/>
  <c r="P90" i="16"/>
  <c r="S90" i="16"/>
  <c r="V90" i="16"/>
  <c r="Y90" i="16"/>
  <c r="AB90" i="16"/>
  <c r="AE90" i="16"/>
  <c r="AH90" i="16"/>
  <c r="J91" i="16"/>
  <c r="M91" i="16"/>
  <c r="P91" i="16"/>
  <c r="S91" i="16"/>
  <c r="V91" i="16"/>
  <c r="Y91" i="16"/>
  <c r="AB91" i="16"/>
  <c r="AE91" i="16"/>
  <c r="AH91" i="16"/>
  <c r="J92" i="16"/>
  <c r="M92" i="16"/>
  <c r="P92" i="16"/>
  <c r="S92" i="16"/>
  <c r="V92" i="16"/>
  <c r="Y92" i="16"/>
  <c r="AB92" i="16"/>
  <c r="AE92" i="16"/>
  <c r="AH92" i="16"/>
  <c r="J74" i="16"/>
  <c r="M74" i="16"/>
  <c r="S74" i="16"/>
  <c r="V74" i="16"/>
  <c r="Y74" i="16"/>
  <c r="AB74" i="16"/>
  <c r="AE74" i="16"/>
  <c r="AH74" i="16"/>
  <c r="J75" i="16"/>
  <c r="M75" i="16"/>
  <c r="P75" i="16"/>
  <c r="S75" i="16"/>
  <c r="V75" i="16"/>
  <c r="Y75" i="16"/>
  <c r="AB75" i="16"/>
  <c r="AE75" i="16"/>
  <c r="AH75" i="16"/>
  <c r="J76" i="16"/>
  <c r="M76" i="16"/>
  <c r="P76" i="16"/>
  <c r="S76" i="16"/>
  <c r="V76" i="16"/>
  <c r="Y76" i="16"/>
  <c r="AB76" i="16"/>
  <c r="AE76" i="16"/>
  <c r="AH76" i="16"/>
  <c r="J78" i="16"/>
  <c r="M78" i="16"/>
  <c r="P78" i="16"/>
  <c r="S78" i="16"/>
  <c r="V78" i="16"/>
  <c r="Y78" i="16"/>
  <c r="AB78" i="16"/>
  <c r="AE78" i="16"/>
  <c r="AH78" i="16"/>
  <c r="J79" i="16"/>
  <c r="M79" i="16"/>
  <c r="P79" i="16"/>
  <c r="S79" i="16"/>
  <c r="V79" i="16"/>
  <c r="Y79" i="16"/>
  <c r="AB79" i="16"/>
  <c r="AE79" i="16"/>
  <c r="AH79" i="16"/>
  <c r="J80" i="16"/>
  <c r="M80" i="16"/>
  <c r="P80" i="16"/>
  <c r="S80" i="16"/>
  <c r="V80" i="16"/>
  <c r="Y80" i="16"/>
  <c r="AB80" i="16"/>
  <c r="AE80" i="16"/>
  <c r="AH80" i="16"/>
  <c r="J81" i="16"/>
  <c r="M81" i="16"/>
  <c r="P81" i="16"/>
  <c r="S81" i="16"/>
  <c r="V81" i="16"/>
  <c r="Y81" i="16"/>
  <c r="AB81" i="16"/>
  <c r="AE81" i="16"/>
  <c r="AH81" i="16"/>
  <c r="J82" i="16"/>
  <c r="M82" i="16"/>
  <c r="P82" i="16"/>
  <c r="S82" i="16"/>
  <c r="V82" i="16"/>
  <c r="Y82" i="16"/>
  <c r="AB82" i="16"/>
  <c r="AE82" i="16"/>
  <c r="AH82" i="16"/>
  <c r="J83" i="16"/>
  <c r="M83" i="16"/>
  <c r="P83" i="16"/>
  <c r="S83" i="16"/>
  <c r="V83" i="16"/>
  <c r="Y83" i="16"/>
  <c r="AB83" i="16"/>
  <c r="AE83" i="16"/>
  <c r="AH83" i="16"/>
  <c r="J84" i="16"/>
  <c r="M84" i="16"/>
  <c r="P84" i="16"/>
  <c r="S84" i="16"/>
  <c r="V84" i="16"/>
  <c r="Y84" i="16"/>
  <c r="AB84" i="16"/>
  <c r="AE84" i="16"/>
  <c r="AH84" i="16"/>
  <c r="J85" i="16"/>
  <c r="M85" i="16"/>
  <c r="P85" i="16"/>
  <c r="S85" i="16"/>
  <c r="V85" i="16"/>
  <c r="Y85" i="16"/>
  <c r="AB85" i="16"/>
  <c r="AE85" i="16"/>
  <c r="AH85" i="16"/>
  <c r="J51" i="16"/>
  <c r="M51" i="16"/>
  <c r="P51" i="16"/>
  <c r="S51" i="16"/>
  <c r="V51" i="16"/>
  <c r="Y51" i="16"/>
  <c r="AB51" i="16"/>
  <c r="AE51" i="16"/>
  <c r="AH51" i="16"/>
  <c r="J60" i="16"/>
  <c r="M60" i="16"/>
  <c r="P60" i="16"/>
  <c r="S60" i="16"/>
  <c r="V60" i="16"/>
  <c r="Y60" i="16"/>
  <c r="AB60" i="16"/>
  <c r="AE60" i="16"/>
  <c r="AH60" i="16"/>
  <c r="J61" i="16"/>
  <c r="M61" i="16"/>
  <c r="P61" i="16"/>
  <c r="S61" i="16"/>
  <c r="V61" i="16"/>
  <c r="Y61" i="16"/>
  <c r="AB61" i="16"/>
  <c r="AE61" i="16"/>
  <c r="AH61" i="16"/>
  <c r="J62" i="16"/>
  <c r="M62" i="16"/>
  <c r="P62" i="16"/>
  <c r="S62" i="16"/>
  <c r="V62" i="16"/>
  <c r="Y62" i="16"/>
  <c r="AB62" i="16"/>
  <c r="AE62" i="16"/>
  <c r="AH62" i="16"/>
  <c r="J63" i="16"/>
  <c r="M63" i="16"/>
  <c r="P63" i="16"/>
  <c r="S63" i="16"/>
  <c r="V63" i="16"/>
  <c r="Y63" i="16"/>
  <c r="AB63" i="16"/>
  <c r="AE63" i="16"/>
  <c r="AH63" i="16"/>
  <c r="J64" i="16"/>
  <c r="M64" i="16"/>
  <c r="P64" i="16"/>
  <c r="S64" i="16"/>
  <c r="V64" i="16"/>
  <c r="Y64" i="16"/>
  <c r="AB64" i="16"/>
  <c r="AE64" i="16"/>
  <c r="AH64" i="16"/>
  <c r="J65" i="16"/>
  <c r="M65" i="16"/>
  <c r="P65" i="16"/>
  <c r="S65" i="16"/>
  <c r="V65" i="16"/>
  <c r="Y65" i="16"/>
  <c r="AB65" i="16"/>
  <c r="AE65" i="16"/>
  <c r="AH65" i="16"/>
  <c r="J35" i="16"/>
  <c r="M35" i="16"/>
  <c r="P35" i="16"/>
  <c r="S35" i="16"/>
  <c r="V35" i="16"/>
  <c r="Y35" i="16"/>
  <c r="AB35" i="16"/>
  <c r="AE35" i="16"/>
  <c r="AH35" i="16"/>
  <c r="J36" i="16"/>
  <c r="M36" i="16"/>
  <c r="P36" i="16"/>
  <c r="S36" i="16"/>
  <c r="V36" i="16"/>
  <c r="Y36" i="16"/>
  <c r="AB36" i="16"/>
  <c r="AE36" i="16"/>
  <c r="AH36" i="16"/>
  <c r="J37" i="16"/>
  <c r="M37" i="16"/>
  <c r="P37" i="16"/>
  <c r="S37" i="16"/>
  <c r="V37" i="16"/>
  <c r="Y37" i="16"/>
  <c r="AB37" i="16"/>
  <c r="AE37" i="16"/>
  <c r="AH37" i="16"/>
  <c r="J38" i="16"/>
  <c r="M38" i="16"/>
  <c r="P38" i="16"/>
  <c r="S38" i="16"/>
  <c r="V38" i="16"/>
  <c r="Y38" i="16"/>
  <c r="AB38" i="16"/>
  <c r="AE38" i="16"/>
  <c r="AH38" i="16"/>
  <c r="J39" i="16"/>
  <c r="M39" i="16"/>
  <c r="P39" i="16"/>
  <c r="S39" i="16"/>
  <c r="V39" i="16"/>
  <c r="Y39" i="16"/>
  <c r="AB39" i="16"/>
  <c r="AE39" i="16"/>
  <c r="AH39" i="16"/>
  <c r="J41" i="16"/>
  <c r="M41" i="16"/>
  <c r="P41" i="16"/>
  <c r="S41" i="16"/>
  <c r="V41" i="16"/>
  <c r="Y41" i="16"/>
  <c r="AB41" i="16"/>
  <c r="AE41" i="16"/>
  <c r="AH41" i="16"/>
  <c r="J42" i="16"/>
  <c r="M42" i="16"/>
  <c r="P42" i="16"/>
  <c r="S42" i="16"/>
  <c r="V42" i="16"/>
  <c r="Y42" i="16"/>
  <c r="AB42" i="16"/>
  <c r="AE42" i="16"/>
  <c r="AH42" i="16"/>
  <c r="J43" i="16"/>
  <c r="M43" i="16"/>
  <c r="P43" i="16"/>
  <c r="S43" i="16"/>
  <c r="V43" i="16"/>
  <c r="Y43" i="16"/>
  <c r="AB43" i="16"/>
  <c r="AE43" i="16"/>
  <c r="AH43" i="16"/>
  <c r="J44" i="16"/>
  <c r="M44" i="16"/>
  <c r="P44" i="16"/>
  <c r="S44" i="16"/>
  <c r="V44" i="16"/>
  <c r="Y44" i="16"/>
  <c r="AB44" i="16"/>
  <c r="AE44" i="16"/>
  <c r="AH44" i="16"/>
  <c r="J45" i="16"/>
  <c r="M45" i="16"/>
  <c r="P45" i="16"/>
  <c r="S45" i="16"/>
  <c r="V45" i="16"/>
  <c r="Y45" i="16"/>
  <c r="AB45" i="16"/>
  <c r="AE45" i="16"/>
  <c r="AH45" i="16"/>
  <c r="M26" i="16"/>
  <c r="P26" i="16"/>
  <c r="S26" i="16"/>
  <c r="V26" i="16"/>
  <c r="Y26" i="16"/>
  <c r="AB26" i="16"/>
  <c r="AE26" i="16"/>
  <c r="AH26" i="16"/>
  <c r="M27" i="16"/>
  <c r="P27" i="16"/>
  <c r="S27" i="16"/>
  <c r="V27" i="16"/>
  <c r="Y27" i="16"/>
  <c r="AB27" i="16"/>
  <c r="AE27" i="16"/>
  <c r="AH27" i="16"/>
  <c r="M28" i="16"/>
  <c r="P28" i="16"/>
  <c r="S28" i="16"/>
  <c r="V28" i="16"/>
  <c r="Y28" i="16"/>
  <c r="AB28" i="16"/>
  <c r="AE28" i="16"/>
  <c r="AH28" i="16"/>
  <c r="M29" i="16"/>
  <c r="P29" i="16"/>
  <c r="S29" i="16"/>
  <c r="V29" i="16"/>
  <c r="Y29" i="16"/>
  <c r="AB29" i="16"/>
  <c r="AE29" i="16"/>
  <c r="AH29" i="16"/>
  <c r="M30" i="16"/>
  <c r="P30" i="16"/>
  <c r="S30" i="16"/>
  <c r="V30" i="16"/>
  <c r="Y30" i="16"/>
  <c r="AB30" i="16"/>
  <c r="AE30" i="16"/>
  <c r="AH30" i="16"/>
  <c r="M20" i="16"/>
  <c r="P20" i="16"/>
  <c r="S20" i="16"/>
  <c r="V20" i="16"/>
  <c r="Y20" i="16"/>
  <c r="AB20" i="16"/>
  <c r="AE20" i="16"/>
  <c r="AH20" i="16"/>
  <c r="M21" i="16"/>
  <c r="P21" i="16"/>
  <c r="S21" i="16"/>
  <c r="V21" i="16"/>
  <c r="Y21" i="16"/>
  <c r="AB21" i="16"/>
  <c r="AE21" i="16"/>
  <c r="AH21" i="16"/>
  <c r="M22" i="16"/>
  <c r="P22" i="16"/>
  <c r="S22" i="16"/>
  <c r="V22" i="16"/>
  <c r="Y22" i="16"/>
  <c r="AB22" i="16"/>
  <c r="AE22" i="16"/>
  <c r="AH22" i="16"/>
  <c r="J23" i="16"/>
  <c r="M23" i="16"/>
  <c r="P23" i="16"/>
  <c r="S23" i="16"/>
  <c r="V23" i="16"/>
  <c r="Y23" i="16"/>
  <c r="AB23" i="16"/>
  <c r="AE23" i="16"/>
  <c r="AH23" i="16"/>
  <c r="J24" i="16"/>
  <c r="J31" i="16" s="1"/>
  <c r="M24" i="16"/>
  <c r="P24" i="16"/>
  <c r="S24" i="16"/>
  <c r="V24" i="16"/>
  <c r="Y24" i="16"/>
  <c r="AB24" i="16"/>
  <c r="AE24" i="16"/>
  <c r="AH24" i="16"/>
  <c r="M11" i="16"/>
  <c r="P11" i="16"/>
  <c r="S11" i="16"/>
  <c r="V11" i="16"/>
  <c r="Y11" i="16"/>
  <c r="AB11" i="16"/>
  <c r="AE11" i="16"/>
  <c r="AH11" i="16"/>
  <c r="J12" i="16"/>
  <c r="M12" i="16"/>
  <c r="P12" i="16"/>
  <c r="S12" i="16"/>
  <c r="V12" i="16"/>
  <c r="Y12" i="16"/>
  <c r="AB12" i="16"/>
  <c r="AE12" i="16"/>
  <c r="AH12" i="16"/>
  <c r="J13" i="16"/>
  <c r="M13" i="16"/>
  <c r="P13" i="16"/>
  <c r="S13" i="16"/>
  <c r="V13" i="16"/>
  <c r="Y13" i="16"/>
  <c r="AB13" i="16"/>
  <c r="AE13" i="16"/>
  <c r="AH13" i="16"/>
  <c r="J14" i="16"/>
  <c r="M14" i="16"/>
  <c r="P14" i="16"/>
  <c r="S14" i="16"/>
  <c r="V14" i="16"/>
  <c r="Y14" i="16"/>
  <c r="AB14" i="16"/>
  <c r="AE14" i="16"/>
  <c r="AH14" i="16"/>
  <c r="Y33" i="16" l="1" a="1"/>
  <c r="Y33" i="16" s="1"/>
  <c r="AE33" i="16" a="1"/>
  <c r="AE33" i="16" s="1"/>
  <c r="AB33" i="16" a="1"/>
  <c r="AB33" i="16" s="1"/>
  <c r="AH33" i="16" a="1"/>
  <c r="AH33" i="16" s="1"/>
  <c r="V33" i="16" a="1"/>
  <c r="V33" i="16" s="1"/>
  <c r="S33" i="16" a="1"/>
  <c r="S33" i="16" s="1"/>
  <c r="P33" i="16" a="1"/>
  <c r="P33" i="16" s="1"/>
  <c r="M33" i="16" a="1"/>
  <c r="M33" i="16" s="1"/>
  <c r="J33" i="16" a="1"/>
  <c r="J33" i="16" s="1"/>
  <c r="Z76" i="17"/>
  <c r="L76" i="17"/>
  <c r="Z78" i="17"/>
  <c r="L78" i="17"/>
  <c r="Z77" i="17"/>
  <c r="L77" i="17"/>
  <c r="L23" i="17"/>
  <c r="I17" i="17" a="1"/>
  <c r="I17" i="17" s="1"/>
  <c r="L17" i="17" s="1"/>
  <c r="Z72" i="17"/>
  <c r="L72" i="17"/>
  <c r="I32" i="17" a="1"/>
  <c r="I32" i="17" s="1"/>
  <c r="L32" i="17" s="1"/>
  <c r="L38" i="17"/>
  <c r="Z75" i="17"/>
  <c r="L75" i="17"/>
  <c r="Z79" i="17"/>
  <c r="L79" i="17"/>
  <c r="M98" i="16"/>
  <c r="Y98" i="16"/>
  <c r="V98" i="16"/>
  <c r="J98" i="16"/>
  <c r="AH98" i="16"/>
  <c r="AE98" i="16"/>
  <c r="AB98" i="16"/>
  <c r="S98" i="16"/>
  <c r="P98" i="16"/>
  <c r="M93" i="16"/>
  <c r="P93" i="16"/>
  <c r="AB93" i="16"/>
  <c r="AH93" i="16"/>
  <c r="AE93" i="16"/>
  <c r="Y93" i="16"/>
  <c r="V93" i="16"/>
  <c r="S93" i="16"/>
  <c r="AB15" i="16"/>
  <c r="Y15" i="16"/>
  <c r="M31" i="16"/>
  <c r="J93" i="16"/>
  <c r="M66" i="16"/>
  <c r="AH66" i="16"/>
  <c r="S66" i="16"/>
  <c r="AE66" i="16"/>
  <c r="AB66" i="16"/>
  <c r="P66" i="16"/>
  <c r="Y66" i="16"/>
  <c r="V66" i="16"/>
  <c r="J66" i="16"/>
  <c r="AB31" i="16"/>
  <c r="M15" i="16"/>
  <c r="V15" i="16"/>
  <c r="P15" i="16"/>
  <c r="S15" i="16"/>
  <c r="AH15" i="16"/>
  <c r="AE15" i="16"/>
  <c r="AH31" i="16"/>
  <c r="P18" i="16" a="1"/>
  <c r="P18" i="16" s="1"/>
  <c r="P31" i="16"/>
  <c r="Y31" i="16"/>
  <c r="V31" i="16"/>
  <c r="AE31" i="16"/>
  <c r="S31" i="16"/>
  <c r="AH46" i="16"/>
  <c r="AE46" i="16"/>
  <c r="Y46" i="16"/>
  <c r="V46" i="16"/>
  <c r="S46" i="16"/>
  <c r="P46" i="16"/>
  <c r="M46" i="16"/>
  <c r="AB46" i="16"/>
  <c r="AB18" i="16" a="1"/>
  <c r="AB18" i="16" s="1"/>
  <c r="J46" i="16"/>
  <c r="J48" i="16" s="1"/>
  <c r="M18" i="16" a="1"/>
  <c r="M18" i="16" s="1"/>
  <c r="AH18" i="16" a="1"/>
  <c r="AH18" i="16" s="1"/>
  <c r="AE18" i="16" a="1"/>
  <c r="AE18" i="16" s="1"/>
  <c r="V18" i="16" a="1"/>
  <c r="V18" i="16" s="1"/>
  <c r="Y18" i="16" a="1"/>
  <c r="Y18" i="16" s="1"/>
  <c r="S18" i="16" a="1"/>
  <c r="S18" i="16" s="1"/>
  <c r="J18" i="16" a="1"/>
  <c r="J18" i="16" s="1"/>
  <c r="W19" i="17"/>
  <c r="W18" i="17"/>
  <c r="J15" i="16"/>
  <c r="W38" i="17"/>
  <c r="W36" i="17"/>
  <c r="W37" i="17"/>
  <c r="W31" i="17"/>
  <c r="W30" i="17"/>
  <c r="W41" i="17"/>
  <c r="W29" i="17"/>
  <c r="W40" i="17"/>
  <c r="W28" i="17"/>
  <c r="W39" i="17"/>
  <c r="AK30" i="16"/>
  <c r="AK21" i="16"/>
  <c r="AK22" i="16"/>
  <c r="AK27" i="16"/>
  <c r="AK23" i="16"/>
  <c r="AK20" i="16"/>
  <c r="AK26" i="16"/>
  <c r="AK28" i="16"/>
  <c r="AK29" i="16"/>
  <c r="AK24" i="16"/>
  <c r="AK31" i="16" l="1"/>
  <c r="AK18" i="16" a="1"/>
  <c r="AK18" i="16" s="1"/>
  <c r="W20" i="17"/>
  <c r="L105" i="17" l="1"/>
  <c r="L101" i="17"/>
  <c r="L100" i="17"/>
  <c r="L104" i="17"/>
  <c r="L103" i="17"/>
  <c r="L102" i="17"/>
  <c r="I45" i="17" l="1"/>
  <c r="L45" i="17" s="1"/>
  <c r="I90" i="17"/>
  <c r="L90" i="17" s="1"/>
  <c r="AE71" i="17" a="1"/>
  <c r="AE71" i="17" s="1"/>
  <c r="AK72" i="17" l="1"/>
  <c r="AK75" i="17"/>
  <c r="AK73" i="17"/>
  <c r="AK74" i="17"/>
  <c r="AK71" i="17"/>
  <c r="Z74" i="17"/>
  <c r="I14" i="17"/>
  <c r="I30" i="17"/>
  <c r="L30" i="17" s="1"/>
  <c r="I65" i="17"/>
  <c r="L65" i="17" s="1"/>
  <c r="I95" i="17"/>
  <c r="L95" i="17" s="1"/>
  <c r="D50" i="12"/>
  <c r="D51" i="12"/>
  <c r="D52" i="12"/>
  <c r="D53" i="12"/>
  <c r="D54" i="12"/>
  <c r="D55" i="12"/>
  <c r="D56" i="12"/>
  <c r="D57" i="12"/>
  <c r="D58" i="12"/>
  <c r="D59" i="12"/>
  <c r="D60" i="12"/>
  <c r="D61" i="12"/>
  <c r="D62" i="12"/>
  <c r="D63" i="12"/>
  <c r="D64" i="12"/>
  <c r="D65" i="12"/>
  <c r="D66" i="12"/>
  <c r="D67" i="12"/>
  <c r="D68" i="12"/>
  <c r="D69" i="12"/>
  <c r="D70" i="12"/>
  <c r="D71" i="12"/>
  <c r="D72" i="12"/>
  <c r="D73" i="12"/>
  <c r="D74" i="12"/>
  <c r="D75" i="12"/>
  <c r="D76" i="12"/>
  <c r="D77" i="12"/>
  <c r="D78" i="12"/>
  <c r="D79" i="12"/>
  <c r="D80" i="12"/>
  <c r="D81" i="12"/>
  <c r="D82" i="12"/>
  <c r="D83" i="12"/>
  <c r="D84" i="12"/>
  <c r="D49" i="12"/>
  <c r="D33" i="12"/>
  <c r="D34" i="12"/>
  <c r="D35" i="12"/>
  <c r="D36" i="12"/>
  <c r="D37" i="12"/>
  <c r="D38" i="12"/>
  <c r="D39" i="12"/>
  <c r="D40" i="12"/>
  <c r="D32" i="12"/>
  <c r="D11" i="12"/>
  <c r="D12" i="12"/>
  <c r="D13" i="12"/>
  <c r="D14" i="12"/>
  <c r="D15" i="12"/>
  <c r="D16" i="12"/>
  <c r="D17" i="12"/>
  <c r="D18" i="12"/>
  <c r="D19" i="12"/>
  <c r="D20" i="12"/>
  <c r="D21" i="12"/>
  <c r="D22" i="12"/>
  <c r="D23" i="12"/>
  <c r="Q11" i="12"/>
  <c r="Q12" i="12"/>
  <c r="Q13" i="12"/>
  <c r="Q14" i="12"/>
  <c r="Q15" i="12"/>
  <c r="Q16" i="12"/>
  <c r="Q17" i="12"/>
  <c r="Q18" i="12"/>
  <c r="Q19" i="12"/>
  <c r="Q23" i="12"/>
  <c r="Q21" i="12"/>
  <c r="Q20" i="12"/>
  <c r="Q22" i="12"/>
  <c r="Q32" i="12"/>
  <c r="Q33" i="12"/>
  <c r="Q34" i="12"/>
  <c r="Q35" i="12"/>
  <c r="Q36" i="12"/>
  <c r="Q37" i="12"/>
  <c r="Q38" i="12"/>
  <c r="Q39" i="12"/>
  <c r="Q40" i="12"/>
  <c r="Q49" i="12"/>
  <c r="Q50" i="12"/>
  <c r="Q51" i="12"/>
  <c r="Q52" i="12"/>
  <c r="Q53" i="12"/>
  <c r="Q54" i="12"/>
  <c r="Q55" i="12"/>
  <c r="Q56" i="12"/>
  <c r="Q57" i="12"/>
  <c r="Q58" i="12"/>
  <c r="Q59" i="12"/>
  <c r="Q60" i="12"/>
  <c r="Q61" i="12"/>
  <c r="Q62" i="12"/>
  <c r="Q63" i="12"/>
  <c r="Q64" i="12"/>
  <c r="Q65" i="12"/>
  <c r="Q66" i="12"/>
  <c r="Q67" i="12"/>
  <c r="Q68" i="12"/>
  <c r="Q69" i="12"/>
  <c r="Q70" i="12"/>
  <c r="Q71" i="12"/>
  <c r="Q72" i="12"/>
  <c r="Q73" i="12"/>
  <c r="Q74" i="12"/>
  <c r="Q75" i="12"/>
  <c r="Q76" i="12"/>
  <c r="Q77" i="12"/>
  <c r="Q78" i="12"/>
  <c r="Q79" i="12"/>
  <c r="Q80" i="12"/>
  <c r="Q81" i="12"/>
  <c r="Q82" i="12"/>
  <c r="Q83" i="12"/>
  <c r="Q84" i="12"/>
  <c r="Q10" i="12"/>
  <c r="I10" i="12"/>
  <c r="O11" i="12"/>
  <c r="P11" i="12"/>
  <c r="O12" i="12"/>
  <c r="P12" i="12"/>
  <c r="O13" i="12"/>
  <c r="P13" i="12"/>
  <c r="O14" i="12"/>
  <c r="P14" i="12"/>
  <c r="O15" i="12"/>
  <c r="P15" i="12"/>
  <c r="O16" i="12"/>
  <c r="P16" i="12"/>
  <c r="O17" i="12"/>
  <c r="P17" i="12"/>
  <c r="O18" i="12"/>
  <c r="P18" i="12"/>
  <c r="O19" i="12"/>
  <c r="P19" i="12"/>
  <c r="O23" i="12"/>
  <c r="P23" i="12"/>
  <c r="O21" i="12"/>
  <c r="P21" i="12"/>
  <c r="O20" i="12"/>
  <c r="P20" i="12"/>
  <c r="O22" i="12"/>
  <c r="P22" i="12"/>
  <c r="O32" i="12"/>
  <c r="P32" i="12"/>
  <c r="O33" i="12"/>
  <c r="P33" i="12"/>
  <c r="O34" i="12"/>
  <c r="P34" i="12"/>
  <c r="O35" i="12"/>
  <c r="P35" i="12"/>
  <c r="O36" i="12"/>
  <c r="P36" i="12"/>
  <c r="O37" i="12"/>
  <c r="P37" i="12"/>
  <c r="O38" i="12"/>
  <c r="P38" i="12"/>
  <c r="O39" i="12"/>
  <c r="P39" i="12"/>
  <c r="O40" i="12"/>
  <c r="P40" i="12"/>
  <c r="O49" i="12"/>
  <c r="P49" i="12"/>
  <c r="O50" i="12"/>
  <c r="P50" i="12"/>
  <c r="O51" i="12"/>
  <c r="P51" i="12"/>
  <c r="O52" i="12"/>
  <c r="P52" i="12"/>
  <c r="O53" i="12"/>
  <c r="P53" i="12"/>
  <c r="O54" i="12"/>
  <c r="P54" i="12"/>
  <c r="O55" i="12"/>
  <c r="P55" i="12"/>
  <c r="O56" i="12"/>
  <c r="P56" i="12"/>
  <c r="O57" i="12"/>
  <c r="P57" i="12"/>
  <c r="O58" i="12"/>
  <c r="P58" i="12"/>
  <c r="O59" i="12"/>
  <c r="P59" i="12"/>
  <c r="O60" i="12"/>
  <c r="P60" i="12"/>
  <c r="O61" i="12"/>
  <c r="P61" i="12"/>
  <c r="O62" i="12"/>
  <c r="P62" i="12"/>
  <c r="O63" i="12"/>
  <c r="P63" i="12"/>
  <c r="O64" i="12"/>
  <c r="P64" i="12"/>
  <c r="O65" i="12"/>
  <c r="P65" i="12"/>
  <c r="O66" i="12"/>
  <c r="P66" i="12"/>
  <c r="O67" i="12"/>
  <c r="P67" i="12"/>
  <c r="O68" i="12"/>
  <c r="P68" i="12"/>
  <c r="O69" i="12"/>
  <c r="P69" i="12"/>
  <c r="O70" i="12"/>
  <c r="P70" i="12"/>
  <c r="O71" i="12"/>
  <c r="P71" i="12"/>
  <c r="O72" i="12"/>
  <c r="P72" i="12"/>
  <c r="O73" i="12"/>
  <c r="P73" i="12"/>
  <c r="O74" i="12"/>
  <c r="P74" i="12"/>
  <c r="O75" i="12"/>
  <c r="P75" i="12"/>
  <c r="O76" i="12"/>
  <c r="P76" i="12"/>
  <c r="O77" i="12"/>
  <c r="P77" i="12"/>
  <c r="O78" i="12"/>
  <c r="P78" i="12"/>
  <c r="O79" i="12"/>
  <c r="P79" i="12"/>
  <c r="O80" i="12"/>
  <c r="P80" i="12"/>
  <c r="O81" i="12"/>
  <c r="P81" i="12"/>
  <c r="O82" i="12"/>
  <c r="P82" i="12"/>
  <c r="O83" i="12"/>
  <c r="P83" i="12"/>
  <c r="O84" i="12"/>
  <c r="P84" i="12"/>
  <c r="P10" i="12"/>
  <c r="N10" i="12"/>
  <c r="M11" i="12"/>
  <c r="N11" i="12"/>
  <c r="M12" i="12"/>
  <c r="N12" i="12"/>
  <c r="M13" i="12"/>
  <c r="N13" i="12"/>
  <c r="M14" i="12"/>
  <c r="N14" i="12"/>
  <c r="M15" i="12"/>
  <c r="N15" i="12"/>
  <c r="M16" i="12"/>
  <c r="N16" i="12"/>
  <c r="M17" i="12"/>
  <c r="N17" i="12"/>
  <c r="M18" i="12"/>
  <c r="N18" i="12"/>
  <c r="M19" i="12"/>
  <c r="N19" i="12"/>
  <c r="M23" i="12"/>
  <c r="N23" i="12"/>
  <c r="M21" i="12"/>
  <c r="N21" i="12"/>
  <c r="M20" i="12"/>
  <c r="N20" i="12"/>
  <c r="M22" i="12"/>
  <c r="N22" i="12"/>
  <c r="M32" i="12"/>
  <c r="N32" i="12"/>
  <c r="M33" i="12"/>
  <c r="N33" i="12"/>
  <c r="M34" i="12"/>
  <c r="N34" i="12"/>
  <c r="M35" i="12"/>
  <c r="N35" i="12"/>
  <c r="M36" i="12"/>
  <c r="N36" i="12"/>
  <c r="M37" i="12"/>
  <c r="N37" i="12"/>
  <c r="M38" i="12"/>
  <c r="N38" i="12"/>
  <c r="M39" i="12"/>
  <c r="N39" i="12"/>
  <c r="M40" i="12"/>
  <c r="N40" i="12"/>
  <c r="M49" i="12"/>
  <c r="N49" i="12"/>
  <c r="M50" i="12"/>
  <c r="N50" i="12"/>
  <c r="M51" i="12"/>
  <c r="N51" i="12"/>
  <c r="M52" i="12"/>
  <c r="N52" i="12"/>
  <c r="M53" i="12"/>
  <c r="N53" i="12"/>
  <c r="M54" i="12"/>
  <c r="N54" i="12"/>
  <c r="M55" i="12"/>
  <c r="N55" i="12"/>
  <c r="M56" i="12"/>
  <c r="N56" i="12"/>
  <c r="M57" i="12"/>
  <c r="N57" i="12"/>
  <c r="M58" i="12"/>
  <c r="N58" i="12"/>
  <c r="M59" i="12"/>
  <c r="N59" i="12"/>
  <c r="M60" i="12"/>
  <c r="N60" i="12"/>
  <c r="M61" i="12"/>
  <c r="N61" i="12"/>
  <c r="M62" i="12"/>
  <c r="N62" i="12"/>
  <c r="M63" i="12"/>
  <c r="N63" i="12"/>
  <c r="M64" i="12"/>
  <c r="N64" i="12"/>
  <c r="M65" i="12"/>
  <c r="N65" i="12"/>
  <c r="M66" i="12"/>
  <c r="N66" i="12"/>
  <c r="M67" i="12"/>
  <c r="N67" i="12"/>
  <c r="M68" i="12"/>
  <c r="N68" i="12"/>
  <c r="M69" i="12"/>
  <c r="N69" i="12"/>
  <c r="M70" i="12"/>
  <c r="N70" i="12"/>
  <c r="M71" i="12"/>
  <c r="N71" i="12"/>
  <c r="M72" i="12"/>
  <c r="N72" i="12"/>
  <c r="M73" i="12"/>
  <c r="N73" i="12"/>
  <c r="M74" i="12"/>
  <c r="N74" i="12"/>
  <c r="M75" i="12"/>
  <c r="N75" i="12"/>
  <c r="M76" i="12"/>
  <c r="N76" i="12"/>
  <c r="M77" i="12"/>
  <c r="N77" i="12"/>
  <c r="M78" i="12"/>
  <c r="N78" i="12"/>
  <c r="M79" i="12"/>
  <c r="N79" i="12"/>
  <c r="M80" i="12"/>
  <c r="N80" i="12"/>
  <c r="M81" i="12"/>
  <c r="N81" i="12"/>
  <c r="M82" i="12"/>
  <c r="N82" i="12"/>
  <c r="M83" i="12"/>
  <c r="N83" i="12"/>
  <c r="M84" i="12"/>
  <c r="N84" i="12"/>
  <c r="O10" i="12"/>
  <c r="M10" i="12"/>
  <c r="E10" i="12"/>
  <c r="L11" i="12"/>
  <c r="L12" i="12"/>
  <c r="L13" i="12"/>
  <c r="L14" i="12"/>
  <c r="L15" i="12"/>
  <c r="L16" i="12"/>
  <c r="L17" i="12"/>
  <c r="L18" i="12"/>
  <c r="L19" i="12"/>
  <c r="L23" i="12"/>
  <c r="L21" i="12"/>
  <c r="L20" i="12"/>
  <c r="L22" i="12"/>
  <c r="L32" i="12"/>
  <c r="L33" i="12"/>
  <c r="L34" i="12"/>
  <c r="L35" i="12"/>
  <c r="L36" i="12"/>
  <c r="L37" i="12"/>
  <c r="L38" i="12"/>
  <c r="L39" i="12"/>
  <c r="L40" i="12"/>
  <c r="L49" i="12"/>
  <c r="L50" i="12"/>
  <c r="L51" i="12"/>
  <c r="L52" i="12"/>
  <c r="L53" i="12"/>
  <c r="L54" i="12"/>
  <c r="L55" i="12"/>
  <c r="L56" i="12"/>
  <c r="L57" i="12"/>
  <c r="L58" i="12"/>
  <c r="L59" i="12"/>
  <c r="L60" i="12"/>
  <c r="L61" i="12"/>
  <c r="L62" i="12"/>
  <c r="L63" i="12"/>
  <c r="L64" i="12"/>
  <c r="L65" i="12"/>
  <c r="L66" i="12"/>
  <c r="L67" i="12"/>
  <c r="L68" i="12"/>
  <c r="L69" i="12"/>
  <c r="L70" i="12"/>
  <c r="L71" i="12"/>
  <c r="L72" i="12"/>
  <c r="L73" i="12"/>
  <c r="L74" i="12"/>
  <c r="L75" i="12"/>
  <c r="L76" i="12"/>
  <c r="L77" i="12"/>
  <c r="L78" i="12"/>
  <c r="L79" i="12"/>
  <c r="L80" i="12"/>
  <c r="L81" i="12"/>
  <c r="L82" i="12"/>
  <c r="L83" i="12"/>
  <c r="L84" i="12"/>
  <c r="I11" i="12"/>
  <c r="I12" i="12"/>
  <c r="I13" i="12"/>
  <c r="I14" i="12"/>
  <c r="I15" i="12"/>
  <c r="I16" i="12"/>
  <c r="I17" i="12"/>
  <c r="I18" i="12"/>
  <c r="I19" i="12"/>
  <c r="I23" i="12"/>
  <c r="I21" i="12"/>
  <c r="I20" i="12"/>
  <c r="I22" i="12"/>
  <c r="I32" i="12"/>
  <c r="I33" i="12"/>
  <c r="I34" i="12"/>
  <c r="I35" i="12"/>
  <c r="I36" i="12"/>
  <c r="I37" i="12"/>
  <c r="I38" i="12"/>
  <c r="I39" i="12"/>
  <c r="I40" i="12"/>
  <c r="I50" i="12"/>
  <c r="I51" i="12"/>
  <c r="I52" i="12"/>
  <c r="I53" i="12"/>
  <c r="I54" i="12"/>
  <c r="I55" i="12"/>
  <c r="I56" i="12"/>
  <c r="I57" i="12"/>
  <c r="I58" i="12"/>
  <c r="I59" i="12"/>
  <c r="I60" i="12"/>
  <c r="I61" i="12"/>
  <c r="I62" i="12"/>
  <c r="I63" i="12"/>
  <c r="I64" i="12"/>
  <c r="I65" i="12"/>
  <c r="I66" i="12"/>
  <c r="I67" i="12"/>
  <c r="I68" i="12"/>
  <c r="I69" i="12"/>
  <c r="I70" i="12"/>
  <c r="I71" i="12"/>
  <c r="I72" i="12"/>
  <c r="I73" i="12"/>
  <c r="I74" i="12"/>
  <c r="I75" i="12"/>
  <c r="I76" i="12"/>
  <c r="I77" i="12"/>
  <c r="I78" i="12"/>
  <c r="I79" i="12"/>
  <c r="I80" i="12"/>
  <c r="I81" i="12"/>
  <c r="I82" i="12"/>
  <c r="I83" i="12"/>
  <c r="I84" i="12"/>
  <c r="H11" i="12"/>
  <c r="H12" i="12"/>
  <c r="H13" i="12"/>
  <c r="H14" i="12"/>
  <c r="H15" i="12"/>
  <c r="H16" i="12"/>
  <c r="H17" i="12"/>
  <c r="H18" i="12"/>
  <c r="H19" i="12"/>
  <c r="H23" i="12"/>
  <c r="H21" i="12"/>
  <c r="H20" i="12"/>
  <c r="H22" i="12"/>
  <c r="H32" i="12"/>
  <c r="H33" i="12"/>
  <c r="H34" i="12"/>
  <c r="H35" i="12"/>
  <c r="H36" i="12"/>
  <c r="H37" i="12"/>
  <c r="H38" i="12"/>
  <c r="H39" i="12"/>
  <c r="H40" i="12"/>
  <c r="H50" i="12"/>
  <c r="H51" i="12"/>
  <c r="H52" i="12"/>
  <c r="H53" i="12"/>
  <c r="H54" i="12"/>
  <c r="H55" i="12"/>
  <c r="H56" i="12"/>
  <c r="H57" i="12"/>
  <c r="H58" i="12"/>
  <c r="H59" i="12"/>
  <c r="H60" i="12"/>
  <c r="H61" i="12"/>
  <c r="H62" i="12"/>
  <c r="H63" i="12"/>
  <c r="H64" i="12"/>
  <c r="H65" i="12"/>
  <c r="H66" i="12"/>
  <c r="H67" i="12"/>
  <c r="H68" i="12"/>
  <c r="H69" i="12"/>
  <c r="H70" i="12"/>
  <c r="H71" i="12"/>
  <c r="H72" i="12"/>
  <c r="H73" i="12"/>
  <c r="H74" i="12"/>
  <c r="H75" i="12"/>
  <c r="H76" i="12"/>
  <c r="H77" i="12"/>
  <c r="H78" i="12"/>
  <c r="H79" i="12"/>
  <c r="H80" i="12"/>
  <c r="H81" i="12"/>
  <c r="H82" i="12"/>
  <c r="H83" i="12"/>
  <c r="H84" i="12"/>
  <c r="H10" i="12"/>
  <c r="G10" i="12"/>
  <c r="G11" i="12"/>
  <c r="G12" i="12"/>
  <c r="G13" i="12"/>
  <c r="G14" i="12"/>
  <c r="G15" i="12"/>
  <c r="G16" i="12"/>
  <c r="G17" i="12"/>
  <c r="G18" i="12"/>
  <c r="G19" i="12"/>
  <c r="G23" i="12"/>
  <c r="G21" i="12"/>
  <c r="G20" i="12"/>
  <c r="G22" i="12"/>
  <c r="G32" i="12"/>
  <c r="G33" i="12"/>
  <c r="G34" i="12"/>
  <c r="G35" i="12"/>
  <c r="G36" i="12"/>
  <c r="G37" i="12"/>
  <c r="G38" i="12"/>
  <c r="G39" i="12"/>
  <c r="G40" i="12"/>
  <c r="G50" i="12"/>
  <c r="G51" i="12"/>
  <c r="G52" i="12"/>
  <c r="G53" i="12"/>
  <c r="G54" i="12"/>
  <c r="G55" i="12"/>
  <c r="G56" i="12"/>
  <c r="G57" i="12"/>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F11" i="12"/>
  <c r="F12" i="12"/>
  <c r="F13" i="12"/>
  <c r="F14" i="12"/>
  <c r="F15" i="12"/>
  <c r="F16" i="12"/>
  <c r="F17" i="12"/>
  <c r="F18" i="12"/>
  <c r="F19" i="12"/>
  <c r="F23" i="12"/>
  <c r="F21" i="12"/>
  <c r="F20" i="12"/>
  <c r="F22" i="12"/>
  <c r="F32" i="12"/>
  <c r="F33" i="12"/>
  <c r="F34" i="12"/>
  <c r="F35" i="12"/>
  <c r="F36" i="12"/>
  <c r="F37" i="12"/>
  <c r="F38" i="12"/>
  <c r="F39" i="12"/>
  <c r="F40" i="12"/>
  <c r="F50" i="12"/>
  <c r="F51" i="12"/>
  <c r="F52" i="12"/>
  <c r="F53" i="12"/>
  <c r="F54" i="12"/>
  <c r="F55" i="12"/>
  <c r="F56" i="12"/>
  <c r="F57" i="12"/>
  <c r="F58" i="12"/>
  <c r="F59" i="12"/>
  <c r="F60" i="12"/>
  <c r="F61" i="12"/>
  <c r="F62" i="12"/>
  <c r="F63" i="12"/>
  <c r="F64" i="12"/>
  <c r="F65" i="12"/>
  <c r="F66" i="12"/>
  <c r="F67" i="12"/>
  <c r="F68" i="12"/>
  <c r="F69" i="12"/>
  <c r="F70" i="12"/>
  <c r="F71" i="12"/>
  <c r="F72" i="12"/>
  <c r="F73" i="12"/>
  <c r="F74" i="12"/>
  <c r="F75" i="12"/>
  <c r="F76" i="12"/>
  <c r="F77" i="12"/>
  <c r="F78" i="12"/>
  <c r="F79" i="12"/>
  <c r="F80" i="12"/>
  <c r="F81" i="12"/>
  <c r="F82" i="12"/>
  <c r="F83" i="12"/>
  <c r="F84" i="12"/>
  <c r="F10" i="12"/>
  <c r="E11" i="12"/>
  <c r="E12" i="12"/>
  <c r="E13" i="12"/>
  <c r="E14" i="12"/>
  <c r="E15" i="12"/>
  <c r="E16" i="12"/>
  <c r="E17" i="12"/>
  <c r="E18" i="12"/>
  <c r="E19" i="12"/>
  <c r="E23" i="12"/>
  <c r="E21" i="12"/>
  <c r="E20" i="12"/>
  <c r="E22" i="12"/>
  <c r="E32" i="12"/>
  <c r="E33" i="12"/>
  <c r="E34" i="12"/>
  <c r="E35" i="12"/>
  <c r="E36" i="12"/>
  <c r="E37" i="12"/>
  <c r="E38" i="12"/>
  <c r="E39" i="12"/>
  <c r="E40" i="12"/>
  <c r="E50" i="12"/>
  <c r="E51" i="12"/>
  <c r="E52" i="12"/>
  <c r="E53" i="12"/>
  <c r="E54" i="12"/>
  <c r="E55" i="12"/>
  <c r="E56" i="12"/>
  <c r="E57" i="12"/>
  <c r="E58" i="12"/>
  <c r="E59" i="12"/>
  <c r="E60" i="12"/>
  <c r="E61" i="12"/>
  <c r="E62" i="12"/>
  <c r="E63" i="12"/>
  <c r="E64" i="12"/>
  <c r="E65" i="12"/>
  <c r="E66" i="12"/>
  <c r="E67" i="12"/>
  <c r="E68" i="12"/>
  <c r="E69" i="12"/>
  <c r="E70" i="12"/>
  <c r="E71" i="12"/>
  <c r="E72" i="12"/>
  <c r="E73" i="12"/>
  <c r="E74" i="12"/>
  <c r="E75" i="12"/>
  <c r="E76" i="12"/>
  <c r="E77" i="12"/>
  <c r="E78" i="12"/>
  <c r="E79" i="12"/>
  <c r="E80" i="12"/>
  <c r="E81" i="12"/>
  <c r="E82" i="12"/>
  <c r="E83" i="12"/>
  <c r="E84" i="12"/>
  <c r="W42" i="11"/>
  <c r="W41" i="11"/>
  <c r="W40" i="11"/>
  <c r="W39" i="11"/>
  <c r="W38" i="11"/>
  <c r="W37" i="11"/>
  <c r="W36" i="11"/>
  <c r="W35" i="11"/>
  <c r="W34" i="11"/>
  <c r="W33" i="11"/>
  <c r="W32" i="11"/>
  <c r="W31" i="11"/>
  <c r="W30" i="11"/>
  <c r="W29" i="11"/>
  <c r="W28" i="11"/>
  <c r="W27" i="11"/>
  <c r="W26" i="11"/>
  <c r="W25" i="11"/>
  <c r="W24" i="11"/>
  <c r="W23" i="11"/>
  <c r="W22" i="11"/>
  <c r="W21" i="11"/>
  <c r="W20" i="11"/>
  <c r="W19" i="11"/>
  <c r="W18" i="11"/>
  <c r="W17" i="11"/>
  <c r="W16" i="11"/>
  <c r="W15" i="11"/>
  <c r="W14" i="11"/>
  <c r="W13" i="11"/>
  <c r="W12" i="11"/>
  <c r="W11" i="11"/>
  <c r="W10" i="11"/>
  <c r="W9" i="11"/>
  <c r="W8" i="11"/>
  <c r="W7" i="11"/>
  <c r="T42" i="11"/>
  <c r="T41" i="11"/>
  <c r="T40" i="11"/>
  <c r="T39" i="11"/>
  <c r="T38" i="11"/>
  <c r="T37" i="11"/>
  <c r="T36" i="11"/>
  <c r="T35" i="11"/>
  <c r="T34" i="11"/>
  <c r="T33" i="11"/>
  <c r="T32" i="11"/>
  <c r="T31" i="11"/>
  <c r="T30" i="11"/>
  <c r="T29" i="11"/>
  <c r="T28" i="11"/>
  <c r="T27" i="11"/>
  <c r="T26" i="11"/>
  <c r="T25" i="11"/>
  <c r="T24" i="11"/>
  <c r="T23" i="11"/>
  <c r="T22" i="11"/>
  <c r="T21" i="11"/>
  <c r="T20" i="11"/>
  <c r="T19" i="11"/>
  <c r="T18" i="11"/>
  <c r="T17" i="11"/>
  <c r="T16" i="11"/>
  <c r="T15" i="11"/>
  <c r="T14" i="11"/>
  <c r="T13" i="11"/>
  <c r="T12" i="11"/>
  <c r="T11" i="11"/>
  <c r="T10" i="11"/>
  <c r="T9" i="11"/>
  <c r="T8" i="11"/>
  <c r="T7" i="11"/>
  <c r="Q7" i="11"/>
  <c r="Q42" i="11"/>
  <c r="Q41" i="11"/>
  <c r="Q40" i="11"/>
  <c r="Q39" i="11"/>
  <c r="Q38" i="11"/>
  <c r="Q37" i="11"/>
  <c r="Q36" i="11"/>
  <c r="Q35" i="11"/>
  <c r="Q34" i="11"/>
  <c r="Q33" i="11"/>
  <c r="Q32" i="11"/>
  <c r="Q31" i="11"/>
  <c r="Q30" i="11"/>
  <c r="Q29" i="11"/>
  <c r="Q28" i="11"/>
  <c r="Q27" i="11"/>
  <c r="Q26" i="11"/>
  <c r="Q25" i="11"/>
  <c r="Q24" i="11"/>
  <c r="Q23" i="11"/>
  <c r="Q22" i="11"/>
  <c r="Q21" i="11"/>
  <c r="Q20" i="11"/>
  <c r="Q19" i="11"/>
  <c r="Q18" i="11"/>
  <c r="Q17" i="11"/>
  <c r="Q16" i="11"/>
  <c r="Q15" i="11"/>
  <c r="Q14" i="11"/>
  <c r="Q13" i="11"/>
  <c r="Q12" i="11"/>
  <c r="Q11" i="11"/>
  <c r="Q10" i="11"/>
  <c r="Q9" i="11"/>
  <c r="Q8" i="11"/>
  <c r="N42" i="11"/>
  <c r="N41" i="11"/>
  <c r="N40" i="11"/>
  <c r="N39" i="11"/>
  <c r="N38" i="11"/>
  <c r="N37" i="11"/>
  <c r="N36" i="11"/>
  <c r="N35" i="11"/>
  <c r="N34" i="11"/>
  <c r="N33" i="11"/>
  <c r="N32" i="11"/>
  <c r="N31" i="11"/>
  <c r="N30" i="11"/>
  <c r="N29" i="11"/>
  <c r="N28" i="11"/>
  <c r="N27" i="11"/>
  <c r="N26" i="11"/>
  <c r="N25" i="11"/>
  <c r="N24" i="11"/>
  <c r="N23" i="11"/>
  <c r="N22" i="11"/>
  <c r="N21" i="11"/>
  <c r="N20" i="11"/>
  <c r="N19" i="11"/>
  <c r="N18" i="11"/>
  <c r="N17" i="11"/>
  <c r="N16" i="11"/>
  <c r="N15" i="11"/>
  <c r="N14" i="11"/>
  <c r="N13" i="11"/>
  <c r="N12" i="11"/>
  <c r="N11" i="11"/>
  <c r="N10" i="11"/>
  <c r="N9" i="11"/>
  <c r="N8" i="11"/>
  <c r="N7" i="11"/>
  <c r="K42" i="11"/>
  <c r="K41" i="11"/>
  <c r="K40" i="11"/>
  <c r="K39" i="11"/>
  <c r="K38" i="11"/>
  <c r="K37" i="11"/>
  <c r="K36" i="11"/>
  <c r="K35" i="11"/>
  <c r="K34" i="11"/>
  <c r="K33" i="11"/>
  <c r="K32" i="11"/>
  <c r="K31" i="11"/>
  <c r="K30" i="11"/>
  <c r="K29" i="11"/>
  <c r="K28" i="11"/>
  <c r="K27" i="11"/>
  <c r="K26" i="11"/>
  <c r="K25" i="11"/>
  <c r="K24" i="11"/>
  <c r="K23" i="11"/>
  <c r="K22" i="11"/>
  <c r="K21" i="11"/>
  <c r="K20" i="11"/>
  <c r="K19" i="11"/>
  <c r="K18" i="11"/>
  <c r="K17" i="11"/>
  <c r="K16" i="11"/>
  <c r="K15" i="11"/>
  <c r="K14" i="11"/>
  <c r="K13" i="11"/>
  <c r="K12" i="11"/>
  <c r="K11" i="11"/>
  <c r="K10" i="11"/>
  <c r="K9" i="11"/>
  <c r="K8" i="11"/>
  <c r="W10" i="17" l="1"/>
  <c r="L14" i="17"/>
  <c r="K43" i="11"/>
  <c r="W43" i="11"/>
  <c r="Q43" i="11"/>
  <c r="T43" i="11"/>
  <c r="N43" i="11"/>
  <c r="J86" i="16"/>
  <c r="W32" i="17"/>
  <c r="W34" i="17"/>
  <c r="W35" i="17"/>
  <c r="I47" i="17"/>
  <c r="L47" i="17" s="1"/>
  <c r="AK105" i="16"/>
  <c r="AK91" i="16"/>
  <c r="AK78" i="16"/>
  <c r="AK81" i="16"/>
  <c r="AK92" i="16"/>
  <c r="AK108" i="16"/>
  <c r="AK96" i="16"/>
  <c r="AK97" i="16"/>
  <c r="AK106" i="16"/>
  <c r="AK103" i="16"/>
  <c r="AK61" i="16"/>
  <c r="AK83" i="16"/>
  <c r="AK104" i="16"/>
  <c r="AK63" i="16"/>
  <c r="AK79" i="16"/>
  <c r="AK107" i="16"/>
  <c r="AK65" i="16"/>
  <c r="AK84" i="16"/>
  <c r="AK76" i="16"/>
  <c r="AK89" i="16"/>
  <c r="AK64" i="16"/>
  <c r="AK75" i="16"/>
  <c r="AK85" i="16"/>
  <c r="AK80" i="16"/>
  <c r="AK82" i="16"/>
  <c r="AK90" i="16"/>
  <c r="AK74" i="16"/>
  <c r="AK62" i="16"/>
  <c r="AK60" i="16"/>
  <c r="AK41" i="16"/>
  <c r="AK51" i="16"/>
  <c r="AK13" i="16"/>
  <c r="AK35" i="16"/>
  <c r="AK44" i="16"/>
  <c r="AK38" i="16"/>
  <c r="AK45" i="16"/>
  <c r="M48" i="16"/>
  <c r="P48" i="16"/>
  <c r="AK36" i="16"/>
  <c r="AK43" i="16"/>
  <c r="AK42" i="16"/>
  <c r="V48" i="16"/>
  <c r="AH48" i="16"/>
  <c r="AE48" i="16"/>
  <c r="AB48" i="16"/>
  <c r="Y48" i="16"/>
  <c r="S48" i="16"/>
  <c r="AK39" i="16"/>
  <c r="AK33" i="16" s="1" a="1"/>
  <c r="AK33" i="16" s="1"/>
  <c r="AK37" i="16"/>
  <c r="AK14" i="16"/>
  <c r="AK12" i="16"/>
  <c r="AK11" i="16"/>
  <c r="R81" i="12"/>
  <c r="R69" i="12"/>
  <c r="R57" i="12"/>
  <c r="R38" i="12"/>
  <c r="R18" i="12"/>
  <c r="R16" i="12"/>
  <c r="R79" i="12"/>
  <c r="R36" i="12"/>
  <c r="R67" i="12"/>
  <c r="R55" i="12"/>
  <c r="R83" i="12"/>
  <c r="R71" i="12"/>
  <c r="R59" i="12"/>
  <c r="R40" i="12"/>
  <c r="R23" i="12"/>
  <c r="R80" i="12"/>
  <c r="R68" i="12"/>
  <c r="R56" i="12"/>
  <c r="R37" i="12"/>
  <c r="R17" i="12"/>
  <c r="R78" i="12"/>
  <c r="R35" i="12"/>
  <c r="R77" i="12"/>
  <c r="R65" i="12"/>
  <c r="R53" i="12"/>
  <c r="R34" i="12"/>
  <c r="R14" i="12"/>
  <c r="R73" i="12"/>
  <c r="R61" i="12"/>
  <c r="R49" i="12"/>
  <c r="R20" i="12"/>
  <c r="R82" i="12"/>
  <c r="R70" i="12"/>
  <c r="R58" i="12"/>
  <c r="R39" i="12"/>
  <c r="R19" i="12"/>
  <c r="R76" i="12"/>
  <c r="R64" i="12"/>
  <c r="R52" i="12"/>
  <c r="R33" i="12"/>
  <c r="R13" i="12"/>
  <c r="R84" i="12"/>
  <c r="R72" i="12"/>
  <c r="R60" i="12"/>
  <c r="R21" i="12"/>
  <c r="R66" i="12"/>
  <c r="R75" i="12"/>
  <c r="R63" i="12"/>
  <c r="R51" i="12"/>
  <c r="R32" i="12"/>
  <c r="R12" i="12"/>
  <c r="R74" i="12"/>
  <c r="R62" i="12"/>
  <c r="R50" i="12"/>
  <c r="R22" i="12"/>
  <c r="R11" i="12"/>
  <c r="R15" i="12"/>
  <c r="R54" i="12"/>
  <c r="AE28" i="17" l="1" a="1"/>
  <c r="AE28" i="17" s="1"/>
  <c r="AK98" i="16"/>
  <c r="AK93" i="16"/>
  <c r="AK66" i="16"/>
  <c r="AK15" i="16"/>
  <c r="AK46" i="16"/>
  <c r="Z35" i="17"/>
  <c r="W11" i="17"/>
  <c r="Z34" i="17"/>
  <c r="Z37" i="17"/>
  <c r="Z41" i="17"/>
  <c r="Z38" i="17"/>
  <c r="Z39" i="17"/>
  <c r="Z36" i="17"/>
  <c r="Z40" i="17"/>
  <c r="W13" i="17"/>
  <c r="I67" i="17"/>
  <c r="L67" i="17" s="1"/>
  <c r="I83" i="17"/>
  <c r="L83" i="17" s="1"/>
  <c r="M86" i="16"/>
  <c r="P86" i="16"/>
  <c r="S86" i="16"/>
  <c r="V86" i="16"/>
  <c r="Y86" i="16"/>
  <c r="AB86" i="16"/>
  <c r="AH86" i="16"/>
  <c r="AE86" i="16"/>
  <c r="AK29" i="17" l="1"/>
  <c r="AK30" i="17"/>
  <c r="AK31" i="17"/>
  <c r="AK32" i="17"/>
  <c r="AK28" i="17"/>
  <c r="AK48" i="16"/>
  <c r="J68" i="16"/>
  <c r="Y68" i="16"/>
  <c r="Y100" i="16" s="1"/>
  <c r="Y109" i="16" s="1"/>
  <c r="W14" i="17"/>
  <c r="Z11" i="17" s="1"/>
  <c r="AE68" i="16"/>
  <c r="AE100" i="16" s="1"/>
  <c r="AE109" i="16" s="1"/>
  <c r="P68" i="16"/>
  <c r="P100" i="16" s="1"/>
  <c r="P109" i="16" s="1"/>
  <c r="AH68" i="16"/>
  <c r="AH100" i="16" s="1"/>
  <c r="AH109" i="16" s="1"/>
  <c r="AB68" i="16"/>
  <c r="AB100" i="16" s="1"/>
  <c r="AB109" i="16" s="1"/>
  <c r="S68" i="16"/>
  <c r="S100" i="16" s="1"/>
  <c r="S109" i="16" s="1"/>
  <c r="M68" i="16"/>
  <c r="M100" i="16" s="1"/>
  <c r="M109" i="16" s="1"/>
  <c r="V68" i="16"/>
  <c r="V100" i="16" s="1"/>
  <c r="V109" i="16" s="1"/>
  <c r="AK86" i="16"/>
  <c r="I97" i="17"/>
  <c r="L10" i="12"/>
  <c r="R10" i="12" s="1"/>
  <c r="D10" i="12"/>
  <c r="J10" i="12" s="1"/>
  <c r="J11" i="12"/>
  <c r="T11" i="12" s="1"/>
  <c r="J12" i="12"/>
  <c r="T12" i="12" s="1"/>
  <c r="J13" i="12"/>
  <c r="T13" i="12" s="1"/>
  <c r="J14" i="12"/>
  <c r="T14" i="12" s="1"/>
  <c r="J15" i="12"/>
  <c r="T15" i="12" s="1"/>
  <c r="J16" i="12"/>
  <c r="T16" i="12" s="1"/>
  <c r="J17" i="12"/>
  <c r="T17" i="12" s="1"/>
  <c r="J18" i="12"/>
  <c r="T18" i="12" s="1"/>
  <c r="J19" i="12"/>
  <c r="T19" i="12" s="1"/>
  <c r="J23" i="12"/>
  <c r="T23" i="12" s="1"/>
  <c r="J21" i="12"/>
  <c r="T21" i="12" s="1"/>
  <c r="J20" i="12"/>
  <c r="T20" i="12" s="1"/>
  <c r="J22" i="12"/>
  <c r="T22" i="12" s="1"/>
  <c r="J32" i="12"/>
  <c r="T32" i="12" s="1"/>
  <c r="J33" i="12"/>
  <c r="T33" i="12" s="1"/>
  <c r="J34" i="12"/>
  <c r="T34" i="12" s="1"/>
  <c r="J35" i="12"/>
  <c r="T35" i="12" s="1"/>
  <c r="J36" i="12"/>
  <c r="T36" i="12" s="1"/>
  <c r="J37" i="12"/>
  <c r="T37" i="12" s="1"/>
  <c r="J38" i="12"/>
  <c r="T38" i="12" s="1"/>
  <c r="J39" i="12"/>
  <c r="T39" i="12" s="1"/>
  <c r="J40" i="12"/>
  <c r="T40" i="12" s="1"/>
  <c r="J49" i="12"/>
  <c r="T49" i="12" s="1"/>
  <c r="J50" i="12"/>
  <c r="T50" i="12" s="1"/>
  <c r="J51" i="12"/>
  <c r="T51" i="12" s="1"/>
  <c r="J52" i="12"/>
  <c r="T52" i="12" s="1"/>
  <c r="J53" i="12"/>
  <c r="T53" i="12" s="1"/>
  <c r="J54" i="12"/>
  <c r="T54" i="12" s="1"/>
  <c r="J55" i="12"/>
  <c r="T55" i="12" s="1"/>
  <c r="J56" i="12"/>
  <c r="T56" i="12" s="1"/>
  <c r="J57" i="12"/>
  <c r="T57" i="12" s="1"/>
  <c r="J58" i="12"/>
  <c r="T58" i="12" s="1"/>
  <c r="J59" i="12"/>
  <c r="T59" i="12" s="1"/>
  <c r="J60" i="12"/>
  <c r="T60" i="12" s="1"/>
  <c r="J61" i="12"/>
  <c r="T61" i="12" s="1"/>
  <c r="J62" i="12"/>
  <c r="T62" i="12" s="1"/>
  <c r="J63" i="12"/>
  <c r="T63" i="12" s="1"/>
  <c r="J64" i="12"/>
  <c r="T64" i="12" s="1"/>
  <c r="J65" i="12"/>
  <c r="T65" i="12" s="1"/>
  <c r="J66" i="12"/>
  <c r="T66" i="12" s="1"/>
  <c r="J67" i="12"/>
  <c r="T67" i="12" s="1"/>
  <c r="J68" i="12"/>
  <c r="T68" i="12" s="1"/>
  <c r="J69" i="12"/>
  <c r="T69" i="12" s="1"/>
  <c r="J70" i="12"/>
  <c r="T70" i="12" s="1"/>
  <c r="J71" i="12"/>
  <c r="T71" i="12" s="1"/>
  <c r="J72" i="12"/>
  <c r="T72" i="12" s="1"/>
  <c r="J73" i="12"/>
  <c r="T73" i="12" s="1"/>
  <c r="J74" i="12"/>
  <c r="T74" i="12" s="1"/>
  <c r="J75" i="12"/>
  <c r="T75" i="12" s="1"/>
  <c r="J76" i="12"/>
  <c r="T76" i="12" s="1"/>
  <c r="J77" i="12"/>
  <c r="T77" i="12" s="1"/>
  <c r="J78" i="12"/>
  <c r="T78" i="12" s="1"/>
  <c r="J79" i="12"/>
  <c r="T79" i="12" s="1"/>
  <c r="J80" i="12"/>
  <c r="T80" i="12" s="1"/>
  <c r="J81" i="12"/>
  <c r="T81" i="12" s="1"/>
  <c r="J82" i="12"/>
  <c r="T82" i="12" s="1"/>
  <c r="J83" i="12"/>
  <c r="T83" i="12" s="1"/>
  <c r="J84" i="12"/>
  <c r="T84" i="12" s="1"/>
  <c r="G94" i="7"/>
  <c r="F94" i="7"/>
  <c r="E94" i="7"/>
  <c r="D94" i="7"/>
  <c r="C94" i="7"/>
  <c r="I106" i="17" l="1"/>
  <c r="L106" i="17" s="1"/>
  <c r="L97" i="17"/>
  <c r="J100" i="16"/>
  <c r="J109" i="16" s="1"/>
  <c r="Z12" i="17"/>
  <c r="Z33" i="17"/>
  <c r="Z29" i="17"/>
  <c r="Z30" i="17"/>
  <c r="Z28" i="17"/>
  <c r="Z31" i="17"/>
  <c r="Z10" i="17"/>
  <c r="Z32" i="17"/>
  <c r="Z13" i="17"/>
  <c r="AK68" i="16"/>
  <c r="T10" i="12"/>
  <c r="Z14" i="17" l="1"/>
  <c r="AK100" i="16"/>
  <c r="AK109" i="16" l="1"/>
  <c r="AK112" i="16"/>
  <c r="A129" i="16" l="1" a="1"/>
  <c r="A129" i="16" s="1"/>
  <c r="A127" i="16"/>
  <c r="E127" i="16" s="1"/>
  <c r="AK115" i="16"/>
  <c r="A131" i="16" s="1"/>
  <c r="G131" i="16" l="1" a="1"/>
  <c r="G131" i="16" s="1"/>
  <c r="G129" i="16" a="1"/>
  <c r="G129" i="16" s="1"/>
  <c r="A137" i="16"/>
  <c r="C131" i="16" a="1"/>
  <c r="C131" i="16" s="1"/>
  <c r="E131" i="16" s="1"/>
  <c r="A136" i="16"/>
  <c r="C129" i="16" a="1"/>
  <c r="C129" i="16" s="1"/>
  <c r="E129" i="16" s="1"/>
  <c r="I129" i="16" l="1"/>
  <c r="I131" i="16"/>
  <c r="A112" i="1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Fortner, Eliza</author>
  </authors>
  <commentList>
    <comment ref="A62" authorId="0" shapeId="0" xr:uid="{2E95BA63-AD49-4D03-B9A1-EDDA4A1DFC7F}">
      <text>
        <r>
          <rPr>
            <sz val="12"/>
            <color indexed="81"/>
            <rFont val="Overpass"/>
            <family val="2"/>
            <scheme val="major"/>
          </rPr>
          <t>Formerly Texas A&amp;M - Commerce</t>
        </r>
      </text>
    </comment>
    <comment ref="A73" authorId="0" shapeId="0" xr:uid="{406B78CB-4CD6-4D96-ACFD-4EBC1061BCE4}">
      <text>
        <r>
          <rPr>
            <sz val="12"/>
            <color indexed="81"/>
            <rFont val="Overpass"/>
            <family val="2"/>
            <scheme val="major"/>
          </rPr>
          <t>Sul Ross Alpine &amp; Sul Ross Rio Grande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Fortner, Eliza</author>
  </authors>
  <commentList>
    <comment ref="A65" authorId="0" shapeId="0" xr:uid="{0F92F3EE-3D41-4505-86B1-EAA80DA5B84D}">
      <text>
        <r>
          <rPr>
            <sz val="12"/>
            <color indexed="81"/>
            <rFont val="Overpass"/>
            <family val="2"/>
            <scheme val="major"/>
          </rPr>
          <t>Formerly Texas A&amp;M - Commerce</t>
        </r>
      </text>
    </comment>
    <comment ref="A76" authorId="0" shapeId="0" xr:uid="{D8EAEF12-73D9-4DAF-BCFF-D4E70CD4BCBC}">
      <text>
        <r>
          <rPr>
            <sz val="12"/>
            <color indexed="81"/>
            <rFont val="Overpass"/>
            <family val="2"/>
            <scheme val="major"/>
          </rPr>
          <t>Sul Ross Alpine &amp; Sul Ross Rio Grande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Fortner, Eliza</author>
  </authors>
  <commentList>
    <comment ref="A3" authorId="0" shapeId="0" xr:uid="{4222D8D9-7820-48A8-B66A-0B10552CF162}">
      <text>
        <r>
          <rPr>
            <sz val="12"/>
            <color indexed="81"/>
            <rFont val="Overpass"/>
            <family val="2"/>
            <scheme val="major"/>
          </rPr>
          <t>Formerly Texas A&amp;M - Commerce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Fortner, Eliza</author>
  </authors>
  <commentList>
    <comment ref="A65" authorId="0" shapeId="0" xr:uid="{458F4A64-7C96-4400-83A8-C208673CD00A}">
      <text>
        <r>
          <rPr>
            <sz val="12"/>
            <color indexed="81"/>
            <rFont val="Overpass"/>
            <family val="2"/>
            <scheme val="major"/>
          </rPr>
          <t>Formerly Texas A&amp;M - Commerce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Fortner, Eliza</author>
  </authors>
  <commentList>
    <comment ref="A23" authorId="0" shapeId="0" xr:uid="{A5052A0A-C7C5-4DC5-965A-01EE87D9D5D3}">
      <text>
        <r>
          <rPr>
            <sz val="12"/>
            <color indexed="81"/>
            <rFont val="Overpass"/>
            <family val="2"/>
            <scheme val="major"/>
          </rPr>
          <t>Formerly Texas A&amp;M - Commerce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Fortner, Eliza</author>
  </authors>
  <commentList>
    <comment ref="A6" authorId="0" shapeId="0" xr:uid="{1AD7D3EF-E7B7-495D-A515-A1AC3151B647}">
      <text>
        <r>
          <rPr>
            <sz val="12"/>
            <color indexed="81"/>
            <rFont val="Overpass"/>
            <family val="2"/>
            <scheme val="major"/>
          </rPr>
          <t>Formerly Texas A&amp;M - Commerce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Fortner, Eliza</author>
  </authors>
  <commentList>
    <comment ref="A16" authorId="0" shapeId="0" xr:uid="{DF26C7DC-C12D-4152-8D89-DE6B7FB58797}">
      <text>
        <r>
          <rPr>
            <sz val="12"/>
            <color indexed="81"/>
            <rFont val="Overpass"/>
            <family val="2"/>
            <scheme val="major"/>
          </rPr>
          <t>Formerly Texas A&amp;M - Commerce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<sst xmlns="http://schemas.openxmlformats.org/spreadsheetml/2006/main" count="4570" uniqueCount="1921">
  <si>
    <t>Table of Contents</t>
  </si>
  <si>
    <t>Definitions</t>
  </si>
  <si>
    <t>Fund Group Detail (FGD)</t>
  </si>
  <si>
    <t>FTSE | FTFE</t>
  </si>
  <si>
    <t>Abbreviations | Acronyms</t>
  </si>
  <si>
    <t>Abbrev.</t>
  </si>
  <si>
    <t>Description</t>
  </si>
  <si>
    <t>AFR</t>
  </si>
  <si>
    <t>Annual Financial Report</t>
  </si>
  <si>
    <t>(A+H)</t>
  </si>
  <si>
    <t xml:space="preserve">Academic + Health Professions </t>
  </si>
  <si>
    <t>(A+H+M)</t>
  </si>
  <si>
    <t>(M)</t>
  </si>
  <si>
    <t>Medical</t>
  </si>
  <si>
    <t>HRI</t>
  </si>
  <si>
    <t>Health - Related Institutions</t>
  </si>
  <si>
    <t>IFRS</t>
  </si>
  <si>
    <t>Integrated Financial Reporting System</t>
  </si>
  <si>
    <t>SRECNP</t>
  </si>
  <si>
    <t>Schedule of Revenues, Expenses, and Changes in Net Position</t>
  </si>
  <si>
    <t>TSTC</t>
  </si>
  <si>
    <t>UNIV</t>
  </si>
  <si>
    <t>Texas Public Universities</t>
  </si>
  <si>
    <t>Educational 
&amp; General</t>
  </si>
  <si>
    <t>Designated</t>
  </si>
  <si>
    <t>Auxiliary 
Enterprises</t>
  </si>
  <si>
    <t>Restricted Expendable</t>
  </si>
  <si>
    <t>Loan Funds</t>
  </si>
  <si>
    <t>Unexpended Plant</t>
  </si>
  <si>
    <t>Retirement of Indebtedness</t>
  </si>
  <si>
    <t>Investment 
In Plant</t>
  </si>
  <si>
    <t>Institution Name</t>
  </si>
  <si>
    <t>Sort</t>
  </si>
  <si>
    <t>FICE</t>
  </si>
  <si>
    <t>Instruction</t>
  </si>
  <si>
    <t>Research</t>
  </si>
  <si>
    <t>Academic Support</t>
  </si>
  <si>
    <t>Student Services</t>
  </si>
  <si>
    <t>Institutional Support</t>
  </si>
  <si>
    <t>The University of Texas Southwestern Medical Center</t>
  </si>
  <si>
    <t>The University of Texas Medical Branch at Galveston</t>
  </si>
  <si>
    <t>The University of Texas Health Science Center at Houston</t>
  </si>
  <si>
    <t>The University of Texas Health Science Center at San Antonio</t>
  </si>
  <si>
    <t>The University of Texas M.D. Anderson Cancer Center</t>
  </si>
  <si>
    <t>The University of Texas Health Science Center at Tyler</t>
  </si>
  <si>
    <t>Texas A&amp;M University System Health Science Center</t>
  </si>
  <si>
    <t>University of North Texas Health Science Center at Fort Worth</t>
  </si>
  <si>
    <t>Texas Tech University Health Sciences Center</t>
  </si>
  <si>
    <t>Texas Tech University Health Sciences Center at El Paso</t>
  </si>
  <si>
    <t>Lamar Institute of Technology</t>
  </si>
  <si>
    <t>Lamar State College - Orange</t>
  </si>
  <si>
    <t>Lamar State College - Port Arthur</t>
  </si>
  <si>
    <t>Texas State Technical College - Harlingen</t>
  </si>
  <si>
    <t>Texas State Technical College - West Texas</t>
  </si>
  <si>
    <t>Texas State Technical College - Marshall</t>
  </si>
  <si>
    <t>Texas State Technical College - Waco</t>
  </si>
  <si>
    <t>Texas State Technical College - North Texas</t>
  </si>
  <si>
    <t>Texas State Technical College - Fort Bend</t>
  </si>
  <si>
    <t>The University of Texas at Arlington</t>
  </si>
  <si>
    <t>The University of Texas at Austin (A+H)</t>
  </si>
  <si>
    <t>The University of Texas at Dallas</t>
  </si>
  <si>
    <t>The University of Texas at El Paso</t>
  </si>
  <si>
    <t>The University of Texas at Rio Grande Valley (A+H)</t>
  </si>
  <si>
    <t>The University of Texas of the Permian Basin</t>
  </si>
  <si>
    <t>The University of Texas at San Antonio</t>
  </si>
  <si>
    <t>The University of Texas at Tyler</t>
  </si>
  <si>
    <t>Texas A&amp;M University</t>
  </si>
  <si>
    <t>Texas A&amp;M University at Galveston</t>
  </si>
  <si>
    <t>Prairie View A&amp;M University</t>
  </si>
  <si>
    <t>Tarleton State University</t>
  </si>
  <si>
    <t>Texas A&amp;M University - Corpus Christi</t>
  </si>
  <si>
    <t>Texas A&amp;M University - Kingsville</t>
  </si>
  <si>
    <t>Texas A&amp;M International University</t>
  </si>
  <si>
    <t>West Texas A&amp;M University</t>
  </si>
  <si>
    <t>Texas A&amp;M University - Commerce</t>
  </si>
  <si>
    <t>Texas A&amp;M University - Texarkana</t>
  </si>
  <si>
    <t>Texas A&amp;M University - Central Texas</t>
  </si>
  <si>
    <t>Texas A&amp;M University - San Antonio</t>
  </si>
  <si>
    <t>University of Houston (A+H)</t>
  </si>
  <si>
    <t>University of Houston - Clear Lake</t>
  </si>
  <si>
    <t>University of Houston - Downtown</t>
  </si>
  <si>
    <t>University of Houston - Victoria</t>
  </si>
  <si>
    <t>Sam Houston State University (A+H)</t>
  </si>
  <si>
    <t>Texas State University</t>
  </si>
  <si>
    <t>Sul Ross State University</t>
  </si>
  <si>
    <t>Texas Tech University</t>
  </si>
  <si>
    <t>Angelo State University</t>
  </si>
  <si>
    <t>University of North Texas</t>
  </si>
  <si>
    <t>University of North Texas at Dallas</t>
  </si>
  <si>
    <t>Midwestern State University</t>
  </si>
  <si>
    <t>Stephen F. Austin State University</t>
  </si>
  <si>
    <t>Texas Southern University</t>
  </si>
  <si>
    <t>Texas Woman's University</t>
  </si>
  <si>
    <t>Operating Sources</t>
  </si>
  <si>
    <t>State of Texas</t>
  </si>
  <si>
    <t>Annuity, Life, &amp; 
Endowment &amp; 
Similar Funds</t>
  </si>
  <si>
    <t>Total</t>
  </si>
  <si>
    <t>State Appropriations</t>
  </si>
  <si>
    <t>Higher Education Fund</t>
  </si>
  <si>
    <t>Subtotal</t>
  </si>
  <si>
    <t>Student &amp; Parent</t>
  </si>
  <si>
    <t>Tuition Potential 100%</t>
  </si>
  <si>
    <t>Waivers - Statutory</t>
  </si>
  <si>
    <t>Waivers - Institutional</t>
  </si>
  <si>
    <t>Exemptions - Statutory</t>
  </si>
  <si>
    <t>Exemptions - Institutional</t>
  </si>
  <si>
    <t>Net Tuition</t>
  </si>
  <si>
    <t>Fees Potential 100%</t>
  </si>
  <si>
    <t>Fees - Gross - AFR Presentation</t>
  </si>
  <si>
    <t>Net Fees</t>
  </si>
  <si>
    <t>Net Tuition and Fees (Funds Collected)</t>
  </si>
  <si>
    <t>Federal Government</t>
  </si>
  <si>
    <t>Professional Fees</t>
  </si>
  <si>
    <t>Hospitals and Clinics</t>
  </si>
  <si>
    <t>Institutional Resources</t>
  </si>
  <si>
    <t>Sales and Services</t>
  </si>
  <si>
    <t>Net Auxiliary Enterprises</t>
  </si>
  <si>
    <t>Total Operating Sources</t>
  </si>
  <si>
    <t>Operating Uses</t>
  </si>
  <si>
    <t>Function</t>
  </si>
  <si>
    <t>Public Service</t>
  </si>
  <si>
    <t>Operations and Maintenance of Plant</t>
  </si>
  <si>
    <t>Scholarships and Fellowships</t>
  </si>
  <si>
    <t>Capital Outlay from Current Fund Sources</t>
  </si>
  <si>
    <t>Other Sources / (Uses) of Funds</t>
  </si>
  <si>
    <t>Capital Outlay from Non-Current Fund Sources</t>
  </si>
  <si>
    <t>Other Items Not for Current Operating Use</t>
  </si>
  <si>
    <t>Bond Proceeds/(Principal Debt Payments)</t>
  </si>
  <si>
    <t>Depreciation Expense</t>
  </si>
  <si>
    <t>Transfer of Capital Asset(s) from System</t>
  </si>
  <si>
    <t>Other Post-Employment Benefit (OPEB) Expense</t>
  </si>
  <si>
    <t>Non-Cash Capital Gifts</t>
  </si>
  <si>
    <t xml:space="preserve">Capital Outlay </t>
  </si>
  <si>
    <t>FTSE</t>
  </si>
  <si>
    <t>Total Revenue by Operating Source Category</t>
  </si>
  <si>
    <t>Summary</t>
  </si>
  <si>
    <t>Per FTSE</t>
  </si>
  <si>
    <t>Amount</t>
  </si>
  <si>
    <t>Percent</t>
  </si>
  <si>
    <t>Available University Fund Excellence</t>
  </si>
  <si>
    <t>Source</t>
  </si>
  <si>
    <t>All Other Scholarship Disc.&amp; Allow.</t>
  </si>
  <si>
    <t>State Grants &amp; Contracts</t>
  </si>
  <si>
    <t>Tuition &amp; Fees</t>
  </si>
  <si>
    <t>Federal Grants &amp; Contracts</t>
  </si>
  <si>
    <t>Endowment &amp; Interest Income</t>
  </si>
  <si>
    <t>Local Government Grants</t>
  </si>
  <si>
    <t>Private Gifts &amp; Grants</t>
  </si>
  <si>
    <t>Sales &amp; Services</t>
  </si>
  <si>
    <t>Other Income</t>
  </si>
  <si>
    <t>SRECNP Reconciliation</t>
  </si>
  <si>
    <t>Endowment and Interest Income</t>
  </si>
  <si>
    <t>Auxiliary Enterprises</t>
  </si>
  <si>
    <t>Operations &amp; Maintenance of Plant</t>
  </si>
  <si>
    <t>Scholarships &amp; Fellowships</t>
  </si>
  <si>
    <t>Other Expenses</t>
  </si>
  <si>
    <t>Mandatory and Non-mandatory Transfers</t>
  </si>
  <si>
    <t>Bond Proceeds Transfers In</t>
  </si>
  <si>
    <t>Debt Service Payments</t>
  </si>
  <si>
    <t>Unrealized Gains/(Losses)</t>
  </si>
  <si>
    <t>Additions to Permanent Endowments</t>
  </si>
  <si>
    <t>Tuition</t>
  </si>
  <si>
    <t>Fees</t>
  </si>
  <si>
    <t>Waivers</t>
  </si>
  <si>
    <t>Exemptions</t>
  </si>
  <si>
    <t>Fee Waivers</t>
  </si>
  <si>
    <t>Fee Exemptions</t>
  </si>
  <si>
    <t>Institution</t>
  </si>
  <si>
    <t>Gross</t>
  </si>
  <si>
    <t xml:space="preserve">Statutory </t>
  </si>
  <si>
    <t>Institutional</t>
  </si>
  <si>
    <t>Schol Disc &amp; Allow</t>
  </si>
  <si>
    <t>Net</t>
  </si>
  <si>
    <t>Total Net</t>
  </si>
  <si>
    <t>Student and Faculty Full-Time Equivalent</t>
  </si>
  <si>
    <t>State-Funded 
FTSE</t>
  </si>
  <si>
    <t>State 
Revenue</t>
  </si>
  <si>
    <t>Federal 
Revenue</t>
  </si>
  <si>
    <t>Institutional 
Revenue</t>
  </si>
  <si>
    <t>The University of Texas at Austin (A+H+M)</t>
  </si>
  <si>
    <t>The University of Texas at Rio Grande Valley (A+H+M)</t>
  </si>
  <si>
    <t>University of Houston (A+H+M)</t>
  </si>
  <si>
    <t>Type</t>
  </si>
  <si>
    <t>Status</t>
  </si>
  <si>
    <t>St. Ap. E &amp; G</t>
  </si>
  <si>
    <t>St. Ap. Desg</t>
  </si>
  <si>
    <t>St. Ap. Aux</t>
  </si>
  <si>
    <t>St. Ap. R Exp</t>
  </si>
  <si>
    <t>St. Ap. Loan</t>
  </si>
  <si>
    <t>St. Ap. Annuity</t>
  </si>
  <si>
    <t>St. Ap. Unexp</t>
  </si>
  <si>
    <t>St. Ap. R of Ind</t>
  </si>
  <si>
    <t>St. Ap. Inv in P</t>
  </si>
  <si>
    <t>HEF E&amp;G</t>
  </si>
  <si>
    <t>HEF Desg</t>
  </si>
  <si>
    <t>HEF Aux</t>
  </si>
  <si>
    <t>HEF R Exp</t>
  </si>
  <si>
    <t>HEF Loan</t>
  </si>
  <si>
    <t>HEF Annuity</t>
  </si>
  <si>
    <t>HEF Unexp</t>
  </si>
  <si>
    <t>HEF R of Ind</t>
  </si>
  <si>
    <t>HEF Inv in P</t>
  </si>
  <si>
    <t>Available E&amp;G</t>
  </si>
  <si>
    <t>Available Desg</t>
  </si>
  <si>
    <t>Available Aux</t>
  </si>
  <si>
    <t>Available R Exp</t>
  </si>
  <si>
    <t>Available Loan</t>
  </si>
  <si>
    <t>Available Annuity</t>
  </si>
  <si>
    <t>Available Unexp</t>
  </si>
  <si>
    <t>Available R of Ind</t>
  </si>
  <si>
    <t>Available Inv in P</t>
  </si>
  <si>
    <t>T. W. - Stat (NR AFR) E&amp;G</t>
  </si>
  <si>
    <t>T. W. - Stat (NR AFR) Desg</t>
  </si>
  <si>
    <t>T. W. - Stat (NR AFR) Aux</t>
  </si>
  <si>
    <t>T. W. - Stat (NR AFR) R Exp</t>
  </si>
  <si>
    <t>T. W. - Stat (NR AFR) Loan</t>
  </si>
  <si>
    <t>T. W. - Stat (NR AFR) Annuity</t>
  </si>
  <si>
    <t>T. W. - Stat (NR AFR) Unexp</t>
  </si>
  <si>
    <t>T. W. - Stat (NR AFR) R of Ind</t>
  </si>
  <si>
    <t>T. W. - Stat (NR AFR) Inv in P</t>
  </si>
  <si>
    <t>T. W. - Inst. (NR AFR) E&amp;G</t>
  </si>
  <si>
    <t>T. W. - Inst. (NR AFR) Desg</t>
  </si>
  <si>
    <t>T. W. - Inst. (NR AFR) Aux</t>
  </si>
  <si>
    <t>T. W. - Inst. (NR AFR) R Exp</t>
  </si>
  <si>
    <t>T. W. - Inst. (NR AFR) Loan</t>
  </si>
  <si>
    <t>T. W. - Inst. (NR AFR) Annuity</t>
  </si>
  <si>
    <t>T. W. - Inst. (NR AFR) Unexp</t>
  </si>
  <si>
    <t>T. W. - Inst. (NR AFR) R of Ind</t>
  </si>
  <si>
    <t>T. W. - Inst. (NR AFR) Inv in P</t>
  </si>
  <si>
    <t>T. Exp. - Stat (NR AFR) E&amp;G</t>
  </si>
  <si>
    <t>T. Exp. - Stat (NR AFR) Desg</t>
  </si>
  <si>
    <t>T. Exp. - Stat (NR AFR) Aux</t>
  </si>
  <si>
    <t>T. Exp. - Stat (NR AFR) R Exp</t>
  </si>
  <si>
    <t>T. Exp. - Stat (NR AFR) Loan</t>
  </si>
  <si>
    <t>T. Exp. - Stat (NR AFR) Annuity</t>
  </si>
  <si>
    <t>T. Exp. - Stat (NR AFR) Unexp</t>
  </si>
  <si>
    <t>T. Exp. - Stat (NR AFR) R of Ind</t>
  </si>
  <si>
    <t>T. Exp. - Stat (NR AFR) Inv in P</t>
  </si>
  <si>
    <t>T. Exp. - Inst. (NR AFR) E&amp;G</t>
  </si>
  <si>
    <t>T. Exp. - Inst. (NR AFR) Desg</t>
  </si>
  <si>
    <t>T. Exp. - Inst. (NR AFR) Aux</t>
  </si>
  <si>
    <t>T. Exp. - Inst. (NR AFR) R Exp</t>
  </si>
  <si>
    <t>T. Exp. - Inst. (NR AFR) Loan</t>
  </si>
  <si>
    <t>T. Exp. - Inst. (NR AFR) Annuity</t>
  </si>
  <si>
    <t>T. Exp. - Inst. (NR AFR) Unexp</t>
  </si>
  <si>
    <t>T. Exp. - Inst. (NR AFR) R of Ind</t>
  </si>
  <si>
    <t>T. Exp. - Inst. (NR AFR) Inv in P</t>
  </si>
  <si>
    <t>T. - Gross E&amp;G</t>
  </si>
  <si>
    <t>T. - Gross Desg</t>
  </si>
  <si>
    <t>T. - Gross Aux</t>
  </si>
  <si>
    <t>T. - Gross R Exp</t>
  </si>
  <si>
    <t>T. - Gross Loan</t>
  </si>
  <si>
    <t>T. - Gross Annuity</t>
  </si>
  <si>
    <t>T. - Gross Unexp</t>
  </si>
  <si>
    <t>T. - Gross R of Ind</t>
  </si>
  <si>
    <t>T. - Gross Inv in P</t>
  </si>
  <si>
    <t>T. W. - Stat (R AFR) E&amp;G</t>
  </si>
  <si>
    <t>T. W. - Stat (R AFR) Desg</t>
  </si>
  <si>
    <t>T. W. - Stat (R AFR) Aux</t>
  </si>
  <si>
    <t>T. W. - Stat (R AFR) R Exp</t>
  </si>
  <si>
    <t>T. W. - Stat (R AFR) Loan</t>
  </si>
  <si>
    <t>T. W. - Stat (R AFR) Annuity</t>
  </si>
  <si>
    <t>T. W. - Stat (R AFR) Unexp</t>
  </si>
  <si>
    <t>T. W. - Stat (R AFR) R of Ind</t>
  </si>
  <si>
    <t>T. W. - Stat (R AFR) Inv in P</t>
  </si>
  <si>
    <t>T. W. - Inst. (R AFR) E&amp;G</t>
  </si>
  <si>
    <t>T. W. - Inst. (R AFR) Desg</t>
  </si>
  <si>
    <t>T. W. - Inst. (R AFR) Aux</t>
  </si>
  <si>
    <t>T. W. - Inst. (R AFR) R Exp</t>
  </si>
  <si>
    <t>T. W. - Inst. (R AFR) Loan</t>
  </si>
  <si>
    <t>T. W. - Inst. (R AFR) Annuity</t>
  </si>
  <si>
    <t>T. W. - Inst. (R AFR) Unexp</t>
  </si>
  <si>
    <t>T. W. - Inst. (R AFR) R of Ind</t>
  </si>
  <si>
    <t>T. W. - Inst. (R AFR) Inv in P</t>
  </si>
  <si>
    <t>T. Exp. - Stat (R AFR) E&amp;G</t>
  </si>
  <si>
    <t>T. Exp. - Stat (R AFR) Desg</t>
  </si>
  <si>
    <t>T. Exp. - Stat (R AFR) Aux</t>
  </si>
  <si>
    <t>T. Exp. - Stat (R AFR) R Exp</t>
  </si>
  <si>
    <t>T. Exp. - Stat (R AFR) Loan</t>
  </si>
  <si>
    <t>T. Exp. - Stat (R AFR) Annuity</t>
  </si>
  <si>
    <t>T. Exp. - Stat (R AFR) Unexp</t>
  </si>
  <si>
    <t>T. Exp. - Stat (R AFR) R of Ind</t>
  </si>
  <si>
    <t>T. Exp. - Stat (R AFR) Inv in P</t>
  </si>
  <si>
    <t>T. Exp. - Inst. (R AFR) E&amp;G</t>
  </si>
  <si>
    <t>T. Exp. - Inst. (R AFR) Desg</t>
  </si>
  <si>
    <t>T. Exp. - Inst. (R AFR) Aux</t>
  </si>
  <si>
    <t>T. Exp. - Inst. (R AFR) R Exp</t>
  </si>
  <si>
    <t>T. Exp. - Inst. (R AFR) Loan</t>
  </si>
  <si>
    <t>T. Exp. - Inst. (R AFR) Annuity</t>
  </si>
  <si>
    <t>T. Exp. - Inst. (R AFR) Unexp</t>
  </si>
  <si>
    <t>T. Exp. - Inst. (R AFR) R of Ind</t>
  </si>
  <si>
    <t>T. Exp. - Inst. (R AFR) Inv in P</t>
  </si>
  <si>
    <t>T. Schlr E&amp;G</t>
  </si>
  <si>
    <t>T. Schlr Desg</t>
  </si>
  <si>
    <t>T. Schlr Aux</t>
  </si>
  <si>
    <t>T. Schlr R Exp</t>
  </si>
  <si>
    <t>T. Schlr Loan</t>
  </si>
  <si>
    <t>T. Schlr Annuity</t>
  </si>
  <si>
    <t>T. Schlr Unexp</t>
  </si>
  <si>
    <t>T. Schlr R of Ind</t>
  </si>
  <si>
    <t>T. Schlr Inv in P</t>
  </si>
  <si>
    <t>F. W. - Stat (NR AFR) E&amp;G</t>
  </si>
  <si>
    <t>F. W. - Stat (NR AFR) Desg</t>
  </si>
  <si>
    <t>F. W. - Stat (NR AFR) Aux</t>
  </si>
  <si>
    <t>F. W. - Stat (NR AFR) R Exp</t>
  </si>
  <si>
    <t>F. W. - Stat (NR AFR) Loan</t>
  </si>
  <si>
    <t>F. W. - Stat (NR AFR) Annuity</t>
  </si>
  <si>
    <t>F. W. - Stat (NR AFR) Unexp</t>
  </si>
  <si>
    <t>F. W. - Stat (NR AFR) R of Ind</t>
  </si>
  <si>
    <t>F. W. - Stat (NR AFR) Inv in P</t>
  </si>
  <si>
    <t>F. W. - Inst. (NR AFR) E&amp;G</t>
  </si>
  <si>
    <t>F. W. - Inst. (NR AFR) Desg</t>
  </si>
  <si>
    <t>F. W. - Inst. (NR AFR) Aux</t>
  </si>
  <si>
    <t>F. W. - Inst. (NR AFR) R Exp</t>
  </si>
  <si>
    <t>F. W. - Inst. (NR AFR) Loan</t>
  </si>
  <si>
    <t>F. W. - Inst. (NR AFR) Annuity</t>
  </si>
  <si>
    <t>F. W. - Inst. (NR AFR) Unexp</t>
  </si>
  <si>
    <t>F. W. - Inst. (NR AFR) R of Ind</t>
  </si>
  <si>
    <t>F. W. - Inst. (NR AFR) Inv in P</t>
  </si>
  <si>
    <t>F. Exp. - Stat (NR AFR) E&amp;G</t>
  </si>
  <si>
    <t>F. Exp. - Stat (NR AFR) Desg</t>
  </si>
  <si>
    <t>F. Exp. - Stat (NR AFR) Aux</t>
  </si>
  <si>
    <t>F. Exp. - Stat (NR AFR) R Exp</t>
  </si>
  <si>
    <t>F. Exp. - Stat (NR AFR) Loan</t>
  </si>
  <si>
    <t>F. Exp. - Stat (NR AFR) Annuity</t>
  </si>
  <si>
    <t>F. Exp. - Stat (NR AFR) Unexp</t>
  </si>
  <si>
    <t>F. Exp. - Stat (NR AFR) R of Ind</t>
  </si>
  <si>
    <t>F. Exp. - Stat (NR AFR) Inv in P</t>
  </si>
  <si>
    <t>F. Exp. - Inst. (NR AFR) E&amp;G</t>
  </si>
  <si>
    <t>F. Exp. - Inst. (NR AFR) Desg</t>
  </si>
  <si>
    <t>F. Exp. - Inst. (NR AFR) Aux</t>
  </si>
  <si>
    <t>F. Exp. - Inst. (NR AFR) R Exp</t>
  </si>
  <si>
    <t>F. Exp. - Inst. (NR AFR) Loan</t>
  </si>
  <si>
    <t>F. Exp. - Inst. (NR AFR) Annuity</t>
  </si>
  <si>
    <t>F. Exp. - Inst. (NR AFR) Unexp</t>
  </si>
  <si>
    <t>F. Exp. - Inst. (NR AFR) R of Ind</t>
  </si>
  <si>
    <t>F. Exp. - Inst. (NR AFR) Inv in P</t>
  </si>
  <si>
    <t>Fees - Gross E&amp;G</t>
  </si>
  <si>
    <t>Fees - Gross Desg</t>
  </si>
  <si>
    <t>Fees - Gross Aux</t>
  </si>
  <si>
    <t>Fees - Gross R Exp</t>
  </si>
  <si>
    <t>Fees - Gross Loan</t>
  </si>
  <si>
    <t>Fees - Gross Annuity</t>
  </si>
  <si>
    <t>Fees - Gross Unexp</t>
  </si>
  <si>
    <t>Fees - Gross R of Ind</t>
  </si>
  <si>
    <t>Fees - Gross Inv in P</t>
  </si>
  <si>
    <t>F. W. - Stat (R AFR) E&amp;G</t>
  </si>
  <si>
    <t>F. W. - Stat (R AFR) Desg</t>
  </si>
  <si>
    <t>F. W. - Stat (R AFR) Aux</t>
  </si>
  <si>
    <t>F. W. - Stat (R AFR) R Exp</t>
  </si>
  <si>
    <t>F. W. - Stat (R AFR) Loan</t>
  </si>
  <si>
    <t>F. W. - Stat (R AFR) Annuity</t>
  </si>
  <si>
    <t>F. W. - Stat (R AFR) Unexp</t>
  </si>
  <si>
    <t>F. W. - Stat (R AFR) R of Ind</t>
  </si>
  <si>
    <t>F. W. - Stat (R AFR) Inv in P</t>
  </si>
  <si>
    <t>F. W. - Inst. (R AFR) E&amp;G</t>
  </si>
  <si>
    <t>F. W. - Inst. (R AFR) Desg</t>
  </si>
  <si>
    <t>F. W. - Inst. (R AFR) Aux</t>
  </si>
  <si>
    <t>F. W. - Inst. (R AFR) R Exp</t>
  </si>
  <si>
    <t>F. W. - Inst. (R AFR) Loan</t>
  </si>
  <si>
    <t>F. W. - Inst. (R AFR) Annuity</t>
  </si>
  <si>
    <t>F. W. - Inst. (R AFR) Unexp</t>
  </si>
  <si>
    <t>F. W. - Inst. (R AFR) R of Ind</t>
  </si>
  <si>
    <t>F. W. - Inst. (R AFR) Inv in P</t>
  </si>
  <si>
    <t>F. Exp. - Stat (R AFR) E&amp;G</t>
  </si>
  <si>
    <t>F. Exp. - Stat (R AFR) Desg</t>
  </si>
  <si>
    <t>F. Exp. - Stat (R AFR) Aux</t>
  </si>
  <si>
    <t>F. Exp. - Stat (R AFR) R Exp</t>
  </si>
  <si>
    <t>F. Exp. - Stat (R AFR) Loan</t>
  </si>
  <si>
    <t>F. Exp. - Stat (R AFR) Annuity</t>
  </si>
  <si>
    <t>F. Exp. - Stat (R AFR) Unexp</t>
  </si>
  <si>
    <t>F. Exp. - Stat (R AFR) R of Ind</t>
  </si>
  <si>
    <t>F. Exp. - Stat (R AFR) Inv in P</t>
  </si>
  <si>
    <t>F. Exp. - Inst. (R AFR) E&amp;G</t>
  </si>
  <si>
    <t>F. Exp. - Inst. (R AFR) Desg</t>
  </si>
  <si>
    <t>F. Exp. - Inst. (R AFR) Aux</t>
  </si>
  <si>
    <t>F. Exp. - Inst. (R AFR) R Exp</t>
  </si>
  <si>
    <t>F. Exp. - Inst. (R AFR) Loan</t>
  </si>
  <si>
    <t>F. Exp. - Inst. (R AFR) Annuity</t>
  </si>
  <si>
    <t>F. Exp. - Inst. (R AFR) Unexp</t>
  </si>
  <si>
    <t>F. Exp. - Inst. (R AFR) R of Ind</t>
  </si>
  <si>
    <t>F. Exp. - Inst. (R AFR) Inv in P</t>
  </si>
  <si>
    <t>Fee Schlr E&amp;G</t>
  </si>
  <si>
    <t>Fee Schlr Desg</t>
  </si>
  <si>
    <t>Fee Schlr Aux</t>
  </si>
  <si>
    <t>Fee Schlr R Exp</t>
  </si>
  <si>
    <t>Fee Schlr Loan</t>
  </si>
  <si>
    <t>Fee Schlr Annuity</t>
  </si>
  <si>
    <t>Fee Schlr Unexp</t>
  </si>
  <si>
    <t>Fee Schlr R of Ind</t>
  </si>
  <si>
    <t>Fee Schlr Inv in P</t>
  </si>
  <si>
    <t>End &amp; Int Inc E&amp;G</t>
  </si>
  <si>
    <t>End &amp; Int Inc Desg</t>
  </si>
  <si>
    <t>End &amp; Int Inc Aux</t>
  </si>
  <si>
    <t>End &amp; Int Inc R Exp</t>
  </si>
  <si>
    <t>End &amp; Int Inc Loan</t>
  </si>
  <si>
    <t>End &amp; Int Inc Annuity</t>
  </si>
  <si>
    <t>End &amp; Int Inc Unexp</t>
  </si>
  <si>
    <t>End &amp; Int Inc R of Ind</t>
  </si>
  <si>
    <t>End &amp; Int Inc Inv in P</t>
  </si>
  <si>
    <t>S&amp;S E&amp;G</t>
  </si>
  <si>
    <t>S&amp;S Desg</t>
  </si>
  <si>
    <t>S&amp;S Aux</t>
  </si>
  <si>
    <t>S&amp;S R Exp</t>
  </si>
  <si>
    <t>S&amp;S Loan</t>
  </si>
  <si>
    <t>S&amp;S Annuity</t>
  </si>
  <si>
    <t>S&amp;S Unexp</t>
  </si>
  <si>
    <t>S&amp;S R of Ind</t>
  </si>
  <si>
    <t>S&amp;S Inv in P</t>
  </si>
  <si>
    <t>Net Aux Ent E&amp;G</t>
  </si>
  <si>
    <t>Net Aux Ent Desg</t>
  </si>
  <si>
    <t>Net Aux Ent Aux</t>
  </si>
  <si>
    <t>Net Aux Ent R Exp</t>
  </si>
  <si>
    <t>Net Aux Ent Loan</t>
  </si>
  <si>
    <t>Net Aux Ent Annuity</t>
  </si>
  <si>
    <t>Net Aux Ent Unexp</t>
  </si>
  <si>
    <t>Net Aux Ent R of Ind</t>
  </si>
  <si>
    <t>Net Aux Ent Inv in P</t>
  </si>
  <si>
    <t>Oth Inc E&amp;G</t>
  </si>
  <si>
    <t>Oth Inc Desg</t>
  </si>
  <si>
    <t>Oth Inc Aux</t>
  </si>
  <si>
    <t>Oth Inc R Exp</t>
  </si>
  <si>
    <t>Oth Inc Loan</t>
  </si>
  <si>
    <t>Oth Inc Annuity</t>
  </si>
  <si>
    <t>Oth Inc Unexp</t>
  </si>
  <si>
    <t>Oth Inc R of Ind</t>
  </si>
  <si>
    <t>Oth Inc Inv in P</t>
  </si>
  <si>
    <t>Instr E&amp;G</t>
  </si>
  <si>
    <t>Instr Desg</t>
  </si>
  <si>
    <t>Instr Aux</t>
  </si>
  <si>
    <t>Instr R Exp</t>
  </si>
  <si>
    <t>Instr Loan</t>
  </si>
  <si>
    <t>Instr Annuity</t>
  </si>
  <si>
    <t>Instr Unexp</t>
  </si>
  <si>
    <t>Instr R of Ind</t>
  </si>
  <si>
    <t>Instr Inv in P</t>
  </si>
  <si>
    <t>Res E&amp;G</t>
  </si>
  <si>
    <t>Res Desg</t>
  </si>
  <si>
    <t>Res Aux</t>
  </si>
  <si>
    <t>Res R Exp</t>
  </si>
  <si>
    <t>Res Loan</t>
  </si>
  <si>
    <t>Res Annuity</t>
  </si>
  <si>
    <t>Res Unexp</t>
  </si>
  <si>
    <t>Res R of Ind</t>
  </si>
  <si>
    <t>Res Inv in P</t>
  </si>
  <si>
    <t>Pub Srv E&amp;G</t>
  </si>
  <si>
    <t>Pub Srv Desg</t>
  </si>
  <si>
    <t>Pub Srv Aux</t>
  </si>
  <si>
    <t>Pub Srv R Exp</t>
  </si>
  <si>
    <t>Pub Srv Loan</t>
  </si>
  <si>
    <t>Pub Srv Annuity</t>
  </si>
  <si>
    <t>Pub Srv Unexp</t>
  </si>
  <si>
    <t>Pub Srv R of Ind</t>
  </si>
  <si>
    <t>Pub Srv Inv in P</t>
  </si>
  <si>
    <t>H&amp;C (OU) E&amp;G</t>
  </si>
  <si>
    <t>H&amp;C (OU) Desg</t>
  </si>
  <si>
    <t>H&amp;C (OU) Aux</t>
  </si>
  <si>
    <t>H&amp;C (OU) R Exp</t>
  </si>
  <si>
    <t>H&amp;C (OU) Loan</t>
  </si>
  <si>
    <t>H&amp;C (OU) Annuity</t>
  </si>
  <si>
    <t>H&amp;C (OU) Unexp</t>
  </si>
  <si>
    <t>H&amp;C (OU) R of Ind</t>
  </si>
  <si>
    <t>H&amp;C (OU) Inv in P</t>
  </si>
  <si>
    <t>Acad Sup E&amp;G</t>
  </si>
  <si>
    <t>Acad Sup Desg</t>
  </si>
  <si>
    <t>Acad Sup Aux</t>
  </si>
  <si>
    <t>Acad Sup R Exp</t>
  </si>
  <si>
    <t>Acad Sup Loan</t>
  </si>
  <si>
    <t>Acad Sup Annuity</t>
  </si>
  <si>
    <t>Acad Sup Unexp</t>
  </si>
  <si>
    <t>Acad Sup R of Ind</t>
  </si>
  <si>
    <t>Acad Sup Inv in P</t>
  </si>
  <si>
    <t>Stu Svc E&amp;G</t>
  </si>
  <si>
    <t>Stu Svc Desg</t>
  </si>
  <si>
    <t>Stu Svc Aux</t>
  </si>
  <si>
    <t>Stu Svc R Exp</t>
  </si>
  <si>
    <t>Stu Svc Loan</t>
  </si>
  <si>
    <t>Stu Svc Annuity</t>
  </si>
  <si>
    <t>Stu Svc Unexp</t>
  </si>
  <si>
    <t>Stu Svc R of Ind</t>
  </si>
  <si>
    <t>Stu Svc Inv in P</t>
  </si>
  <si>
    <t>Inst. Spt E&amp;G</t>
  </si>
  <si>
    <t>Inst. Spt Desg</t>
  </si>
  <si>
    <t>Inst. Spt Aux</t>
  </si>
  <si>
    <t>Inst. Spt R Exp</t>
  </si>
  <si>
    <t>Inst. Spt Loan</t>
  </si>
  <si>
    <t>Inst. Spt Annuity</t>
  </si>
  <si>
    <t>Inst. Spt Unexp</t>
  </si>
  <si>
    <t>Inst. Spt R of Ind</t>
  </si>
  <si>
    <t>Inst. Spt Inv in P</t>
  </si>
  <si>
    <t>M&amp;O Plnt E&amp;G</t>
  </si>
  <si>
    <t>M&amp;O Plnt Desg</t>
  </si>
  <si>
    <t>M&amp;O Plnt Aux</t>
  </si>
  <si>
    <t>M&amp;O Plnt R Exp</t>
  </si>
  <si>
    <t>M&amp;O Plnt Loan</t>
  </si>
  <si>
    <t>M&amp;O Plnt Annuity</t>
  </si>
  <si>
    <t>M&amp;O Plnt Unexp</t>
  </si>
  <si>
    <t>M&amp;O Plnt R of Ind</t>
  </si>
  <si>
    <t>M&amp;O Plnt Inv in P</t>
  </si>
  <si>
    <t>Schl &amp; Fell E&amp;G</t>
  </si>
  <si>
    <t>Schl &amp; Fell Desg</t>
  </si>
  <si>
    <t>Schl &amp; Fell Aux</t>
  </si>
  <si>
    <t>Schl &amp; Fell R Exp</t>
  </si>
  <si>
    <t>Schl &amp; Fell Loan</t>
  </si>
  <si>
    <t>Schl &amp; Fell Annuity</t>
  </si>
  <si>
    <t>Schl &amp; Fell Unexp</t>
  </si>
  <si>
    <t>Schl &amp; Fell R of Ind</t>
  </si>
  <si>
    <t>Schl &amp; Fell Inv in P</t>
  </si>
  <si>
    <t>Aux Ent E&amp;G</t>
  </si>
  <si>
    <t>Aux Ent Desg</t>
  </si>
  <si>
    <t>Aux Ent Aux</t>
  </si>
  <si>
    <t>Aux Ent R Exp</t>
  </si>
  <si>
    <t>Aux Ent Loan</t>
  </si>
  <si>
    <t>Aux Ent Annuity</t>
  </si>
  <si>
    <t>Aux Ent Unexp</t>
  </si>
  <si>
    <t>Aux Ent R of Ind</t>
  </si>
  <si>
    <t>Aux Ent Inv in P</t>
  </si>
  <si>
    <t>Cap Out fund E&amp;G</t>
  </si>
  <si>
    <t>Cap Out fund Desg</t>
  </si>
  <si>
    <t>Cap Out fund Aux</t>
  </si>
  <si>
    <t>Cap Out fund R Exp</t>
  </si>
  <si>
    <t>Cap Out fund Loan</t>
  </si>
  <si>
    <t>Cap Out fund Annuity</t>
  </si>
  <si>
    <t>Cap Out fund Unexp</t>
  </si>
  <si>
    <t>Cap Out fund R of Ind</t>
  </si>
  <si>
    <t>Cap Out fund Inv in P</t>
  </si>
  <si>
    <t>Oth Exp E&amp;G</t>
  </si>
  <si>
    <t>Oth Exp Desg</t>
  </si>
  <si>
    <t>Oth Exp Aux</t>
  </si>
  <si>
    <t>Oth Exp R Exp</t>
  </si>
  <si>
    <t>Oth Exp Loan</t>
  </si>
  <si>
    <t>Oth Exp Annuity</t>
  </si>
  <si>
    <t>Oth Exp Unexp</t>
  </si>
  <si>
    <t>Oth Exp R of Ind</t>
  </si>
  <si>
    <t>Oth Exp Inv in P</t>
  </si>
  <si>
    <t>Cap Out n-Fund E&amp;G</t>
  </si>
  <si>
    <t>Cap Out n-Fund Desg</t>
  </si>
  <si>
    <t>Cap Out n-Fund Aux</t>
  </si>
  <si>
    <t>Cap Out n-Fund R Exp</t>
  </si>
  <si>
    <t>Cap Out n-Fund Loan</t>
  </si>
  <si>
    <t>Cap Out n-Fund Annuity</t>
  </si>
  <si>
    <t>Cap Out n-Fund Unexp</t>
  </si>
  <si>
    <t>Cap Out n-Fund R of Ind</t>
  </si>
  <si>
    <t>Cap Out n-Fund Inv in P</t>
  </si>
  <si>
    <t>M&amp;Nm Xfrs E&amp;G</t>
  </si>
  <si>
    <t>M&amp;Nm Xfrs Desg</t>
  </si>
  <si>
    <t>M&amp;Nm Xfrs Aux</t>
  </si>
  <si>
    <t>M&amp;Nm Xfrs R Exp</t>
  </si>
  <si>
    <t>M&amp;Nm Xfrs Loan</t>
  </si>
  <si>
    <t>M&amp;Nm Xfrs Annuity</t>
  </si>
  <si>
    <t>M&amp;Nm Xfrs Unexp</t>
  </si>
  <si>
    <t>M&amp;Nm Xfrs R of Ind</t>
  </si>
  <si>
    <t>M&amp;Nm Xfrs Inv in P</t>
  </si>
  <si>
    <t>Bond Xfrs In E&amp;G</t>
  </si>
  <si>
    <t>Bond Xfrs In Desg</t>
  </si>
  <si>
    <t>Bond Xfrs In Aux</t>
  </si>
  <si>
    <t>Bond Xfrs In R Exp</t>
  </si>
  <si>
    <t>Bond Xfrs In Loan</t>
  </si>
  <si>
    <t>Bond Xfrs In Annuity</t>
  </si>
  <si>
    <t>Bond Xfrs In Unexp</t>
  </si>
  <si>
    <t>Bond Xfrs In R of Ind</t>
  </si>
  <si>
    <t>Bond Xfrs In Inv in P</t>
  </si>
  <si>
    <t>Debt Srv Pay E&amp;G</t>
  </si>
  <si>
    <t>Debt Srv Pay Desg</t>
  </si>
  <si>
    <t>Debt Srv Pay Aux</t>
  </si>
  <si>
    <t>Debt Srv Pay R Exp</t>
  </si>
  <si>
    <t>Debt Srv Pay Loan</t>
  </si>
  <si>
    <t>Debt Srv Pay Annuity</t>
  </si>
  <si>
    <t>Debt Srv Pay Unexp</t>
  </si>
  <si>
    <t>Debt Srv Pay R of Ind</t>
  </si>
  <si>
    <t>Debt Srv Pay Inv in P</t>
  </si>
  <si>
    <t>Unreal G/L E&amp;G</t>
  </si>
  <si>
    <t>Unreal G/L Desg</t>
  </si>
  <si>
    <t>Unreal G/L Aux</t>
  </si>
  <si>
    <t>Unreal G/L R Exp</t>
  </si>
  <si>
    <t>Unreal G/L Loan</t>
  </si>
  <si>
    <t>Unreal G/L Annuity</t>
  </si>
  <si>
    <t>Unreal G/L Unexp</t>
  </si>
  <si>
    <t>Unreal G/L R of Ind</t>
  </si>
  <si>
    <t>Unreal G/L Inv in P</t>
  </si>
  <si>
    <t>Add End E&amp;G</t>
  </si>
  <si>
    <t>Add End Desg</t>
  </si>
  <si>
    <t>Add End Aux</t>
  </si>
  <si>
    <t>Add End R Exp</t>
  </si>
  <si>
    <t>Add End Loan</t>
  </si>
  <si>
    <t>Add End Annuity</t>
  </si>
  <si>
    <t>Add End Unexp</t>
  </si>
  <si>
    <t>Add End R of Ind</t>
  </si>
  <si>
    <t>Add End Inv in P</t>
  </si>
  <si>
    <t>Bond Proceeds E&amp;G</t>
  </si>
  <si>
    <t>Bond Proceeds Desg</t>
  </si>
  <si>
    <t>Bond Proceeds Aux</t>
  </si>
  <si>
    <t>Bond Proceeds R Exp</t>
  </si>
  <si>
    <t>Bond Proceeds Loan</t>
  </si>
  <si>
    <t>Bond Proceeds Annuity</t>
  </si>
  <si>
    <t>Bond Proceeds Unexp</t>
  </si>
  <si>
    <t>Bond Proceeds R of Ind</t>
  </si>
  <si>
    <t>Bond Proceeds Inv in P</t>
  </si>
  <si>
    <t>Dep Exp E&amp;G</t>
  </si>
  <si>
    <t>Dep Exp Desg</t>
  </si>
  <si>
    <t>Dep Exp Aux</t>
  </si>
  <si>
    <t>Dep Exp R Exp</t>
  </si>
  <si>
    <t>Dep Exp Loan</t>
  </si>
  <si>
    <t>Dep Exp Annuity</t>
  </si>
  <si>
    <t>Dep Exp Unexp</t>
  </si>
  <si>
    <t>Dep Exp R of Ind</t>
  </si>
  <si>
    <t>Dep Exp Inv in P</t>
  </si>
  <si>
    <t>Xfr Cap Sys E&amp;G</t>
  </si>
  <si>
    <t>Xfr Cap Sys Desg</t>
  </si>
  <si>
    <t>Xfr Cap Sys Aux</t>
  </si>
  <si>
    <t>Xfr Cap Sys R Exp</t>
  </si>
  <si>
    <t>Xfr Cap Sys Loan</t>
  </si>
  <si>
    <t>Xfr Cap Sys Annuity</t>
  </si>
  <si>
    <t>Xfr Cap Sys Unexp</t>
  </si>
  <si>
    <t>Xfr Cap Sys R of Ind</t>
  </si>
  <si>
    <t>Xfr Cap Sys Inv in P</t>
  </si>
  <si>
    <t>OPEB Exp E&amp;G</t>
  </si>
  <si>
    <t>OPEB Exp Desg</t>
  </si>
  <si>
    <t>OPEB Exp Aux</t>
  </si>
  <si>
    <t>OPEB Exp R Exp</t>
  </si>
  <si>
    <t>OPEB Exp Loan</t>
  </si>
  <si>
    <t>OPEB Exp Annuity</t>
  </si>
  <si>
    <t>OPEB Exp Unexp</t>
  </si>
  <si>
    <t>OPEB Exp R of Ind</t>
  </si>
  <si>
    <t>OPEB Exp Inv in P</t>
  </si>
  <si>
    <t>Non-Cash Cap E&amp;G</t>
  </si>
  <si>
    <t>Non-Cash Cap Desg</t>
  </si>
  <si>
    <t>Non-Cash Cap Aux</t>
  </si>
  <si>
    <t>Non-Cash Cap R Exp</t>
  </si>
  <si>
    <t>Non-Cash Cap Loan</t>
  </si>
  <si>
    <t>Non-Cash Cap Annuity</t>
  </si>
  <si>
    <t>Non-Cash Cap Unexp</t>
  </si>
  <si>
    <t>Non-Cash Cap R of Ind</t>
  </si>
  <si>
    <t>Non-Cash Cap Inv in P</t>
  </si>
  <si>
    <t>Cap Out E&amp;G</t>
  </si>
  <si>
    <t>Cap Out Desg</t>
  </si>
  <si>
    <t>Cap Out Aux</t>
  </si>
  <si>
    <t>Cap Out R Exp</t>
  </si>
  <si>
    <t>Cap Out Loan</t>
  </si>
  <si>
    <t>Cap Out Annuity</t>
  </si>
  <si>
    <t>Cap Out Unexp</t>
  </si>
  <si>
    <t>Cap Out R of Ind</t>
  </si>
  <si>
    <t>Cap Out Inv in P</t>
  </si>
  <si>
    <t>SRECNA</t>
  </si>
  <si>
    <t>SRECNA T &amp; F (Total Gross)</t>
  </si>
  <si>
    <t>SRECNA R-AFR, W,Exp,Schl</t>
  </si>
  <si>
    <t>Cost Study Inst.</t>
  </si>
  <si>
    <t>Cost Study Resh</t>
  </si>
  <si>
    <t>Cost Study Pub Svc</t>
  </si>
  <si>
    <t>Cost Study Aca Sppt</t>
  </si>
  <si>
    <t>Cost Study Stu Svcs</t>
  </si>
  <si>
    <t>Cost Study Inst. Sppt</t>
  </si>
  <si>
    <t>Cost Study Op &amp; Maint</t>
  </si>
  <si>
    <t>Cost Study Schl &amp; Fell</t>
  </si>
  <si>
    <t>Cost Study Aux</t>
  </si>
  <si>
    <t>Cost Study Intr C. Ath</t>
  </si>
  <si>
    <t>Space Fed PT Inst.</t>
  </si>
  <si>
    <t>Space Fed PT Resh</t>
  </si>
  <si>
    <t>Space Fed PT Pub Svc</t>
  </si>
  <si>
    <t>Space Fed PT H &amp; C</t>
  </si>
  <si>
    <t>Space Fed PT Aca Sppt</t>
  </si>
  <si>
    <t>Space Fed PT Stu Svcs</t>
  </si>
  <si>
    <t>Space Fed PT Inst. Sppt</t>
  </si>
  <si>
    <t>Space Fed PT Op &amp; Maint</t>
  </si>
  <si>
    <t>Space Fed PT Schl &amp; Fell</t>
  </si>
  <si>
    <t>Space St. PT Inst.</t>
  </si>
  <si>
    <t>Space St. PT Resh</t>
  </si>
  <si>
    <t>Space St. PT Pub Svc</t>
  </si>
  <si>
    <t>Space St. PT H&amp;C</t>
  </si>
  <si>
    <t>Space St. PT Aca Sppt</t>
  </si>
  <si>
    <t>Space St. PT Stu Svcs</t>
  </si>
  <si>
    <t>Space St. PT Inst. Sppt</t>
  </si>
  <si>
    <t>Space St. PT Op &amp; Maint</t>
  </si>
  <si>
    <t>Space St. PT Schl &amp; Fell</t>
  </si>
  <si>
    <t>CS. Adj S &amp; Srv H&amp;C Rev, etc.</t>
  </si>
  <si>
    <t>CS. Adj Disc &amp; Allow</t>
  </si>
  <si>
    <t>SRECNA Inst.</t>
  </si>
  <si>
    <t>SRECNA Resh</t>
  </si>
  <si>
    <t>SRECNA Pub Svc</t>
  </si>
  <si>
    <t>SRECNA H&amp;C</t>
  </si>
  <si>
    <t>SRECNA Aca Sppt</t>
  </si>
  <si>
    <t>SRECNA Stu Svcs</t>
  </si>
  <si>
    <t>SRECNA Inst. Sppt</t>
  </si>
  <si>
    <t>SRECNA Op &amp; Maint</t>
  </si>
  <si>
    <t>SRECNA Schl &amp; Fell</t>
  </si>
  <si>
    <t>SRECNA Aux</t>
  </si>
  <si>
    <t>Footnote Rev Rec'd</t>
  </si>
  <si>
    <t>Footnote Non Exp</t>
  </si>
  <si>
    <t>Contact Name</t>
  </si>
  <si>
    <t>Contact Phone</t>
  </si>
  <si>
    <t>Contact Email</t>
  </si>
  <si>
    <t>Name</t>
  </si>
  <si>
    <t>Phone Number</t>
  </si>
  <si>
    <t>Email Address</t>
  </si>
  <si>
    <t>System</t>
  </si>
  <si>
    <t>Statements of Sources and Uses</t>
  </si>
  <si>
    <t>Universities, Health-Related Institutions, Lamar State Colleges, and TSTC</t>
  </si>
  <si>
    <t>The University of Texas Rio Grande Valley Medical School (M)</t>
  </si>
  <si>
    <t>The University of Texas at Austin Medical School (M)</t>
  </si>
  <si>
    <t>University of Houston Medical School (M)</t>
  </si>
  <si>
    <t>Texas A&amp;M AgriLife Research</t>
  </si>
  <si>
    <t>Texas A&amp;M AgriLife Extension Service</t>
  </si>
  <si>
    <t>Texas A&amp;M Engineering Experiment Station</t>
  </si>
  <si>
    <t>Texas A&amp;M Engineering Extension Service</t>
  </si>
  <si>
    <t>Texas A&amp;M Forest Service</t>
  </si>
  <si>
    <t>Texas A&amp;M Transportation Institute</t>
  </si>
  <si>
    <t>Texas A&amp;M Vet. Medical Diagnostic Laboratory</t>
  </si>
  <si>
    <t>Texas Division of Emergency Management</t>
  </si>
  <si>
    <t>Texas A&amp;M System Shared Services Center</t>
  </si>
  <si>
    <t>University of Houston System</t>
  </si>
  <si>
    <t>S230</t>
  </si>
  <si>
    <t>Texas A&amp;M University System</t>
  </si>
  <si>
    <t>S130</t>
  </si>
  <si>
    <t>The University of Texas System</t>
  </si>
  <si>
    <t>S40</t>
  </si>
  <si>
    <t>Texas State System</t>
  </si>
  <si>
    <t>S270</t>
  </si>
  <si>
    <t>Texas Tech University System</t>
  </si>
  <si>
    <t>S310</t>
  </si>
  <si>
    <t>University of North Texas System</t>
  </si>
  <si>
    <t>S330</t>
  </si>
  <si>
    <t>Texas A&amp;M Research Foundation</t>
  </si>
  <si>
    <t>Texas A&amp;M Office of Sponsored Research Services</t>
  </si>
  <si>
    <t>Texas A&amp;M office of Technology &amp; Commercialization</t>
  </si>
  <si>
    <t>Hidden Lists</t>
  </si>
  <si>
    <t>Published Date</t>
  </si>
  <si>
    <t>Institution Type</t>
  </si>
  <si>
    <t xml:space="preserve">Federal </t>
  </si>
  <si>
    <t>Change in Net Assets</t>
  </si>
  <si>
    <t>Top 5 Sources</t>
  </si>
  <si>
    <t>GR</t>
  </si>
  <si>
    <t>General Revenue</t>
  </si>
  <si>
    <t>HEF</t>
  </si>
  <si>
    <t>NACUBO</t>
  </si>
  <si>
    <t>National Association of College and University Business Officers</t>
  </si>
  <si>
    <t>PUF</t>
  </si>
  <si>
    <t>Permanent University Fund</t>
  </si>
  <si>
    <t>SCH</t>
  </si>
  <si>
    <t>Semester Credit Hour</t>
  </si>
  <si>
    <r>
      <t xml:space="preserve">Reported in AFR </t>
    </r>
    <r>
      <rPr>
        <b/>
        <sz val="16"/>
        <color rgb="FFAF211A"/>
        <rFont val="Overpass"/>
        <scheme val="major"/>
      </rPr>
      <t>(Report as negative numbers)</t>
    </r>
  </si>
  <si>
    <t>Constitutional 
Funds Revenue</t>
  </si>
  <si>
    <t>Texas A&amp;M System &amp; Agencies</t>
  </si>
  <si>
    <t>The University of Texas at Austin (M)</t>
  </si>
  <si>
    <t>The University of Texas at Rio Grande Valley (M)</t>
  </si>
  <si>
    <t>Sam Houston State University (M)</t>
  </si>
  <si>
    <t>University of Houston (M)</t>
  </si>
  <si>
    <t>AHM</t>
  </si>
  <si>
    <t>All Disciplines; Academic, Health Professions, and Medical</t>
  </si>
  <si>
    <t>SRECNA Cap Out fund</t>
  </si>
  <si>
    <t>SRECNA Oth Exp</t>
  </si>
  <si>
    <t>Total 
Expenditures</t>
  </si>
  <si>
    <t xml:space="preserve">Instructional </t>
  </si>
  <si>
    <t>Academic Institutions</t>
  </si>
  <si>
    <t>Undergraduate</t>
  </si>
  <si>
    <t>Master's¹</t>
  </si>
  <si>
    <t>Doctoral</t>
  </si>
  <si>
    <t>Grad School of Biomedical Sciences</t>
  </si>
  <si>
    <t>School of Health Professions</t>
  </si>
  <si>
    <t>Southwestern Medical School</t>
  </si>
  <si>
    <t xml:space="preserve">Peter O’Donnell Jr. School of Public Health </t>
  </si>
  <si>
    <t>Medical School</t>
  </si>
  <si>
    <t>School of Nursing</t>
  </si>
  <si>
    <t>School of Public Health</t>
  </si>
  <si>
    <t>Allied Health (Dental)</t>
  </si>
  <si>
    <t>Dental Branch/Academics</t>
  </si>
  <si>
    <t>Dental School</t>
  </si>
  <si>
    <t>Medical School/Academics</t>
  </si>
  <si>
    <t>School of Biomedical Informatics</t>
  </si>
  <si>
    <t>Dental Hygiene</t>
  </si>
  <si>
    <t>Dental School/Academics</t>
  </si>
  <si>
    <t>School of Medicine/Academic</t>
  </si>
  <si>
    <t>Baylor Col Dentistry-Advanced Educ</t>
  </si>
  <si>
    <t>Baylor Col Dentistry-Dental School</t>
  </si>
  <si>
    <t>Baylor College Dentistry-Dental Hygiene</t>
  </si>
  <si>
    <t>College of Medicine</t>
  </si>
  <si>
    <t>College of Medicine Academic</t>
  </si>
  <si>
    <t>College of Nursing</t>
  </si>
  <si>
    <t>College of Pharmacy</t>
  </si>
  <si>
    <t>School of Rural Public Health</t>
  </si>
  <si>
    <t>School of Pharmacy</t>
  </si>
  <si>
    <t>Texas College of Osteopathic Medicine</t>
  </si>
  <si>
    <t>Department of Public Health</t>
  </si>
  <si>
    <t>School of Allied Health</t>
  </si>
  <si>
    <t>School of Medicine</t>
  </si>
  <si>
    <t>Gayle G. Hunt School of Nursing</t>
  </si>
  <si>
    <t>Paul L. Foster School of Medicine</t>
  </si>
  <si>
    <t>School of Dental Medicine</t>
  </si>
  <si>
    <t>School of Podiatric Medicine</t>
  </si>
  <si>
    <t>Prof &amp; Special-Prof Headcount</t>
  </si>
  <si>
    <t>Full-Time Student
Equivalents²</t>
  </si>
  <si>
    <t>State Funded 
FTSE³</t>
  </si>
  <si>
    <t>T/TT Fall
Faculty FTE⁴</t>
  </si>
  <si>
    <t>Academic
 SCH</t>
  </si>
  <si>
    <t>Technical
 SCH</t>
  </si>
  <si>
    <t>BAT SCH</t>
  </si>
  <si>
    <t>Continuing Ed. SCH</t>
  </si>
  <si>
    <t>State Funded 
FTSE²</t>
  </si>
  <si>
    <t>Fall 
Faculty FTE</t>
  </si>
  <si>
    <r>
      <t>Full-Time Student
Equivalents</t>
    </r>
    <r>
      <rPr>
        <vertAlign val="superscript"/>
        <sz val="12"/>
        <color theme="4"/>
        <rFont val="Overpass"/>
        <scheme val="minor"/>
      </rPr>
      <t>1</t>
    </r>
  </si>
  <si>
    <t>Master's</t>
  </si>
  <si>
    <t>Professional &amp; Special-Prof</t>
  </si>
  <si>
    <t>Optometry</t>
  </si>
  <si>
    <t>Contact Information</t>
  </si>
  <si>
    <t>FTFE</t>
  </si>
  <si>
    <t>Governmental Accounting Standards Board</t>
  </si>
  <si>
    <t>GASB</t>
  </si>
  <si>
    <t>AUF</t>
  </si>
  <si>
    <t>Available University Fund</t>
  </si>
  <si>
    <t>http://www.txhigheredaccountability.org/AcctPublic/</t>
  </si>
  <si>
    <t>https://apps.highered.texas.gov/resumes/</t>
  </si>
  <si>
    <t>https://reportcenter.highered.texas.gov/agency-publication/almanac/</t>
  </si>
  <si>
    <t>Accountability:</t>
  </si>
  <si>
    <t>Almanac:</t>
  </si>
  <si>
    <t>Institutional Resumes:</t>
  </si>
  <si>
    <t>Summary Tuition and Fees</t>
  </si>
  <si>
    <t>1) Academic, technical, and BAT semester credit hours divided by 30 plus continuing education contact hours divided by 900. Source of data is CBM001, Student Report.</t>
  </si>
  <si>
    <t>2) State-funded hours only. Source of data is CBM001, Student Report.</t>
  </si>
  <si>
    <t>1) Undergraduate SCH divided by 30, master's and special-professional divided by 24, doctoral divided by 18, and optometry divided by 34. Source of data is CBM001, Student Report.</t>
  </si>
  <si>
    <t>3) Fall tenured/tenure-track full-time-equivalent faculty (ranks 1-5) with teaching responsibilities (01 and 02). Source of data is CBM008, Faculty Report.</t>
  </si>
  <si>
    <t>Abbreviations used in formulas</t>
  </si>
  <si>
    <t>Lamar State Colleges and Texas State Technical Colleges</t>
  </si>
  <si>
    <t>Lamar State Colleges</t>
  </si>
  <si>
    <t>Texas State Technical Colleges</t>
  </si>
  <si>
    <t>University of Texas System</t>
  </si>
  <si>
    <t>LSC</t>
  </si>
  <si>
    <t>TXST</t>
  </si>
  <si>
    <t>TWU</t>
  </si>
  <si>
    <t>UNT</t>
  </si>
  <si>
    <t>UH</t>
  </si>
  <si>
    <t>UT</t>
  </si>
  <si>
    <t>TAMU</t>
  </si>
  <si>
    <t>TSU</t>
  </si>
  <si>
    <t>Systems</t>
  </si>
  <si>
    <t>TT</t>
  </si>
  <si>
    <t>Summary (by Institution)</t>
  </si>
  <si>
    <t>Summary (by Institution Type)</t>
  </si>
  <si>
    <t>All Sources (Net)</t>
  </si>
  <si>
    <t>List of Sectors</t>
  </si>
  <si>
    <t>Summary (by System)</t>
  </si>
  <si>
    <t>*not included on Summary (by Institution Type)</t>
  </si>
  <si>
    <t>Contact Phone (alt)</t>
  </si>
  <si>
    <t>Contact Email (alt)</t>
  </si>
  <si>
    <t>Contact Name (alt)</t>
  </si>
  <si>
    <t>Cost Study H&amp;C</t>
  </si>
  <si>
    <t>Name (alt)</t>
  </si>
  <si>
    <t>Phone Number (alt)</t>
  </si>
  <si>
    <t>Email Address (alt)</t>
  </si>
  <si>
    <t>State Contracts &amp; Grants</t>
  </si>
  <si>
    <t>Tuition - Gross</t>
  </si>
  <si>
    <t>Fees - Gross</t>
  </si>
  <si>
    <t>Federal Contracts &amp; Grants</t>
  </si>
  <si>
    <t>Private Gifts and Grants</t>
  </si>
  <si>
    <t>11-01</t>
  </si>
  <si>
    <t>11-02</t>
  </si>
  <si>
    <t>11-03</t>
  </si>
  <si>
    <t>11-04</t>
  </si>
  <si>
    <t>11-05</t>
  </si>
  <si>
    <t>11-06</t>
  </si>
  <si>
    <t>11-07</t>
  </si>
  <si>
    <t>11-08</t>
  </si>
  <si>
    <t>11-09</t>
  </si>
  <si>
    <t>12-01</t>
  </si>
  <si>
    <t>12-02</t>
  </si>
  <si>
    <t>12-03</t>
  </si>
  <si>
    <t>12-04</t>
  </si>
  <si>
    <t>12-05</t>
  </si>
  <si>
    <t>12-06</t>
  </si>
  <si>
    <t>12-07</t>
  </si>
  <si>
    <t>12-08</t>
  </si>
  <si>
    <t>12-09</t>
  </si>
  <si>
    <t>13-01</t>
  </si>
  <si>
    <t>13-02</t>
  </si>
  <si>
    <t>13-03</t>
  </si>
  <si>
    <t>13-04</t>
  </si>
  <si>
    <t>13-05</t>
  </si>
  <si>
    <t>13-06</t>
  </si>
  <si>
    <t>13-07</t>
  </si>
  <si>
    <t>13-08</t>
  </si>
  <si>
    <t>13-09</t>
  </si>
  <si>
    <t>14-01</t>
  </si>
  <si>
    <t>14-02</t>
  </si>
  <si>
    <t>14-03</t>
  </si>
  <si>
    <t>14-04</t>
  </si>
  <si>
    <t>14-05</t>
  </si>
  <si>
    <t>14-06</t>
  </si>
  <si>
    <t>14-07</t>
  </si>
  <si>
    <t>14-08</t>
  </si>
  <si>
    <t>14-09</t>
  </si>
  <si>
    <t>20-01</t>
  </si>
  <si>
    <t>20-02</t>
  </si>
  <si>
    <t>20-03</t>
  </si>
  <si>
    <t>20-04</t>
  </si>
  <si>
    <t>20-05</t>
  </si>
  <si>
    <t>20-06</t>
  </si>
  <si>
    <t>20-07</t>
  </si>
  <si>
    <t>20-08</t>
  </si>
  <si>
    <t>20-09</t>
  </si>
  <si>
    <t>21-01</t>
  </si>
  <si>
    <t>21-02</t>
  </si>
  <si>
    <t>21-03</t>
  </si>
  <si>
    <t>21-04</t>
  </si>
  <si>
    <t>21-05</t>
  </si>
  <si>
    <t>21-06</t>
  </si>
  <si>
    <t>21-07</t>
  </si>
  <si>
    <t>21-08</t>
  </si>
  <si>
    <t>21-09</t>
  </si>
  <si>
    <t>22-01</t>
  </si>
  <si>
    <t>22-02</t>
  </si>
  <si>
    <t>22-03</t>
  </si>
  <si>
    <t>22-04</t>
  </si>
  <si>
    <t>22-05</t>
  </si>
  <si>
    <t>22-06</t>
  </si>
  <si>
    <t>22-07</t>
  </si>
  <si>
    <t>22-08</t>
  </si>
  <si>
    <t>22-09</t>
  </si>
  <si>
    <t>23-01</t>
  </si>
  <si>
    <t>23-02</t>
  </si>
  <si>
    <t>23-03</t>
  </si>
  <si>
    <t>23-04</t>
  </si>
  <si>
    <t>23-05</t>
  </si>
  <si>
    <t>23-06</t>
  </si>
  <si>
    <t>23-07</t>
  </si>
  <si>
    <t>23-08</t>
  </si>
  <si>
    <t>23-09</t>
  </si>
  <si>
    <t>24-01</t>
  </si>
  <si>
    <t>24-02</t>
  </si>
  <si>
    <t>24-03</t>
  </si>
  <si>
    <t>24-04</t>
  </si>
  <si>
    <t>24-05</t>
  </si>
  <si>
    <t>24-06</t>
  </si>
  <si>
    <t>24-07</t>
  </si>
  <si>
    <t>24-08</t>
  </si>
  <si>
    <t>24-09</t>
  </si>
  <si>
    <t>26-01</t>
  </si>
  <si>
    <t>26-02</t>
  </si>
  <si>
    <t>26-03</t>
  </si>
  <si>
    <t>26-04</t>
  </si>
  <si>
    <t>26-05</t>
  </si>
  <si>
    <t>26-06</t>
  </si>
  <si>
    <t>26-07</t>
  </si>
  <si>
    <t>26-08</t>
  </si>
  <si>
    <t>26-09</t>
  </si>
  <si>
    <t>27-01</t>
  </si>
  <si>
    <t>27-02</t>
  </si>
  <si>
    <t>27-03</t>
  </si>
  <si>
    <t>27-04</t>
  </si>
  <si>
    <t>27-05</t>
  </si>
  <si>
    <t>27-06</t>
  </si>
  <si>
    <t>27-07</t>
  </si>
  <si>
    <t>27-08</t>
  </si>
  <si>
    <t>27-09</t>
  </si>
  <si>
    <t>28-01</t>
  </si>
  <si>
    <t>28-02</t>
  </si>
  <si>
    <t>28-03</t>
  </si>
  <si>
    <t>28-04</t>
  </si>
  <si>
    <t>28-05</t>
  </si>
  <si>
    <t>28-06</t>
  </si>
  <si>
    <t>28-07</t>
  </si>
  <si>
    <t>28-08</t>
  </si>
  <si>
    <t>28-09</t>
  </si>
  <si>
    <t>29-01</t>
  </si>
  <si>
    <t>29-02</t>
  </si>
  <si>
    <t>29-03</t>
  </si>
  <si>
    <t>29-04</t>
  </si>
  <si>
    <t>29-05</t>
  </si>
  <si>
    <t>29-06</t>
  </si>
  <si>
    <t>29-07</t>
  </si>
  <si>
    <t>29-08</t>
  </si>
  <si>
    <t>29-09</t>
  </si>
  <si>
    <t>30-01</t>
  </si>
  <si>
    <t>30-02</t>
  </si>
  <si>
    <t>30-03</t>
  </si>
  <si>
    <t>30-04</t>
  </si>
  <si>
    <t>30-05</t>
  </si>
  <si>
    <t>30-06</t>
  </si>
  <si>
    <t>30-07</t>
  </si>
  <si>
    <t>30-08</t>
  </si>
  <si>
    <t>30-09</t>
  </si>
  <si>
    <t>35-01</t>
  </si>
  <si>
    <t>35-02</t>
  </si>
  <si>
    <t>35-03</t>
  </si>
  <si>
    <t>35-04</t>
  </si>
  <si>
    <t>35-05</t>
  </si>
  <si>
    <t>35-06</t>
  </si>
  <si>
    <t>35-07</t>
  </si>
  <si>
    <t>35-08</t>
  </si>
  <si>
    <t>35-09</t>
  </si>
  <si>
    <t>36-01</t>
  </si>
  <si>
    <t>36-02</t>
  </si>
  <si>
    <t>36-03</t>
  </si>
  <si>
    <t>36-04</t>
  </si>
  <si>
    <t>36-05</t>
  </si>
  <si>
    <t>36-06</t>
  </si>
  <si>
    <t>36-07</t>
  </si>
  <si>
    <t>36-08</t>
  </si>
  <si>
    <t>36-09</t>
  </si>
  <si>
    <t>37-01</t>
  </si>
  <si>
    <t>37-02</t>
  </si>
  <si>
    <t>37-03</t>
  </si>
  <si>
    <t>37-04</t>
  </si>
  <si>
    <t>37-05</t>
  </si>
  <si>
    <t>37-06</t>
  </si>
  <si>
    <t>37-07</t>
  </si>
  <si>
    <t>37-08</t>
  </si>
  <si>
    <t>37-09</t>
  </si>
  <si>
    <t>38-01</t>
  </si>
  <si>
    <t>38-02</t>
  </si>
  <si>
    <t>38-03</t>
  </si>
  <si>
    <t>38-04</t>
  </si>
  <si>
    <t>38-05</t>
  </si>
  <si>
    <t>38-06</t>
  </si>
  <si>
    <t>38-07</t>
  </si>
  <si>
    <t>38-08</t>
  </si>
  <si>
    <t>38-09</t>
  </si>
  <si>
    <t>39-01</t>
  </si>
  <si>
    <t>39-02</t>
  </si>
  <si>
    <t>39-03</t>
  </si>
  <si>
    <t>39-04</t>
  </si>
  <si>
    <t>39-05</t>
  </si>
  <si>
    <t>39-06</t>
  </si>
  <si>
    <t>39-07</t>
  </si>
  <si>
    <t>39-08</t>
  </si>
  <si>
    <t>39-09</t>
  </si>
  <si>
    <t>41-01</t>
  </si>
  <si>
    <t>41-02</t>
  </si>
  <si>
    <t>41-03</t>
  </si>
  <si>
    <t>41-04</t>
  </si>
  <si>
    <t>41-05</t>
  </si>
  <si>
    <t>41-06</t>
  </si>
  <si>
    <t>41-07</t>
  </si>
  <si>
    <t>41-08</t>
  </si>
  <si>
    <t>41-09</t>
  </si>
  <si>
    <t>42-01</t>
  </si>
  <si>
    <t>42-02</t>
  </si>
  <si>
    <t>42-03</t>
  </si>
  <si>
    <t>42-04</t>
  </si>
  <si>
    <t>42-05</t>
  </si>
  <si>
    <t>42-06</t>
  </si>
  <si>
    <t>42-07</t>
  </si>
  <si>
    <t>42-08</t>
  </si>
  <si>
    <t>42-09</t>
  </si>
  <si>
    <t>43-01</t>
  </si>
  <si>
    <t>43-02</t>
  </si>
  <si>
    <t>43-03</t>
  </si>
  <si>
    <t>43-04</t>
  </si>
  <si>
    <t>43-05</t>
  </si>
  <si>
    <t>43-06</t>
  </si>
  <si>
    <t>43-07</t>
  </si>
  <si>
    <t>43-08</t>
  </si>
  <si>
    <t>43-09</t>
  </si>
  <si>
    <t>44-01</t>
  </si>
  <si>
    <t>44-02</t>
  </si>
  <si>
    <t>44-03</t>
  </si>
  <si>
    <t>44-04</t>
  </si>
  <si>
    <t>44-05</t>
  </si>
  <si>
    <t>44-06</t>
  </si>
  <si>
    <t>44-07</t>
  </si>
  <si>
    <t>44-08</t>
  </si>
  <si>
    <t>44-09</t>
  </si>
  <si>
    <t>45-01</t>
  </si>
  <si>
    <t>45-02</t>
  </si>
  <si>
    <t>45-03</t>
  </si>
  <si>
    <t>45-04</t>
  </si>
  <si>
    <t>45-05</t>
  </si>
  <si>
    <t>45-06</t>
  </si>
  <si>
    <t>45-07</t>
  </si>
  <si>
    <t>45-08</t>
  </si>
  <si>
    <t>45-09</t>
  </si>
  <si>
    <t>51-01</t>
  </si>
  <si>
    <t>51-02</t>
  </si>
  <si>
    <t>51-03</t>
  </si>
  <si>
    <t>51-04</t>
  </si>
  <si>
    <t>51-05</t>
  </si>
  <si>
    <t>51-06</t>
  </si>
  <si>
    <t>51-07</t>
  </si>
  <si>
    <t>51-08</t>
  </si>
  <si>
    <t>51-09</t>
  </si>
  <si>
    <t>54-01</t>
  </si>
  <si>
    <t>54-02</t>
  </si>
  <si>
    <t>54-03</t>
  </si>
  <si>
    <t>54-04</t>
  </si>
  <si>
    <t>54-05</t>
  </si>
  <si>
    <t>54-06</t>
  </si>
  <si>
    <t>54-07</t>
  </si>
  <si>
    <t>54-08</t>
  </si>
  <si>
    <t>54-09</t>
  </si>
  <si>
    <t>57-01</t>
  </si>
  <si>
    <t>57-02</t>
  </si>
  <si>
    <t>57-03</t>
  </si>
  <si>
    <t>57-04</t>
  </si>
  <si>
    <t>57-05</t>
  </si>
  <si>
    <t>57-06</t>
  </si>
  <si>
    <t>57-07</t>
  </si>
  <si>
    <t>57-08</t>
  </si>
  <si>
    <t>57-09</t>
  </si>
  <si>
    <t>60-01</t>
  </si>
  <si>
    <t>60-02</t>
  </si>
  <si>
    <t>60-03</t>
  </si>
  <si>
    <t>60-04</t>
  </si>
  <si>
    <t>60-05</t>
  </si>
  <si>
    <t>60-06</t>
  </si>
  <si>
    <t>60-07</t>
  </si>
  <si>
    <t>60-08</t>
  </si>
  <si>
    <t>60-09</t>
  </si>
  <si>
    <t>61-01</t>
  </si>
  <si>
    <t>61-02</t>
  </si>
  <si>
    <t>61-03</t>
  </si>
  <si>
    <t>61-04</t>
  </si>
  <si>
    <t>61-05</t>
  </si>
  <si>
    <t>61-06</t>
  </si>
  <si>
    <t>61-07</t>
  </si>
  <si>
    <t>61-08</t>
  </si>
  <si>
    <t>61-09</t>
  </si>
  <si>
    <t>62-01</t>
  </si>
  <si>
    <t>62-02</t>
  </si>
  <si>
    <t>62-03</t>
  </si>
  <si>
    <t>62-04</t>
  </si>
  <si>
    <t>62-05</t>
  </si>
  <si>
    <t>62-06</t>
  </si>
  <si>
    <t>62-07</t>
  </si>
  <si>
    <t>62-08</t>
  </si>
  <si>
    <t>62-09</t>
  </si>
  <si>
    <t>63-01</t>
  </si>
  <si>
    <t>63-02</t>
  </si>
  <si>
    <t>63-03</t>
  </si>
  <si>
    <t>63-04</t>
  </si>
  <si>
    <t>63-05</t>
  </si>
  <si>
    <t>63-06</t>
  </si>
  <si>
    <t>63-07</t>
  </si>
  <si>
    <t>63-08</t>
  </si>
  <si>
    <t>63-09</t>
  </si>
  <si>
    <t>64-01</t>
  </si>
  <si>
    <t>64-02</t>
  </si>
  <si>
    <t>64-03</t>
  </si>
  <si>
    <t>64-04</t>
  </si>
  <si>
    <t>64-05</t>
  </si>
  <si>
    <t>64-06</t>
  </si>
  <si>
    <t>64-07</t>
  </si>
  <si>
    <t>64-08</t>
  </si>
  <si>
    <t>64-09</t>
  </si>
  <si>
    <t>65-01</t>
  </si>
  <si>
    <t>65-02</t>
  </si>
  <si>
    <t>65-03</t>
  </si>
  <si>
    <t>65-04</t>
  </si>
  <si>
    <t>65-05</t>
  </si>
  <si>
    <t>65-06</t>
  </si>
  <si>
    <t>65-07</t>
  </si>
  <si>
    <t>65-08</t>
  </si>
  <si>
    <t>65-09</t>
  </si>
  <si>
    <t>74-01</t>
  </si>
  <si>
    <t>74-02</t>
  </si>
  <si>
    <t>74-03</t>
  </si>
  <si>
    <t>74-04</t>
  </si>
  <si>
    <t>74-05</t>
  </si>
  <si>
    <t>74-06</t>
  </si>
  <si>
    <t>74-07</t>
  </si>
  <si>
    <t>74-08</t>
  </si>
  <si>
    <t>74-09</t>
  </si>
  <si>
    <t>75-01</t>
  </si>
  <si>
    <t>75-02</t>
  </si>
  <si>
    <t>75-03</t>
  </si>
  <si>
    <t>75-04</t>
  </si>
  <si>
    <t>75-05</t>
  </si>
  <si>
    <t>75-06</t>
  </si>
  <si>
    <t>75-07</t>
  </si>
  <si>
    <t>75-08</t>
  </si>
  <si>
    <t>75-09</t>
  </si>
  <si>
    <t>76-01</t>
  </si>
  <si>
    <t>76-02</t>
  </si>
  <si>
    <t>76-03</t>
  </si>
  <si>
    <t>76-04</t>
  </si>
  <si>
    <t>76-05</t>
  </si>
  <si>
    <t>76-06</t>
  </si>
  <si>
    <t>76-07</t>
  </si>
  <si>
    <t>76-08</t>
  </si>
  <si>
    <t>76-09</t>
  </si>
  <si>
    <t>77-01</t>
  </si>
  <si>
    <t>77-02</t>
  </si>
  <si>
    <t>77-03</t>
  </si>
  <si>
    <t>77-04</t>
  </si>
  <si>
    <t>77-05</t>
  </si>
  <si>
    <t>77-06</t>
  </si>
  <si>
    <t>77-07</t>
  </si>
  <si>
    <t>77-08</t>
  </si>
  <si>
    <t>77-09</t>
  </si>
  <si>
    <t>78-01</t>
  </si>
  <si>
    <t>78-02</t>
  </si>
  <si>
    <t>78-03</t>
  </si>
  <si>
    <t>78-04</t>
  </si>
  <si>
    <t>78-05</t>
  </si>
  <si>
    <t>78-06</t>
  </si>
  <si>
    <t>78-07</t>
  </si>
  <si>
    <t>78-08</t>
  </si>
  <si>
    <t>78-09</t>
  </si>
  <si>
    <t>79-01</t>
  </si>
  <si>
    <t>79-02</t>
  </si>
  <si>
    <t>79-03</t>
  </si>
  <si>
    <t>79-04</t>
  </si>
  <si>
    <t>79-05</t>
  </si>
  <si>
    <t>79-06</t>
  </si>
  <si>
    <t>79-07</t>
  </si>
  <si>
    <t>79-08</t>
  </si>
  <si>
    <t>79-09</t>
  </si>
  <si>
    <t>80-01</t>
  </si>
  <si>
    <t>80-02</t>
  </si>
  <si>
    <t>80-03</t>
  </si>
  <si>
    <t>80-04</t>
  </si>
  <si>
    <t>80-05</t>
  </si>
  <si>
    <t>80-06</t>
  </si>
  <si>
    <t>80-07</t>
  </si>
  <si>
    <t>80-08</t>
  </si>
  <si>
    <t>80-09</t>
  </si>
  <si>
    <t>81-01</t>
  </si>
  <si>
    <t>81-02</t>
  </si>
  <si>
    <t>81-03</t>
  </si>
  <si>
    <t>81-04</t>
  </si>
  <si>
    <t>81-05</t>
  </si>
  <si>
    <t>81-06</t>
  </si>
  <si>
    <t>81-07</t>
  </si>
  <si>
    <t>81-08</t>
  </si>
  <si>
    <t>81-09</t>
  </si>
  <si>
    <t>82-01</t>
  </si>
  <si>
    <t>82-02</t>
  </si>
  <si>
    <t>82-03</t>
  </si>
  <si>
    <t>82-04</t>
  </si>
  <si>
    <t>82-05</t>
  </si>
  <si>
    <t>82-06</t>
  </si>
  <si>
    <t>82-07</t>
  </si>
  <si>
    <t>82-08</t>
  </si>
  <si>
    <t>82-09</t>
  </si>
  <si>
    <t>83-01</t>
  </si>
  <si>
    <t>83-02</t>
  </si>
  <si>
    <t>83-03</t>
  </si>
  <si>
    <t>83-04</t>
  </si>
  <si>
    <t>83-05</t>
  </si>
  <si>
    <t>83-06</t>
  </si>
  <si>
    <t>83-07</t>
  </si>
  <si>
    <t>83-08</t>
  </si>
  <si>
    <t>83-09</t>
  </si>
  <si>
    <t>84-01</t>
  </si>
  <si>
    <t>84-02</t>
  </si>
  <si>
    <t>84-03</t>
  </si>
  <si>
    <t>84-04</t>
  </si>
  <si>
    <t>84-05</t>
  </si>
  <si>
    <t>84-06</t>
  </si>
  <si>
    <t>84-07</t>
  </si>
  <si>
    <t>84-08</t>
  </si>
  <si>
    <t>84-09</t>
  </si>
  <si>
    <t>85-01</t>
  </si>
  <si>
    <t>85-02</t>
  </si>
  <si>
    <t>85-03</t>
  </si>
  <si>
    <t>85-04</t>
  </si>
  <si>
    <t>85-05</t>
  </si>
  <si>
    <t>85-06</t>
  </si>
  <si>
    <t>85-07</t>
  </si>
  <si>
    <t>85-08</t>
  </si>
  <si>
    <t>85-09</t>
  </si>
  <si>
    <t>89-01</t>
  </si>
  <si>
    <t>89-02</t>
  </si>
  <si>
    <t>89-03</t>
  </si>
  <si>
    <t>89-04</t>
  </si>
  <si>
    <t>89-05</t>
  </si>
  <si>
    <t>89-06</t>
  </si>
  <si>
    <t>89-07</t>
  </si>
  <si>
    <t>89-08</t>
  </si>
  <si>
    <t>89-09</t>
  </si>
  <si>
    <t>90-01</t>
  </si>
  <si>
    <t>90-02</t>
  </si>
  <si>
    <t>90-03</t>
  </si>
  <si>
    <t>90-04</t>
  </si>
  <si>
    <t>90-05</t>
  </si>
  <si>
    <t>90-06</t>
  </si>
  <si>
    <t>90-07</t>
  </si>
  <si>
    <t>90-08</t>
  </si>
  <si>
    <t>90-09</t>
  </si>
  <si>
    <t>91-01</t>
  </si>
  <si>
    <t>91-02</t>
  </si>
  <si>
    <t>91-03</t>
  </si>
  <si>
    <t>91-04</t>
  </si>
  <si>
    <t>91-05</t>
  </si>
  <si>
    <t>91-06</t>
  </si>
  <si>
    <t>91-07</t>
  </si>
  <si>
    <t>91-08</t>
  </si>
  <si>
    <t>91-09</t>
  </si>
  <si>
    <t>92-01</t>
  </si>
  <si>
    <t>92-02</t>
  </si>
  <si>
    <t>92-03</t>
  </si>
  <si>
    <t>92-04</t>
  </si>
  <si>
    <t>92-05</t>
  </si>
  <si>
    <t>92-06</t>
  </si>
  <si>
    <t>92-07</t>
  </si>
  <si>
    <t>92-08</t>
  </si>
  <si>
    <t>92-09</t>
  </si>
  <si>
    <t>96-01</t>
  </si>
  <si>
    <t>96-02</t>
  </si>
  <si>
    <t>96-03</t>
  </si>
  <si>
    <t>96-04</t>
  </si>
  <si>
    <t>96-05</t>
  </si>
  <si>
    <t>96-06</t>
  </si>
  <si>
    <t>96-07</t>
  </si>
  <si>
    <t>96-08</t>
  </si>
  <si>
    <t>96-09</t>
  </si>
  <si>
    <t>97-01</t>
  </si>
  <si>
    <t>97-02</t>
  </si>
  <si>
    <t>97-03</t>
  </si>
  <si>
    <t>97-04</t>
  </si>
  <si>
    <t>97-05</t>
  </si>
  <si>
    <t>97-06</t>
  </si>
  <si>
    <t>97-07</t>
  </si>
  <si>
    <t>97-08</t>
  </si>
  <si>
    <t>97-09</t>
  </si>
  <si>
    <t>103-01</t>
  </si>
  <si>
    <t>103-02</t>
  </si>
  <si>
    <t>103-03</t>
  </si>
  <si>
    <t>103-04</t>
  </si>
  <si>
    <t>103-05</t>
  </si>
  <si>
    <t>103-06</t>
  </si>
  <si>
    <t>103-07</t>
  </si>
  <si>
    <t>103-08</t>
  </si>
  <si>
    <t>103-09</t>
  </si>
  <si>
    <t>104-01</t>
  </si>
  <si>
    <t>104-02</t>
  </si>
  <si>
    <t>104-03</t>
  </si>
  <si>
    <t>104-04</t>
  </si>
  <si>
    <t>104-05</t>
  </si>
  <si>
    <t>104-06</t>
  </si>
  <si>
    <t>104-07</t>
  </si>
  <si>
    <t>104-08</t>
  </si>
  <si>
    <t>104-09</t>
  </si>
  <si>
    <t>105-01</t>
  </si>
  <si>
    <t>105-02</t>
  </si>
  <si>
    <t>105-03</t>
  </si>
  <si>
    <t>105-04</t>
  </si>
  <si>
    <t>105-05</t>
  </si>
  <si>
    <t>105-06</t>
  </si>
  <si>
    <t>105-07</t>
  </si>
  <si>
    <t>105-08</t>
  </si>
  <si>
    <t>105-09</t>
  </si>
  <si>
    <t>106-01</t>
  </si>
  <si>
    <t>106-02</t>
  </si>
  <si>
    <t>106-03</t>
  </si>
  <si>
    <t>106-04</t>
  </si>
  <si>
    <t>106-05</t>
  </si>
  <si>
    <t>106-06</t>
  </si>
  <si>
    <t>106-07</t>
  </si>
  <si>
    <t>106-08</t>
  </si>
  <si>
    <t>106-09</t>
  </si>
  <si>
    <t>107-01</t>
  </si>
  <si>
    <t>107-02</t>
  </si>
  <si>
    <t>107-03</t>
  </si>
  <si>
    <t>107-04</t>
  </si>
  <si>
    <t>107-05</t>
  </si>
  <si>
    <t>107-06</t>
  </si>
  <si>
    <t>107-07</t>
  </si>
  <si>
    <t>107-08</t>
  </si>
  <si>
    <t>107-09</t>
  </si>
  <si>
    <t>108-01</t>
  </si>
  <si>
    <t>108-02</t>
  </si>
  <si>
    <t>108-03</t>
  </si>
  <si>
    <t>108-04</t>
  </si>
  <si>
    <t>108-05</t>
  </si>
  <si>
    <t>108-06</t>
  </si>
  <si>
    <t>108-07</t>
  </si>
  <si>
    <t>108-08</t>
  </si>
  <si>
    <t>108-09</t>
  </si>
  <si>
    <t>S-L8-01</t>
  </si>
  <si>
    <t>S-L9-01</t>
  </si>
  <si>
    <t>S-L10-01</t>
  </si>
  <si>
    <t>S-L11-01</t>
  </si>
  <si>
    <t>S-L12-01</t>
  </si>
  <si>
    <t>S-L13-01</t>
  </si>
  <si>
    <t>S-L14-01</t>
  </si>
  <si>
    <t>S-L15-01</t>
  </si>
  <si>
    <t>S-L16-01</t>
  </si>
  <si>
    <t>S-L17-01</t>
  </si>
  <si>
    <t>S-O13-02</t>
  </si>
  <si>
    <t>S-O23-01</t>
  </si>
  <si>
    <t>S-O24-01</t>
  </si>
  <si>
    <t>S-O25-01</t>
  </si>
  <si>
    <t>S-O26-01</t>
  </si>
  <si>
    <t>S-O27-01</t>
  </si>
  <si>
    <t>S-O28-01</t>
  </si>
  <si>
    <t>S-O29-01</t>
  </si>
  <si>
    <t>S-O30-01</t>
  </si>
  <si>
    <t>S-O31-01</t>
  </si>
  <si>
    <t>S-R23-02</t>
  </si>
  <si>
    <t>S-R24-02</t>
  </si>
  <si>
    <t>S-R25-02</t>
  </si>
  <si>
    <t>S-R26-02</t>
  </si>
  <si>
    <t>S-R27-02</t>
  </si>
  <si>
    <t>S-R28-02</t>
  </si>
  <si>
    <t>S-R29-02</t>
  </si>
  <si>
    <t>S-R30-02</t>
  </si>
  <si>
    <t>S-R31-02</t>
  </si>
  <si>
    <t>S-U33-00</t>
  </si>
  <si>
    <t>S-U34-00</t>
  </si>
  <si>
    <t>Sum-72-00</t>
  </si>
  <si>
    <t>Sum-73-00</t>
  </si>
  <si>
    <t>Sum-74-00</t>
  </si>
  <si>
    <t>Sum-75-00</t>
  </si>
  <si>
    <t>Sum-76-00</t>
  </si>
  <si>
    <t>Sum-77-00</t>
  </si>
  <si>
    <t>Sum-78-00</t>
  </si>
  <si>
    <t>Sum-79-00</t>
  </si>
  <si>
    <t>Sum-80-00</t>
  </si>
  <si>
    <t>Sum-81-00</t>
  </si>
  <si>
    <t>SH-K15 &amp; D15</t>
  </si>
  <si>
    <t>SH-D17-00</t>
  </si>
  <si>
    <t>SH-D18-00</t>
  </si>
  <si>
    <t>SH-K21 &amp; D21</t>
  </si>
  <si>
    <t>SH-D23-00</t>
  </si>
  <si>
    <t>SH-D24-00</t>
  </si>
  <si>
    <t>Cost Study</t>
  </si>
  <si>
    <t>Space Projection Model Inputs</t>
  </si>
  <si>
    <t>Formula</t>
  </si>
  <si>
    <t>113-00 (FN)</t>
  </si>
  <si>
    <t>114-00 (FN)</t>
  </si>
  <si>
    <t>Lamar University</t>
  </si>
  <si>
    <t>Sam Houston State University (A+H+M)</t>
  </si>
  <si>
    <t>For the Year Ended August 31, 2024</t>
  </si>
  <si>
    <t xml:space="preserve">   </t>
  </si>
  <si>
    <t>Jana Juarez</t>
  </si>
  <si>
    <t>juarez_j@utpb.edu</t>
  </si>
  <si>
    <t>June Orth</t>
  </si>
  <si>
    <t>orth_j@utpb.edu</t>
  </si>
  <si>
    <t>Cynthia Schweers</t>
  </si>
  <si>
    <t>cynthia.schweers@utsa.edu</t>
  </si>
  <si>
    <t>Gregory Yturralde</t>
  </si>
  <si>
    <t>Brenda Golemon</t>
  </si>
  <si>
    <t>bgolemon@uttyler.edu</t>
  </si>
  <si>
    <t>Danielle Mcdonald</t>
  </si>
  <si>
    <t>daniellemcdonald@uttyler.edu</t>
  </si>
  <si>
    <t>Nancy Hranicky</t>
  </si>
  <si>
    <t>nhranicky@tamus.edu</t>
  </si>
  <si>
    <t>Cris Sowden</t>
  </si>
  <si>
    <t>crisla@tamu.edu</t>
  </si>
  <si>
    <t/>
  </si>
  <si>
    <t>Cozette Turner</t>
  </si>
  <si>
    <t>cmturner@pvamu.edu</t>
  </si>
  <si>
    <t>Sheila Hawkins</t>
  </si>
  <si>
    <t>hawkins@tarleton.edu</t>
  </si>
  <si>
    <t>Cassie Eyring</t>
  </si>
  <si>
    <t>cassie.eyring@tamucc.edu</t>
  </si>
  <si>
    <t>Elena Martinez</t>
  </si>
  <si>
    <t>emartinez@tamiu.edu</t>
  </si>
  <si>
    <t>Todd Mcneill</t>
  </si>
  <si>
    <t>tmcneill@wtamu.edu</t>
  </si>
  <si>
    <t>Tammy Cooper</t>
  </si>
  <si>
    <t>tammy.cooper@tamuc.edu</t>
  </si>
  <si>
    <t>Rhonda Jones</t>
  </si>
  <si>
    <t>rjones@tamut.edu</t>
  </si>
  <si>
    <t>Danielle Clouden</t>
  </si>
  <si>
    <t>d.clouden@tamuct.edu</t>
  </si>
  <si>
    <t>Carlos Martinez</t>
  </si>
  <si>
    <t>cmartinez5@tamusa.edu</t>
  </si>
  <si>
    <t>Hotz Charlotte</t>
  </si>
  <si>
    <t>cahotz@uh.edu</t>
  </si>
  <si>
    <t>Leslie Fluharty</t>
  </si>
  <si>
    <t>laskweres@central.uh.edu</t>
  </si>
  <si>
    <t>Charlotte Hotz</t>
  </si>
  <si>
    <t>laskweres@uh.edu</t>
  </si>
  <si>
    <t>Mila Bautista</t>
  </si>
  <si>
    <t>bautistam@uhcl.edu</t>
  </si>
  <si>
    <t>Tanjina Rahman</t>
  </si>
  <si>
    <t>rahman@uhcl.edu</t>
  </si>
  <si>
    <t>Tiffany Luong</t>
  </si>
  <si>
    <t>nguyent@uhd.edu</t>
  </si>
  <si>
    <t>Theresa Meneley</t>
  </si>
  <si>
    <t>meneleyt@uhd.edu</t>
  </si>
  <si>
    <t>June Nelson</t>
  </si>
  <si>
    <t>nelsonj@uhv.edu</t>
  </si>
  <si>
    <t>Erin Goodwin</t>
  </si>
  <si>
    <t>goodwinem1@uhv.edu</t>
  </si>
  <si>
    <t>Nancy Bergeron</t>
  </si>
  <si>
    <t>ncbergeron@lamar.edu</t>
  </si>
  <si>
    <t>Aisha Davis</t>
  </si>
  <si>
    <t>aavery7@lamar.edu</t>
  </si>
  <si>
    <t>Jennifer Jones</t>
  </si>
  <si>
    <t>jlj093@shsu.edu</t>
  </si>
  <si>
    <t>Melissa Stachowiak</t>
  </si>
  <si>
    <t>mrs148@shsu.edu</t>
  </si>
  <si>
    <t>Cindy Haley</t>
  </si>
  <si>
    <t>cindy.haley@txstate.edu</t>
  </si>
  <si>
    <t>Elizabeth Longoria-Cardenas</t>
  </si>
  <si>
    <t>ec1217@txstate.edu</t>
  </si>
  <si>
    <t>Bonnie Albright</t>
  </si>
  <si>
    <t>bonnie.albright@sulross.edu</t>
  </si>
  <si>
    <t>Alicia Salinas</t>
  </si>
  <si>
    <t>alicia.salinas@sulross.edu</t>
  </si>
  <si>
    <t>Lori Eppler</t>
  </si>
  <si>
    <t>lori.eppler@ttu.edu</t>
  </si>
  <si>
    <t>Eric Fisher</t>
  </si>
  <si>
    <t>eric.fisher@ttu.edu</t>
  </si>
  <si>
    <t>Gina Councilman</t>
  </si>
  <si>
    <t>gina.councilman@angelo.edu</t>
  </si>
  <si>
    <t>Jackie Baxter</t>
  </si>
  <si>
    <t>jackie.baxter@angelo.edu</t>
  </si>
  <si>
    <t>Rafiu Fashina</t>
  </si>
  <si>
    <t>rafiu.fashina@unt.edu</t>
  </si>
  <si>
    <t>Kristel Mcclaran</t>
  </si>
  <si>
    <t>kristel.mcclaran@unt.edu</t>
  </si>
  <si>
    <t>April Barnes</t>
  </si>
  <si>
    <t>april.barnes@untdallas.edu</t>
  </si>
  <si>
    <t>Gia Doss</t>
  </si>
  <si>
    <t>gia.doss@untdallas.edu</t>
  </si>
  <si>
    <t>Chris Stovall</t>
  </si>
  <si>
    <t>chris.stovall@msutexas.edu</t>
  </si>
  <si>
    <t>Steffany Newsome</t>
  </si>
  <si>
    <t>Kay Johnson</t>
  </si>
  <si>
    <t>Paula Stapleton</t>
  </si>
  <si>
    <t>paula.stapleton@tsu.edu</t>
  </si>
  <si>
    <t>John Pittman</t>
  </si>
  <si>
    <t>john.pittman@tsu.edu</t>
  </si>
  <si>
    <t>Melanie Ramirez</t>
  </si>
  <si>
    <t>mramirez50@twu.edu</t>
  </si>
  <si>
    <t>Barbara Newton</t>
  </si>
  <si>
    <t>bnewton@twu.edu</t>
  </si>
  <si>
    <t>Sharon Leary</t>
  </si>
  <si>
    <t>John Schmidt</t>
  </si>
  <si>
    <t>Debra Johnson</t>
  </si>
  <si>
    <t>debra.johnson@uta.edu</t>
  </si>
  <si>
    <t>Marie Adams</t>
  </si>
  <si>
    <t>marie.adams@uta.edu</t>
  </si>
  <si>
    <t>Joshua Tucker</t>
  </si>
  <si>
    <t>joatucker@utmb.edu</t>
  </si>
  <si>
    <t>Felicia Trigo</t>
  </si>
  <si>
    <t>fdtrigo@utmb.edu</t>
  </si>
  <si>
    <t>Kristin Cao</t>
  </si>
  <si>
    <t>Yinwen Li</t>
  </si>
  <si>
    <t>liy2@uthscsa.edu</t>
  </si>
  <si>
    <t>Juan H Ortiz</t>
  </si>
  <si>
    <t>ortizjh@uthscsa.edu</t>
  </si>
  <si>
    <t>Duy Tran</t>
  </si>
  <si>
    <t>ddtran2@mdanderson.org</t>
  </si>
  <si>
    <t>Cristina Gonzales</t>
  </si>
  <si>
    <t>crisgonzales@mdanderson.org</t>
  </si>
  <si>
    <t>Jessica Conley</t>
  </si>
  <si>
    <t>jessica.conley@uttyler.edu</t>
  </si>
  <si>
    <t>Carrie Mcmahan</t>
  </si>
  <si>
    <t>carrie.mcmahan@uttyler.edu</t>
  </si>
  <si>
    <t>Kristin Nace</t>
  </si>
  <si>
    <t>k-nace@tamu.edu</t>
  </si>
  <si>
    <t>Julie Meisinger</t>
  </si>
  <si>
    <t>julie.meisinger@unthsc.edu</t>
  </si>
  <si>
    <t>Tom Spencer</t>
  </si>
  <si>
    <t>tom.spencer@unthsc.edu</t>
  </si>
  <si>
    <t>Rebecca Aguilar</t>
  </si>
  <si>
    <t>rebecca.aguilar@ttuhsc.edu</t>
  </si>
  <si>
    <t>M'Lyn Hefner</t>
  </si>
  <si>
    <t>mlyn.hefner@ttuhsc.edu</t>
  </si>
  <si>
    <t xml:space="preserve">Cynthia Blessing Washington </t>
  </si>
  <si>
    <t>cblessin@ttuhsc.edu</t>
  </si>
  <si>
    <t>Octavio Bustillos</t>
  </si>
  <si>
    <t>obustill@ttuhsc.edu</t>
  </si>
  <si>
    <t>Don Simpson</t>
  </si>
  <si>
    <t>dsimpson@austin.utexas.edu</t>
  </si>
  <si>
    <t>Lori Peterson</t>
  </si>
  <si>
    <t>lpeterson@austin.utexas.edu</t>
  </si>
  <si>
    <t>Jamie Oltz</t>
  </si>
  <si>
    <t>jamie.oltz@lsco.edu</t>
  </si>
  <si>
    <t>Carissa Saenz</t>
  </si>
  <si>
    <t>carissa.saenz@lsco.edu</t>
  </si>
  <si>
    <t>Lilia St. Clair</t>
  </si>
  <si>
    <t>lilia.stclair@utrgv.edu</t>
  </si>
  <si>
    <t>Steven Lerma</t>
  </si>
  <si>
    <t>Shelley Cowart</t>
  </si>
  <si>
    <t>cowartsr@lamarpa.edu</t>
  </si>
  <si>
    <t>Leanna Odom</t>
  </si>
  <si>
    <t>odomlb@lamarpa.edu</t>
  </si>
  <si>
    <t>Christopher Greenwood</t>
  </si>
  <si>
    <t>christopher.greenwood@tstc.edu</t>
  </si>
  <si>
    <t>Anju Motwani</t>
  </si>
  <si>
    <t>aamotwani@tstc.edu</t>
  </si>
  <si>
    <t>Matthew Geis</t>
  </si>
  <si>
    <t>matthew.geis@utdallas.edu</t>
  </si>
  <si>
    <t>Cynthia Milligan</t>
  </si>
  <si>
    <t>cxm133830@utdallas.edu</t>
  </si>
  <si>
    <t>Lyndee Park-Jones</t>
  </si>
  <si>
    <t>lyndee.park@ag.tamu.edu</t>
  </si>
  <si>
    <t>Rosa Ledezma</t>
  </si>
  <si>
    <t>rosa.ledezma@ag.tamu.edu</t>
  </si>
  <si>
    <t>Jiying Yu</t>
  </si>
  <si>
    <t>j-yu@tamu.edu</t>
  </si>
  <si>
    <t>Deepak Tyagi</t>
  </si>
  <si>
    <t>monty.tyagi@teex.tamu.edu</t>
  </si>
  <si>
    <t>Andy Startz</t>
  </si>
  <si>
    <t>andy.startz@tfs.tamu.edu</t>
  </si>
  <si>
    <t>Stephanie Barnett</t>
  </si>
  <si>
    <t>s-barnett@tti.tamu.edu</t>
  </si>
  <si>
    <t>Adrienne Person</t>
  </si>
  <si>
    <t>adrienne.person@tvmdl.tamu.edu</t>
  </si>
  <si>
    <t>Ashley Garmon</t>
  </si>
  <si>
    <t>garmon@tamu.edu</t>
  </si>
  <si>
    <t>Verna Fritsche</t>
  </si>
  <si>
    <t>vfritsche@tamus.edu</t>
  </si>
  <si>
    <t>Daniel Dominguez</t>
  </si>
  <si>
    <t>drdominguez@utep.edu</t>
  </si>
  <si>
    <t>Laura Gutierrez</t>
  </si>
  <si>
    <t>lamartinez@utep.edu</t>
  </si>
  <si>
    <t>steven.lerma@utrgv.edu</t>
  </si>
  <si>
    <t>Fritsche Verna</t>
  </si>
  <si>
    <t>Folasade Baker</t>
  </si>
  <si>
    <t>fbaker@central.uh.edu</t>
  </si>
  <si>
    <t>Charlotte Hotz Hotz</t>
  </si>
  <si>
    <t>cahotz@central.uh.edu</t>
  </si>
  <si>
    <t>James Webb</t>
  </si>
  <si>
    <t>james.webb@tsus.edu</t>
  </si>
  <si>
    <t>Daniel Harper</t>
  </si>
  <si>
    <t>daniel.harper@tsus.edu</t>
  </si>
  <si>
    <t>Mallory Barnes</t>
  </si>
  <si>
    <t>mallory.barnes@ttu.edu</t>
  </si>
  <si>
    <t>Chrissy Morris</t>
  </si>
  <si>
    <t>chrissy.morris@ttu.edu</t>
  </si>
  <si>
    <t>Michael Hensley</t>
  </si>
  <si>
    <t>michael.hensley@untsystem.edu</t>
  </si>
  <si>
    <t>Brittany Wisdom</t>
  </si>
  <si>
    <t>brittany.wisdom@untsystem.edu</t>
  </si>
  <si>
    <t>Paula Castanon</t>
  </si>
  <si>
    <t>pcastanon@utsystem.edu</t>
  </si>
  <si>
    <t>Elva Padilla</t>
  </si>
  <si>
    <t>epadilla@utsystem.edu</t>
  </si>
  <si>
    <t>Texas State Technical College System</t>
  </si>
  <si>
    <t>Final</t>
  </si>
  <si>
    <t>Revised</t>
  </si>
  <si>
    <t>SYS</t>
  </si>
  <si>
    <t>Annuity, Life, &amp; Endowment &amp; Similar Funds</t>
  </si>
  <si>
    <t>Students &amp; Parents</t>
  </si>
  <si>
    <r>
      <rPr>
        <b/>
        <u/>
        <sz val="12"/>
        <rFont val="Overpass"/>
      </rPr>
      <t>Not</t>
    </r>
    <r>
      <rPr>
        <b/>
        <sz val="12"/>
        <rFont val="Overpass"/>
      </rPr>
      <t xml:space="preserve"> Reported in AFR</t>
    </r>
    <r>
      <rPr>
        <b/>
        <sz val="12"/>
        <color rgb="FFAF211A"/>
        <rFont val="Overpass"/>
      </rPr>
      <t xml:space="preserve"> (Report as negative numbers)</t>
    </r>
  </si>
  <si>
    <r>
      <t>Reported in AFR</t>
    </r>
    <r>
      <rPr>
        <b/>
        <sz val="12"/>
        <color rgb="FFAF211A"/>
        <rFont val="Overpass"/>
      </rPr>
      <t xml:space="preserve"> (Report as negative numbers)</t>
    </r>
  </si>
  <si>
    <t>State of Texas Subtotal</t>
  </si>
  <si>
    <t>Total Sources Over / Under Uses</t>
  </si>
  <si>
    <t>Fund Group Detail</t>
  </si>
  <si>
    <t>Footnote</t>
  </si>
  <si>
    <t>Enter revenues received, but not yet expended.</t>
  </si>
  <si>
    <t>Non-expendable funds from unrealized gains</t>
  </si>
  <si>
    <t>Non-expendable funds from additions to permanent endowments</t>
  </si>
  <si>
    <t>Alicia Placette</t>
  </si>
  <si>
    <t>aaplacette@lit.edu</t>
  </si>
  <si>
    <t>Amanda Retherford</t>
  </si>
  <si>
    <t>amretherford@lit.edu</t>
  </si>
  <si>
    <t>Added in FY2024</t>
  </si>
  <si>
    <t>Depreciation</t>
  </si>
  <si>
    <t>SRECNP Amount</t>
  </si>
  <si>
    <t>Difference</t>
  </si>
  <si>
    <r>
      <t xml:space="preserve">Reported in AFR </t>
    </r>
    <r>
      <rPr>
        <b/>
        <sz val="11"/>
        <color rgb="FFAF211A"/>
        <rFont val="Overpass"/>
        <scheme val="minor"/>
      </rPr>
      <t>(Report as negative numbers)</t>
    </r>
  </si>
  <si>
    <t>Federal Grants and Contracts</t>
  </si>
  <si>
    <t>Section Description (if applicable)</t>
  </si>
  <si>
    <t>worksheet - row - column notes</t>
  </si>
  <si>
    <t>Notes</t>
  </si>
  <si>
    <t xml:space="preserve">Higher Education Fund </t>
  </si>
  <si>
    <t>Utility</t>
  </si>
  <si>
    <t>Terms, Definitions, and Notes</t>
  </si>
  <si>
    <t xml:space="preserve">The definitions provided here are for general understanding and illustrative purposes. Please refer to your AFR guidance, NACUBO, or other relevant sources as needed. </t>
  </si>
  <si>
    <t>State of Texas (Sources)</t>
  </si>
  <si>
    <t xml:space="preserve"> State of Texas appropriations spending authority received from the Legislature for the institution for the current fiscal period.</t>
  </si>
  <si>
    <t>State of Texas Contracts &amp; Grants</t>
  </si>
  <si>
    <t>State of Texas appropriations for specific grants and contracts.</t>
  </si>
  <si>
    <t>Total spending authority for the current period for the constitutional appropriation for acquiring land with or without permanent improvements, constructing and equipping buildings or other permanent improvements, major repair or rehabilitation of building or other permanent improvements and acquisition of capital equipment, library books, and library materials at eligible institutions and agencies of higher education.</t>
  </si>
  <si>
    <t>A fund established in Article 7, §17, of the Texas Constitution to fund capital improvements and capital equipment for institutions not included in the Permanent University Fund.</t>
  </si>
  <si>
    <t xml:space="preserve">Available University Fund (AUF) is the earnings of the Permanent University Fund (PUF) used (1) to service bond debt for some institutions in The University of Texas and Texas A&amp;M University Systems and (2) to provide funding for excellence projects at The University of Texas at Austin, Texas A&amp;M University, and Prairie View A&amp;M University. </t>
  </si>
  <si>
    <t>Students &amp; Parents (Sources)</t>
  </si>
  <si>
    <t>Programs authorized by state statute that allow a resident, and in some cases a nonresident, student to enroll in an institution of higher education and pay a reduced amount of tuition and/or fees.</t>
  </si>
  <si>
    <t xml:space="preserve">Waivers, remissions, and exemptions represent tuition and fee dollars forgone by the university - some are required by statute. </t>
  </si>
  <si>
    <t>Tuition (Board authorized)</t>
  </si>
  <si>
    <t xml:space="preserve">A tuition charge that a general academic teaching institution or a medical and dental unit may impose on any graduate resident or nonresident student in an amount as specified in Texas Education Code, §54.008.	</t>
  </si>
  <si>
    <t>Tuition (Designated)</t>
  </si>
  <si>
    <t xml:space="preserve">A tuition charge authorized under Texas Education Code, §54.0513, that institutions other than public community colleges may impose on any graduate or undergraduate, resident or nonresident student, in an amount that the governing board of the institution considers necessary for the effective operation of the institution.	</t>
  </si>
  <si>
    <t>Tuition (Statutory)</t>
  </si>
  <si>
    <t>A tuition charge authorized under Texas Education Code, §54.051, in an amount determined by the Texas Legislature for resident or nonresident students. This includes the charge for state-funded continuing education courses.</t>
  </si>
  <si>
    <t>Tuition and Fees (Net)</t>
  </si>
  <si>
    <t>Current year totals of tuition and fees paid by students and parents after reduction by waivers, remissions, and exemptions or scholarship discounts and allowances.</t>
  </si>
  <si>
    <t>Programs authorized by state statute that allow a nonresident student to enroll in an institution of higher education and pay a reduced amount of nonresident tuition.</t>
  </si>
  <si>
    <t>Scholarship Discounts and Allowances</t>
  </si>
  <si>
    <t xml:space="preserve">The discount eliminates tuition revenues that are paid for by University resources which are recorded as revenue elsewhere on the financial statements (i.e. federal and state contracts and grants revenues). In addition, Scholarship Discounts and Allowances eliminate tuition revenue that is exempted from payment due to tuition exemptions approved by the Texas Legislature.  </t>
  </si>
  <si>
    <t xml:space="preserve">Scholarship Discounts and Allowances are scholarships, fellowships, and grants applied to tuition. </t>
  </si>
  <si>
    <t>Revenue derived from investments.</t>
  </si>
  <si>
    <t>Operating revenue grants and contracts received from local governmental entities.</t>
  </si>
  <si>
    <t>Operating revenue grants and contracts received from individuals, corporations, and non-profit entities not associated with a governmental entity.</t>
  </si>
  <si>
    <t xml:space="preserve">Includes (1) revenues that are related incidentally to the conduct of instruction, research, and public service and (2) revenues from activities that exist to provide an instructional and laboratory experience for students that incidentally create goods and services that may be sold. </t>
  </si>
  <si>
    <t>For Health-Related Institutions, it includes revenues generated from nonprofessional fees and miscellaneous income, e.g. reimbursement for long distance charges, collections for photocopy services, lab fees, computer services, rental of microscopes, etc.</t>
  </si>
  <si>
    <t xml:space="preserve">Revenues derived directly from the operation of auxiliary enterprises themselves. </t>
  </si>
  <si>
    <r>
      <t xml:space="preserve">Auxiliary enterprises are activities that furnish a service to students, faculty, or staff and charge a fee that is directly related to, although not necessarily equal to, the cost of the service (e.g. dormitories, dining halls, and bookstores). </t>
    </r>
    <r>
      <rPr>
        <i/>
        <sz val="12"/>
        <color theme="1"/>
        <rFont val="Overpass"/>
        <scheme val="minor"/>
      </rPr>
      <t>The activity is managed as essentially self-supporting.</t>
    </r>
  </si>
  <si>
    <t>Any operating revenue that does not fall within one of the above categories should be included here.</t>
  </si>
  <si>
    <t>Other Income is primarily Other Operating and Other Non-operating Revenues from the AFR.</t>
  </si>
  <si>
    <t>Other Sources</t>
  </si>
  <si>
    <t>Revenues received by colleges and universities from the federal government through contractual agreements or grant awards.</t>
  </si>
  <si>
    <t>Federal Contracts are legally binding agreements where deliverables are expected, whereas Federal Grants are financial assistance provided without direct repayment obligations, aimed at supporting research, education, or other specified purposes.</t>
  </si>
  <si>
    <t xml:space="preserve">Revenues for colleges and universities derived from the fees charged by the professional staffs at health institutions as part of the Medical Practice Plans. </t>
  </si>
  <si>
    <t>Examples of such fees could include doctors' fees for clinic visits, medical and dental procedures, professional opinion and anatomical procedures, such as analysis of specimens after a surgical procedure, etc.</t>
  </si>
  <si>
    <t>Revenue associated with the operations of hospitals and clinic operations.</t>
  </si>
  <si>
    <t>Operating Uses, Functions &amp; Other Non-Operating Uses</t>
  </si>
  <si>
    <t>Functions</t>
  </si>
  <si>
    <t>Funds used primarily to support services for an institution’s primary mission of instruction, research, and public service. This may include technical support, academic administration, and the retention and display of educational materials.</t>
  </si>
  <si>
    <t>Expenses of activities that exist to furnish goods or services to students, faculty, or staff, and that charges a fee directly related to, although not necessarily equal to, the cost of the goods or services.</t>
  </si>
  <si>
    <t>Examples include intercollegiate athletics, student health services, food services, student housing, and parking and transportation.
Auxiliary Enterprises are required to be self-supporting, and therefore must operate on the funds they generate.</t>
  </si>
  <si>
    <t>Expenditures for the construction or acquisition of capital assets funded from current funding sources.</t>
  </si>
  <si>
    <t>Funds used for items such as central executive level management, fiscal operations, administrative data processing, human resources; and records, logistical activities and activities concerned with community and alumni relations.</t>
  </si>
  <si>
    <t>Funds used for all activities that are a part of an institution’s instruction program to include faculty salaries, academic departmental operating expenses, and support staff salaries.</t>
  </si>
  <si>
    <t>Funds used for the operation and maintenance of the physical plant, such as custodial services, landscape and ground maintenance, and utilities.</t>
  </si>
  <si>
    <t>Expenses for activities not directly related to the basic services performed by the institution, which do not fall within one of the above categories.</t>
  </si>
  <si>
    <t>Funds used for activities that are established primarily to provide non-instructional services beneficial to those external to the institution.</t>
  </si>
  <si>
    <t>Funds used for activities specifically organized to produce research outcomes.</t>
  </si>
  <si>
    <t>Funds used for scholarships and fellowships including tuition remissions and exemptions in the form of grants to students either from selection by the institution or from an entitlement program.</t>
  </si>
  <si>
    <t>Funds used for activities whose primary purpose is to contribute to the students’ emotional and physical well being outside the context of the formal instruction program. Included are funds used for the admissions and registrar offices.</t>
  </si>
  <si>
    <t>Other Uses of Funds</t>
  </si>
  <si>
    <t xml:space="preserve">Bond Proceeds are funds received from the sale of bonds and commercial paper used to finance capital projects.  This amount includes actual proceeds and accrued or anticipated proceeds to be transferred from System. </t>
  </si>
  <si>
    <t>Independent institutions report only to the extent expended in current year.</t>
  </si>
  <si>
    <t xml:space="preserve">Debt service payments are payments to service and retire debt issued to fund capital projects. </t>
  </si>
  <si>
    <t>System components do this via transfers to System Administrations.  Independent institutions use direct payment to appropriate paying agents.</t>
  </si>
  <si>
    <t>Mandatory &amp; Non-mandatory Transfers</t>
  </si>
  <si>
    <t xml:space="preserve">Mandatory and non-mandatory transfers includes transfers between funds, transfers between the University System and institutions and transfers to and from other state agencies.  In total, all transfers between funds net to zero with the exception of any amounts transferred between the University System, between other institutions, or to and from another state agency.  </t>
  </si>
  <si>
    <t>There are no transfers of education and general funds provided by the State of Texas to restricted or auxiliary fund groups.  
Transfers between education and general funds and designated funds are related to Texas Public Education Grant as provided by the State of Texas.</t>
  </si>
  <si>
    <t xml:space="preserve">Additions to Permanent Endowments are additions to endowment principal.  </t>
  </si>
  <si>
    <t>This revenue is restricted for investment purposes only and cannot be used to fund operations.  Only interest income from these endowments, which is reported on the Endowment and Investment Income line of this report, can be used by the University to fund operations.</t>
  </si>
  <si>
    <t xml:space="preserve">Unrealized Gains / (Losses) represent the increase in the Fair Market Value of Investments and Endowments and are accrued as non-cash transactions. </t>
  </si>
  <si>
    <t xml:space="preserve">Therefore, funds are not actually received for this revenue stream.  Accordingly, this revenue is not cash revenue and cannot be used by the University to fund operations. </t>
  </si>
  <si>
    <t>Related Resources</t>
  </si>
  <si>
    <t>College for All Texans</t>
  </si>
  <si>
    <t>http://www.collegeforalltexans.com/</t>
  </si>
  <si>
    <t>College for All Texans: Exemptions</t>
  </si>
  <si>
    <t>http://www.collegeforalltexans.com/apps/financialaid/tofa.cfm?Kind=E</t>
  </si>
  <si>
    <t>College for All Texans: Waivers</t>
  </si>
  <si>
    <t>http://www.collegeforalltexans.com/apps/financialaid/tofa.cfm?Kind=W</t>
  </si>
  <si>
    <t>National Association of College and University Business Officers (NACUBO)</t>
  </si>
  <si>
    <t>https://www.nacubo.org/</t>
  </si>
  <si>
    <t>Comptroller’s Office: Tuition and Scholarship Allowances</t>
  </si>
  <si>
    <t xml:space="preserve">https://fmx.cpa.state.tx.us/fmx/pubs/afrrptreq/universities/index.php?section=organization&amp;page=tuition  </t>
  </si>
  <si>
    <r>
      <rPr>
        <b/>
        <u/>
        <sz val="11"/>
        <rFont val="Overpass"/>
        <scheme val="minor"/>
      </rPr>
      <t>Not</t>
    </r>
    <r>
      <rPr>
        <b/>
        <sz val="11"/>
        <rFont val="Overpass"/>
        <scheme val="minor"/>
      </rPr>
      <t xml:space="preserve"> Reported in AFR </t>
    </r>
    <r>
      <rPr>
        <b/>
        <sz val="11"/>
        <color rgb="FFAF211A"/>
        <rFont val="Overpass"/>
        <scheme val="minor"/>
      </rPr>
      <t>(Report as negative numbers)</t>
    </r>
  </si>
  <si>
    <r>
      <rPr>
        <b/>
        <u/>
        <sz val="11"/>
        <rFont val="Overpass"/>
        <scheme val="minor"/>
      </rPr>
      <t>Not</t>
    </r>
    <r>
      <rPr>
        <b/>
        <sz val="11"/>
        <rFont val="Overpass"/>
        <scheme val="minor"/>
      </rPr>
      <t xml:space="preserve"> Reported in AFR</t>
    </r>
    <r>
      <rPr>
        <b/>
        <sz val="11"/>
        <color rgb="FF003E52"/>
        <rFont val="Overpass"/>
        <scheme val="minor"/>
      </rPr>
      <t xml:space="preserve"> </t>
    </r>
    <r>
      <rPr>
        <b/>
        <sz val="11"/>
        <color rgb="FFAF211A"/>
        <rFont val="Overpass"/>
        <scheme val="minor"/>
      </rPr>
      <t>(Report as negative numbers)</t>
    </r>
  </si>
  <si>
    <t>St. C&amp;G E&amp;G</t>
  </si>
  <si>
    <t>St. C&amp;G Desg</t>
  </si>
  <si>
    <t>St. C&amp;G Aux</t>
  </si>
  <si>
    <t>St. C&amp;G R Exp</t>
  </si>
  <si>
    <t>St. C&amp;G Loan</t>
  </si>
  <si>
    <t>St. C&amp;G Annuity</t>
  </si>
  <si>
    <t>St. C&amp;G Unexp</t>
  </si>
  <si>
    <t>St. C&amp;G R of Ind</t>
  </si>
  <si>
    <t>St. C&amp;G Inv in P</t>
  </si>
  <si>
    <t>Fed G&amp;C E&amp;G</t>
  </si>
  <si>
    <t>Fed G&amp;C Desg</t>
  </si>
  <si>
    <t>Fed G&amp;C Aux</t>
  </si>
  <si>
    <t>Fed G&amp;C R Exp</t>
  </si>
  <si>
    <t>Fed G&amp;C Loan</t>
  </si>
  <si>
    <t>Fed G&amp;C Annuity</t>
  </si>
  <si>
    <t>Fed G&amp;C Unexp</t>
  </si>
  <si>
    <t>Fed G&amp;C R of Ind</t>
  </si>
  <si>
    <t>Fed G&amp;C Inv in P</t>
  </si>
  <si>
    <t>Loc Gov G E&amp;G</t>
  </si>
  <si>
    <t>Loc Gov G Desg</t>
  </si>
  <si>
    <t>Loc Gov G Aux</t>
  </si>
  <si>
    <t>Loc Gov G R Exp</t>
  </si>
  <si>
    <t>Loc Gov G Loan</t>
  </si>
  <si>
    <t>Loc Gov G Annuity</t>
  </si>
  <si>
    <t>Loc Gov G Unexp</t>
  </si>
  <si>
    <t>Loc Gov G R of Ind</t>
  </si>
  <si>
    <t>Loc Gov G Inv in P</t>
  </si>
  <si>
    <t>Pvt G&amp;G E&amp;G</t>
  </si>
  <si>
    <t>Pvt G&amp;G Desg</t>
  </si>
  <si>
    <t>Pvt G&amp;G Aux</t>
  </si>
  <si>
    <t>Pvt G&amp;G R Exp</t>
  </si>
  <si>
    <t>Pvt G&amp;G Loan</t>
  </si>
  <si>
    <t>Pvt G&amp;G Annuity</t>
  </si>
  <si>
    <t>Pvt G&amp;G Unexp</t>
  </si>
  <si>
    <t>Pvt G&amp;G R of Ind</t>
  </si>
  <si>
    <t>Pvt G&amp;G Inv in P</t>
  </si>
  <si>
    <t>Prof Fees E&amp;G</t>
  </si>
  <si>
    <t>Prof Fees Desg</t>
  </si>
  <si>
    <t>Prof Fees Aux</t>
  </si>
  <si>
    <t>Prof Fees R Exp</t>
  </si>
  <si>
    <t>Prof Fees Loan</t>
  </si>
  <si>
    <t>Prof Fees Annuity</t>
  </si>
  <si>
    <t>Prof Fees Unexp</t>
  </si>
  <si>
    <t>Prof Fees R of Ind</t>
  </si>
  <si>
    <t>Prof Fees Inv in P</t>
  </si>
  <si>
    <t>H&amp;C (OS) E&amp;G</t>
  </si>
  <si>
    <t>H&amp;C (OS) Desg</t>
  </si>
  <si>
    <t>H&amp;C (OS) Aux</t>
  </si>
  <si>
    <t>H&amp;C (OS) R Exp</t>
  </si>
  <si>
    <t>H&amp;C (OS) Loan</t>
  </si>
  <si>
    <t>H&amp;C (OS) Annuity</t>
  </si>
  <si>
    <t>H&amp;C (OS) Unexp</t>
  </si>
  <si>
    <t>H&amp;C (OS) R of Ind</t>
  </si>
  <si>
    <t>H&amp;C (OS) Inv in P</t>
  </si>
  <si>
    <t>Gross Tuition &amp; Fees</t>
  </si>
  <si>
    <t>Discounts &amp; Allowances</t>
  </si>
  <si>
    <t>Net Tuition &amp; Fees</t>
  </si>
  <si>
    <t>Total Revenue by Operating Source</t>
  </si>
  <si>
    <t xml:space="preserve">Student &amp; Parent </t>
  </si>
  <si>
    <t>East Texas A&amp;M University</t>
  </si>
  <si>
    <t xml:space="preserve"> School of Health Professions</t>
  </si>
  <si>
    <t>School of Medical</t>
  </si>
  <si>
    <t>Sharon.Leary@UTSouthwestern.edu</t>
  </si>
  <si>
    <t>John.Schmidt@UTSouthwestern.edu</t>
  </si>
  <si>
    <t>16,522.21</t>
  </si>
  <si>
    <t>3) Texas State Technical College - Waco include TSTC Connect hours.</t>
  </si>
  <si>
    <t>Scott Barnett</t>
  </si>
  <si>
    <t>Scott.Barnett@uth.tmc.edu</t>
  </si>
  <si>
    <t>Kristin.Cao@uth.tmc.edu</t>
  </si>
  <si>
    <t>1)  Includes post-baccalaureate, master's, AUD, DPT, and PharmD.</t>
  </si>
  <si>
    <t>enrollments (the larger of the fall or summer semester in the fiscal year). State-funded and non-state-funded hours, including dual degree (FE=2) and inter-institutional students (FE=4), are included; all other inter-institutional and</t>
  </si>
  <si>
    <t>flexible entry hours are excluded. Source of data is CBM001, Student Report.</t>
  </si>
  <si>
    <t xml:space="preserve">2)  The sum of undergraduate semester credit hours divided by 30, master's semester credit hours divided by 24, doctoral semester credit hours divided by 18, and DDS, DO, MD, Podiatry, and post-doctoral specialty headcount </t>
  </si>
  <si>
    <t>3)  Dual degree (FE=2) and inter-institutional students (FE=4) are included; all other inter-institutional, flexible entry, and non-state-funded hours are excluded. Source of data is CBM001, Student Report.</t>
  </si>
  <si>
    <t>4)  Fall tenured/tenure-track full-time-equivalent faculty with research responsibilities. Source of data is CBM008, Faculty Report.</t>
  </si>
  <si>
    <r>
      <t>Full-Time Student
Equivalents</t>
    </r>
    <r>
      <rPr>
        <sz val="12"/>
        <color theme="4"/>
        <rFont val="Overpass"/>
        <scheme val="minor"/>
      </rPr>
      <t>¹</t>
    </r>
  </si>
  <si>
    <r>
      <t>State Funded 
FTSE</t>
    </r>
    <r>
      <rPr>
        <sz val="12"/>
        <color theme="4"/>
        <rFont val="Overpass"/>
        <scheme val="minor"/>
      </rPr>
      <t>²</t>
    </r>
  </si>
  <si>
    <r>
      <t>T/TT Fall
Faculty FTE</t>
    </r>
    <r>
      <rPr>
        <sz val="12"/>
        <color theme="4"/>
        <rFont val="Overpass"/>
        <scheme val="minor"/>
      </rPr>
      <t>³</t>
    </r>
  </si>
  <si>
    <t>Top 5 Uses</t>
  </si>
  <si>
    <t>4) (A+H) represents the academic and health-related programs, excluding the medical school.</t>
  </si>
  <si>
    <t>1)</t>
  </si>
  <si>
    <t>2)</t>
  </si>
  <si>
    <t>4)</t>
  </si>
  <si>
    <t>Instruction³</t>
  </si>
  <si>
    <t>Research⁴</t>
  </si>
  <si>
    <t>Academic
Support⁵</t>
  </si>
  <si>
    <t>Student
Services⁶</t>
  </si>
  <si>
    <t>Institutional
Support⁷</t>
  </si>
  <si>
    <t>Academic Cost Study Report</t>
  </si>
  <si>
    <t>*Revenue excludes Hospital &amp; Clinic, Professional Fees, and Auxiliary revenue.</t>
  </si>
  <si>
    <t>State Revenue</t>
  </si>
  <si>
    <t>Federal Revenue</t>
  </si>
  <si>
    <t>Tuition &amp; Fee Revenue</t>
  </si>
  <si>
    <t>Constitutional Funds Revenue</t>
  </si>
  <si>
    <t>Institutional Revenue</t>
  </si>
  <si>
    <t>Total Revenue</t>
  </si>
  <si>
    <t>Footnote formulas for FGD Worksheet</t>
  </si>
  <si>
    <t>N/A</t>
  </si>
  <si>
    <t>Total Sources/Uses FGD Row 100</t>
  </si>
  <si>
    <t xml:space="preserve">Of the net increase of </t>
  </si>
  <si>
    <t xml:space="preserve"> approximately </t>
  </si>
  <si>
    <t xml:space="preserve"> represents revenues received but not yet expended. This income is fully committed to program expenditures and capital disbursements. The remaining </t>
  </si>
  <si>
    <t xml:space="preserve"> represents non-expendable funds from unrealized gains and additions to permanent endowments of approximately </t>
  </si>
  <si>
    <t xml:space="preserve"> Unrealized gains and additions to permanent endowments do not contribute to the availability of the institution's operating cash.</t>
  </si>
  <si>
    <t>Texas Public University</t>
  </si>
  <si>
    <t>Lamar State College</t>
  </si>
  <si>
    <t>Texas State Technical College</t>
  </si>
  <si>
    <t>Health - Related Institution</t>
  </si>
  <si>
    <t>Texas Public University with Medical School</t>
  </si>
  <si>
    <t>Institution Type2</t>
  </si>
  <si>
    <t>Texas A&amp;M Agency</t>
  </si>
  <si>
    <t>Fiscal Year 2024</t>
  </si>
  <si>
    <t>State Colleges</t>
  </si>
  <si>
    <t>State Technical Colleges</t>
  </si>
  <si>
    <t>Universities, System, &amp; Health-Related Institutions</t>
  </si>
  <si>
    <t>Universities, System, Health-Related Institutions, &amp; Agencies</t>
  </si>
  <si>
    <r>
      <rPr>
        <b/>
        <u/>
        <sz val="12"/>
        <rFont val="Overpass"/>
        <scheme val="minor"/>
      </rPr>
      <t>Not</t>
    </r>
    <r>
      <rPr>
        <b/>
        <sz val="12"/>
        <rFont val="Overpass"/>
        <scheme val="minor"/>
      </rPr>
      <t xml:space="preserve"> Reported in AFR </t>
    </r>
    <r>
      <rPr>
        <b/>
        <sz val="12"/>
        <color rgb="FFAF211A"/>
        <rFont val="Overpass"/>
        <scheme val="minor"/>
      </rPr>
      <t>(Report as negative numbers)</t>
    </r>
  </si>
  <si>
    <r>
      <t xml:space="preserve">Reported in AFR </t>
    </r>
    <r>
      <rPr>
        <b/>
        <sz val="12"/>
        <color rgb="FFAF211A"/>
        <rFont val="Overpass"/>
        <scheme val="minor"/>
      </rPr>
      <t>(Report as negative numbers)</t>
    </r>
  </si>
  <si>
    <r>
      <rPr>
        <b/>
        <u/>
        <sz val="12"/>
        <rFont val="Overpass"/>
        <scheme val="minor"/>
      </rPr>
      <t>Not</t>
    </r>
    <r>
      <rPr>
        <b/>
        <sz val="12"/>
        <rFont val="Overpass"/>
        <scheme val="minor"/>
      </rPr>
      <t xml:space="preserve"> Reported in AFR</t>
    </r>
    <r>
      <rPr>
        <b/>
        <sz val="12"/>
        <color rgb="FF003E52"/>
        <rFont val="Overpass"/>
        <scheme val="minor"/>
      </rPr>
      <t xml:space="preserve"> </t>
    </r>
    <r>
      <rPr>
        <b/>
        <sz val="12"/>
        <color rgb="FFAF211A"/>
        <rFont val="Overpass"/>
        <scheme val="minor"/>
      </rPr>
      <t>(Report as negative numbers)</t>
    </r>
  </si>
  <si>
    <t>Sources (Revenue) &amp; Uses (Expenditures)</t>
  </si>
  <si>
    <t>Sources (Revenue)</t>
  </si>
  <si>
    <t>Uses (Expenditures)</t>
  </si>
  <si>
    <t>For the best viewing and printing experience, we recommend downloading the appropriate font used in this workbook to avoid word-wrap or formatting issues.</t>
  </si>
  <si>
    <t>Font Overpass</t>
  </si>
  <si>
    <t>fonts.google.com/specimen/Overpass</t>
  </si>
  <si>
    <t>General Information</t>
  </si>
  <si>
    <t>Output Reports</t>
  </si>
  <si>
    <t>column numbers for referencing in formulas</t>
  </si>
  <si>
    <t>Health - Related Institutions (14)</t>
  </si>
  <si>
    <t>State Colleges (3)</t>
  </si>
  <si>
    <t>State Technical Colleges (6)</t>
  </si>
  <si>
    <t>Universities (36)</t>
  </si>
  <si>
    <t>Comparison (by Institution)</t>
  </si>
  <si>
    <t>Summary Worksheets</t>
  </si>
  <si>
    <t>Individual Institution</t>
  </si>
  <si>
    <t>Summary of Uses (Expenditures) by Institution Type</t>
  </si>
  <si>
    <t>Summary of Sources (Revenue) by Institution Type</t>
  </si>
  <si>
    <t>Net Tuition
Revenue</t>
  </si>
  <si>
    <t>Net Fees
Revenue</t>
  </si>
  <si>
    <t>Other
Revenue</t>
  </si>
  <si>
    <t>Instruction
Uses</t>
  </si>
  <si>
    <t>Research
Uses</t>
  </si>
  <si>
    <t>Academic
Uses</t>
  </si>
  <si>
    <t>Student
Uses</t>
  </si>
  <si>
    <t>Institutional
Uses</t>
  </si>
  <si>
    <t>Operations
Uses</t>
  </si>
  <si>
    <t>Scholarships
Uses</t>
  </si>
  <si>
    <t>Capital
Uses</t>
  </si>
  <si>
    <t>Other
Uses</t>
  </si>
  <si>
    <t>w/o Aux</t>
  </si>
  <si>
    <t>Total Expenditures</t>
  </si>
  <si>
    <r>
      <t>Other Expenditures</t>
    </r>
    <r>
      <rPr>
        <b/>
        <sz val="12"/>
        <color theme="0"/>
        <rFont val="Overpass"/>
      </rPr>
      <t>¹</t>
    </r>
  </si>
  <si>
    <t>This section provides an overview of the financial resources supporting institutions and how those funds are allocated. It highlights key revenue streams and expenditure categories, offering insights into the financial structure of institutions. Data is presented in total dollars and per full-time student equivalent (FTSE) to allow for comparative analysis.</t>
  </si>
  <si>
    <r>
      <t xml:space="preserve">Displays institutional expenditures categorized as </t>
    </r>
    <r>
      <rPr>
        <b/>
        <sz val="12"/>
        <color theme="1"/>
        <rFont val="Overpass"/>
        <scheme val="major"/>
      </rPr>
      <t>Instructional</t>
    </r>
    <r>
      <rPr>
        <sz val="12"/>
        <color theme="1"/>
        <rFont val="Overpass"/>
        <scheme val="major"/>
      </rPr>
      <t>,</t>
    </r>
    <r>
      <rPr>
        <b/>
        <sz val="12"/>
        <color theme="1"/>
        <rFont val="Overpass"/>
        <scheme val="major"/>
      </rPr>
      <t xml:space="preserve"> Academic Support</t>
    </r>
    <r>
      <rPr>
        <sz val="12"/>
        <color theme="1"/>
        <rFont val="Overpass"/>
        <scheme val="major"/>
      </rPr>
      <t xml:space="preserve">, </t>
    </r>
    <r>
      <rPr>
        <b/>
        <sz val="12"/>
        <color theme="1"/>
        <rFont val="Overpass"/>
        <scheme val="major"/>
      </rPr>
      <t>Institutional Support</t>
    </r>
    <r>
      <rPr>
        <sz val="12"/>
        <color theme="1"/>
        <rFont val="Overpass"/>
        <scheme val="major"/>
      </rPr>
      <t xml:space="preserve">, </t>
    </r>
    <r>
      <rPr>
        <b/>
        <sz val="12"/>
        <color theme="1"/>
        <rFont val="Overpass"/>
        <scheme val="major"/>
      </rPr>
      <t>Other Expenses</t>
    </r>
    <r>
      <rPr>
        <sz val="12"/>
        <color theme="1"/>
        <rFont val="Overpass"/>
        <scheme val="major"/>
      </rPr>
      <t xml:space="preserve">, and </t>
    </r>
    <r>
      <rPr>
        <b/>
        <sz val="12"/>
        <color theme="1"/>
        <rFont val="Overpass"/>
        <scheme val="major"/>
      </rPr>
      <t>Total Expenses</t>
    </r>
    <r>
      <rPr>
        <sz val="12"/>
        <color theme="1"/>
        <rFont val="Overpass"/>
        <scheme val="major"/>
      </rPr>
      <t>. Data is presented in total dollars and per full-time student equivalent (FTSE).</t>
    </r>
  </si>
  <si>
    <r>
      <t>Displays revenue sources reported by institutions, categorized as</t>
    </r>
    <r>
      <rPr>
        <b/>
        <sz val="12"/>
        <color theme="1"/>
        <rFont val="Overpass"/>
        <scheme val="major"/>
      </rPr>
      <t xml:space="preserve"> State Revenue</t>
    </r>
    <r>
      <rPr>
        <sz val="12"/>
        <color theme="1"/>
        <rFont val="Overpass"/>
        <scheme val="major"/>
      </rPr>
      <t>, Constitutional Funds, Tuition &amp; Fees, Federal Revenue, Institutional Revenue, and Total Revenue. Data is presented in total dollars and per full-time student equivalent (FTSE).</t>
    </r>
  </si>
  <si>
    <t>Provides aggregated and comparative views of Fund Group Detail data at the institution, institution type, and university system levels. Users can explore financial summaries for individual institutions, analyze grouped data by institution type or system, and compare financial metrics between two institutions.</t>
  </si>
  <si>
    <t>Provides definitions for financial terms, funding methods, reporting categories, and acronyms. Aligns with the Texas Administrative Code (updated October 2024) for fiscal year 2024 reporting.</t>
  </si>
  <si>
    <r>
      <t xml:space="preserve">Provides a list of the </t>
    </r>
    <r>
      <rPr>
        <b/>
        <sz val="12"/>
        <color theme="1"/>
        <rFont val="Overpass"/>
        <scheme val="major"/>
      </rPr>
      <t>primary and backup contacts</t>
    </r>
    <r>
      <rPr>
        <sz val="12"/>
        <color theme="1"/>
        <rFont val="Overpass"/>
        <scheme val="major"/>
      </rPr>
      <t xml:space="preserve"> for each institution, including </t>
    </r>
    <r>
      <rPr>
        <b/>
        <sz val="12"/>
        <color theme="1"/>
        <rFont val="Overpass"/>
        <scheme val="major"/>
      </rPr>
      <t>name</t>
    </r>
    <r>
      <rPr>
        <sz val="12"/>
        <color theme="1"/>
        <rFont val="Overpass"/>
        <scheme val="major"/>
      </rPr>
      <t xml:space="preserve">, </t>
    </r>
    <r>
      <rPr>
        <b/>
        <sz val="12"/>
        <color theme="1"/>
        <rFont val="Overpass"/>
        <scheme val="major"/>
      </rPr>
      <t>phone number</t>
    </r>
    <r>
      <rPr>
        <sz val="12"/>
        <color theme="1"/>
        <rFont val="Overpass"/>
        <scheme val="major"/>
      </rPr>
      <t xml:space="preserve">, and </t>
    </r>
    <r>
      <rPr>
        <b/>
        <sz val="12"/>
        <color theme="1"/>
        <rFont val="Overpass"/>
        <scheme val="major"/>
      </rPr>
      <t>email address</t>
    </r>
    <r>
      <rPr>
        <sz val="12"/>
        <color theme="1"/>
        <rFont val="Overpass"/>
        <scheme val="major"/>
      </rPr>
      <t xml:space="preserve"> (if provided).</t>
    </r>
  </si>
  <si>
    <t>Legend for Worksheet Tab Colors</t>
  </si>
  <si>
    <t>Multiple Institutions (summary worksheet)</t>
  </si>
  <si>
    <t>Feeder Report</t>
  </si>
  <si>
    <t>Provides detailed expenditure data for Instruction, Research, Academic Support, Student Services, and Institutional Support, derived from specific expenditure functions reported in the Sources &amp; Uses Survey. This information in this report forms the foundation for the Public University Expenditure Study, which is used to determine relative funding weights for academic disciplines.</t>
  </si>
  <si>
    <t>Provides a detailed breakdown of tuition and fees by institution type, including universities, health-related institutions, state colleges, and technical colleges. It outlines gross tuition and fees, and further details statutory and institutional waivers, exemptions, scholarships, discounts, and other allowances, ultimately calculating the net tuition and fees for each institution.</t>
  </si>
  <si>
    <r>
      <t xml:space="preserve">Provides a </t>
    </r>
    <r>
      <rPr>
        <b/>
        <sz val="12"/>
        <color theme="1"/>
        <rFont val="Overpass"/>
        <scheme val="major"/>
      </rPr>
      <t>summary</t>
    </r>
    <r>
      <rPr>
        <sz val="12"/>
        <color theme="1"/>
        <rFont val="Overpass"/>
        <scheme val="major"/>
      </rPr>
      <t xml:space="preserve"> of Fund Group Detail totals </t>
    </r>
    <r>
      <rPr>
        <b/>
        <sz val="12"/>
        <color theme="1"/>
        <rFont val="Overpass"/>
        <scheme val="major"/>
      </rPr>
      <t>for each institution</t>
    </r>
    <r>
      <rPr>
        <sz val="12"/>
        <color theme="1"/>
        <rFont val="Overpass"/>
        <scheme val="major"/>
      </rPr>
      <t>. Users can select an institution from the dropdown menu to view its revenue sources and expenditures, with per full-time student equivalent (FTSE) calculations where applicable. System offices and agency offices are included but do not have FTSE calculations.</t>
    </r>
  </si>
  <si>
    <r>
      <t xml:space="preserve">Aggregates Fund Group Detail data by institution type, providing a summary for </t>
    </r>
    <r>
      <rPr>
        <b/>
        <sz val="12"/>
        <color theme="1"/>
        <rFont val="Overpass"/>
        <scheme val="major"/>
      </rPr>
      <t>universities (36)</t>
    </r>
    <r>
      <rPr>
        <sz val="12"/>
        <color theme="1"/>
        <rFont val="Overpass"/>
        <scheme val="major"/>
      </rPr>
      <t xml:space="preserve">, </t>
    </r>
    <r>
      <rPr>
        <b/>
        <sz val="12"/>
        <color theme="1"/>
        <rFont val="Overpass"/>
        <scheme val="major"/>
      </rPr>
      <t>health-related institutions (14)</t>
    </r>
    <r>
      <rPr>
        <sz val="12"/>
        <color theme="1"/>
        <rFont val="Overpass"/>
        <scheme val="major"/>
      </rPr>
      <t xml:space="preserve">, </t>
    </r>
    <r>
      <rPr>
        <b/>
        <sz val="12"/>
        <color theme="1"/>
        <rFont val="Overpass"/>
        <scheme val="major"/>
      </rPr>
      <t>state colleges (3)</t>
    </r>
    <r>
      <rPr>
        <sz val="12"/>
        <color theme="1"/>
        <rFont val="Overpass"/>
        <scheme val="major"/>
      </rPr>
      <t xml:space="preserve">, and </t>
    </r>
    <r>
      <rPr>
        <b/>
        <sz val="12"/>
        <color theme="1"/>
        <rFont val="Overpass"/>
        <scheme val="major"/>
      </rPr>
      <t>state technical colleges (6)</t>
    </r>
    <r>
      <rPr>
        <sz val="12"/>
        <color theme="1"/>
        <rFont val="Overpass"/>
        <scheme val="major"/>
      </rPr>
      <t xml:space="preserve">. System offices and agency offices are excluded, ensuring the focus remains on institutions with student-related financial data. </t>
    </r>
    <r>
      <rPr>
        <b/>
        <sz val="12"/>
        <color theme="1"/>
        <rFont val="Overpass"/>
        <scheme val="major"/>
      </rPr>
      <t>A list of the institutions included in the aggregated data is displayed near the top right of the worksheet for reference.</t>
    </r>
  </si>
  <si>
    <r>
      <t xml:space="preserve">Consolidates Fund Group Detail data at the </t>
    </r>
    <r>
      <rPr>
        <b/>
        <sz val="12"/>
        <color theme="1"/>
        <rFont val="Overpass"/>
        <scheme val="major"/>
      </rPr>
      <t>university system level</t>
    </r>
    <r>
      <rPr>
        <sz val="12"/>
        <color theme="1"/>
        <rFont val="Overpass"/>
        <scheme val="major"/>
      </rPr>
      <t xml:space="preserve">, incorporating submissions from </t>
    </r>
    <r>
      <rPr>
        <b/>
        <sz val="12"/>
        <color theme="1"/>
        <rFont val="Overpass"/>
        <scheme val="major"/>
      </rPr>
      <t>system offices</t>
    </r>
    <r>
      <rPr>
        <sz val="12"/>
        <color theme="1"/>
        <rFont val="Overpass"/>
        <scheme val="major"/>
      </rPr>
      <t xml:space="preserve">, </t>
    </r>
    <r>
      <rPr>
        <b/>
        <sz val="12"/>
        <color theme="1"/>
        <rFont val="Overpass"/>
        <scheme val="major"/>
      </rPr>
      <t>agencies</t>
    </r>
    <r>
      <rPr>
        <sz val="12"/>
        <color theme="1"/>
        <rFont val="Overpass"/>
        <scheme val="major"/>
      </rPr>
      <t xml:space="preserve">, </t>
    </r>
    <r>
      <rPr>
        <b/>
        <sz val="12"/>
        <color theme="1"/>
        <rFont val="Overpass"/>
        <scheme val="major"/>
      </rPr>
      <t>universities</t>
    </r>
    <r>
      <rPr>
        <sz val="12"/>
        <color theme="1"/>
        <rFont val="Overpass"/>
        <scheme val="major"/>
      </rPr>
      <t xml:space="preserve">, </t>
    </r>
    <r>
      <rPr>
        <b/>
        <sz val="12"/>
        <color theme="1"/>
        <rFont val="Overpass"/>
        <scheme val="major"/>
      </rPr>
      <t>colleges</t>
    </r>
    <r>
      <rPr>
        <sz val="12"/>
        <color theme="1"/>
        <rFont val="Overpass"/>
        <scheme val="major"/>
      </rPr>
      <t xml:space="preserve">, and </t>
    </r>
    <r>
      <rPr>
        <b/>
        <sz val="12"/>
        <color theme="1"/>
        <rFont val="Overpass"/>
        <scheme val="major"/>
      </rPr>
      <t>health-related institutions</t>
    </r>
    <r>
      <rPr>
        <sz val="12"/>
        <color theme="1"/>
        <rFont val="Overpass"/>
        <scheme val="major"/>
      </rPr>
      <t xml:space="preserve">. Users can select a university system from the dropdown menu to view aggregated financial data for all its affiliated entities, providing a comprehensive overview of system-wide revenues and expenditures. </t>
    </r>
    <r>
      <rPr>
        <b/>
        <sz val="12"/>
        <color theme="1"/>
        <rFont val="Overpass"/>
        <scheme val="major"/>
      </rPr>
      <t>A list of the institutions included in the aggregated data is displayed near the top right of the worksheet for reference.</t>
    </r>
  </si>
  <si>
    <r>
      <t xml:space="preserve">Presents Fund Group Detail data for fiscal year 2024, as </t>
    </r>
    <r>
      <rPr>
        <b/>
        <sz val="12"/>
        <color theme="1"/>
        <rFont val="Overpass"/>
        <scheme val="major"/>
      </rPr>
      <t>reported by each institution</t>
    </r>
    <r>
      <rPr>
        <sz val="12"/>
        <color theme="1"/>
        <rFont val="Overpass"/>
        <scheme val="major"/>
      </rPr>
      <t xml:space="preserve"> in the Sources &amp; Uses Survey. Users can select an institution from the dropdown menu to view its submitted revenue sources and expenditures.</t>
    </r>
  </si>
  <si>
    <t>Research³</t>
  </si>
  <si>
    <t>Academic
Support³</t>
  </si>
  <si>
    <t>Institutional
Support³</t>
  </si>
  <si>
    <r>
      <t>Student
Services</t>
    </r>
    <r>
      <rPr>
        <b/>
        <sz val="12"/>
        <color theme="1"/>
        <rFont val="Overpass"/>
      </rPr>
      <t>⁴</t>
    </r>
  </si>
  <si>
    <t xml:space="preserve">3) </t>
  </si>
  <si>
    <r>
      <t xml:space="preserve">The values for this category are calculated as the sum of expenditures reported under the corresponding function in the </t>
    </r>
    <r>
      <rPr>
        <i/>
        <sz val="12"/>
        <color theme="1"/>
        <rFont val="Overpass"/>
        <scheme val="minor"/>
      </rPr>
      <t>Fund Group Detail</t>
    </r>
    <r>
      <rPr>
        <sz val="12"/>
        <color theme="1"/>
        <rFont val="Overpass"/>
        <scheme val="minor"/>
      </rPr>
      <t xml:space="preserve"> worksheet of the </t>
    </r>
    <r>
      <rPr>
        <i/>
        <sz val="12"/>
        <color theme="1"/>
        <rFont val="Overpass"/>
        <scheme val="minor"/>
      </rPr>
      <t>Sources &amp; Uses Survey</t>
    </r>
    <r>
      <rPr>
        <sz val="12"/>
        <color theme="1"/>
        <rFont val="Overpass"/>
        <scheme val="minor"/>
      </rPr>
      <t xml:space="preserve">. Specifically, the total consists of expenditures funded by </t>
    </r>
    <r>
      <rPr>
        <b/>
        <sz val="12"/>
        <color theme="1"/>
        <rFont val="Overpass"/>
        <scheme val="minor"/>
      </rPr>
      <t>Educational &amp; General, Designated, Restricted Expendable, and Unexpended Plant</t>
    </r>
    <r>
      <rPr>
        <sz val="12"/>
        <color theme="1"/>
        <rFont val="Overpass"/>
        <scheme val="minor"/>
      </rPr>
      <t xml:space="preserve"> funds. Additionally, expenditures categorized under Capital Outlay for this function, as reported in the </t>
    </r>
    <r>
      <rPr>
        <i/>
        <sz val="12"/>
        <color theme="1"/>
        <rFont val="Overpass"/>
        <scheme val="minor"/>
      </rPr>
      <t>Cost Study Input</t>
    </r>
    <r>
      <rPr>
        <sz val="12"/>
        <color theme="1"/>
        <rFont val="Overpass"/>
        <scheme val="minor"/>
      </rPr>
      <t xml:space="preserve"> survey, are included in the total.</t>
    </r>
  </si>
  <si>
    <r>
      <t xml:space="preserve">The value for Student Services is calculated using the same methodology as Footnote #3, with one exception: after summing the expenditures funded by </t>
    </r>
    <r>
      <rPr>
        <b/>
        <sz val="12"/>
        <color theme="1"/>
        <rFont val="Overpass"/>
        <scheme val="minor"/>
      </rPr>
      <t>Educational &amp; General</t>
    </r>
    <r>
      <rPr>
        <sz val="12"/>
        <color theme="1"/>
        <rFont val="Overpass"/>
        <scheme val="minor"/>
      </rPr>
      <t xml:space="preserve">, </t>
    </r>
    <r>
      <rPr>
        <b/>
        <sz val="12"/>
        <color theme="1"/>
        <rFont val="Overpass"/>
        <scheme val="minor"/>
      </rPr>
      <t>Designated, Restricted Expendable</t>
    </r>
    <r>
      <rPr>
        <sz val="12"/>
        <color theme="1"/>
        <rFont val="Overpass"/>
        <scheme val="minor"/>
      </rPr>
      <t xml:space="preserve">, and </t>
    </r>
    <r>
      <rPr>
        <b/>
        <sz val="12"/>
        <color theme="1"/>
        <rFont val="Overpass"/>
        <scheme val="minor"/>
      </rPr>
      <t>Unexpended Plant</t>
    </r>
    <r>
      <rPr>
        <sz val="12"/>
        <color theme="1"/>
        <rFont val="Overpass"/>
        <scheme val="minor"/>
      </rPr>
      <t xml:space="preserve"> funds from the Fund Group Detail worksheet, and including the Capital Outlay amount from the </t>
    </r>
    <r>
      <rPr>
        <i/>
        <sz val="12"/>
        <color theme="1"/>
        <rFont val="Overpass"/>
        <scheme val="minor"/>
      </rPr>
      <t>Cost Study Input</t>
    </r>
    <r>
      <rPr>
        <sz val="12"/>
        <color theme="1"/>
        <rFont val="Overpass"/>
        <scheme val="minor"/>
      </rPr>
      <t xml:space="preserve"> survey, the total is reduced by the reported expenditures for </t>
    </r>
    <r>
      <rPr>
        <b/>
        <sz val="12"/>
        <color theme="1"/>
        <rFont val="Overpass"/>
        <scheme val="minor"/>
      </rPr>
      <t>Intercollegiate Athletics</t>
    </r>
    <r>
      <rPr>
        <sz val="12"/>
        <color theme="1"/>
        <rFont val="Overpass"/>
        <scheme val="minor"/>
      </rPr>
      <t>, as recorded in the</t>
    </r>
    <r>
      <rPr>
        <i/>
        <sz val="12"/>
        <color theme="1"/>
        <rFont val="Overpass"/>
        <scheme val="minor"/>
      </rPr>
      <t xml:space="preserve"> Cost Study Input </t>
    </r>
    <r>
      <rPr>
        <sz val="12"/>
        <color theme="1"/>
        <rFont val="Overpass"/>
        <scheme val="minor"/>
      </rPr>
      <t>survey.</t>
    </r>
  </si>
  <si>
    <r>
      <t>(</t>
    </r>
    <r>
      <rPr>
        <b/>
        <sz val="12"/>
        <color theme="1"/>
        <rFont val="Overpass"/>
        <scheme val="minor"/>
      </rPr>
      <t>A+H</t>
    </r>
    <r>
      <rPr>
        <sz val="12"/>
        <color theme="1"/>
        <rFont val="Overpass"/>
        <scheme val="minor"/>
      </rPr>
      <t>) represents the academic and health-related programs, excluding the medical school.</t>
    </r>
  </si>
  <si>
    <r>
      <t>(</t>
    </r>
    <r>
      <rPr>
        <b/>
        <sz val="12"/>
        <color theme="1"/>
        <rFont val="Overpass"/>
        <scheme val="minor"/>
      </rPr>
      <t>A+H+M</t>
    </r>
    <r>
      <rPr>
        <sz val="12"/>
        <color theme="1"/>
        <rFont val="Overpass"/>
        <scheme val="minor"/>
      </rPr>
      <t>) represents the academic, health-related programs, and medical school.</t>
    </r>
  </si>
  <si>
    <t>Operating Sources (Revenue)</t>
  </si>
  <si>
    <t>Operating Uses (Expenses)</t>
  </si>
  <si>
    <t>Institution(s) Included (alphabetical):</t>
  </si>
  <si>
    <r>
      <rPr>
        <b/>
        <sz val="12"/>
        <color theme="4"/>
        <rFont val="Overpass"/>
        <scheme val="minor"/>
      </rPr>
      <t>1) Other Expenditures</t>
    </r>
    <r>
      <rPr>
        <sz val="12"/>
        <color theme="4"/>
        <rFont val="Overpass"/>
        <scheme val="minor"/>
      </rPr>
      <t xml:space="preserve"> includes expenses from the following </t>
    </r>
    <r>
      <rPr>
        <b/>
        <sz val="12"/>
        <color theme="4"/>
        <rFont val="Overpass"/>
        <scheme val="minor"/>
      </rPr>
      <t>Operating Uses</t>
    </r>
    <r>
      <rPr>
        <sz val="12"/>
        <color theme="4"/>
        <rFont val="Overpass"/>
        <scheme val="minor"/>
      </rPr>
      <t xml:space="preserve">: </t>
    </r>
    <r>
      <rPr>
        <b/>
        <sz val="12"/>
        <color theme="4"/>
        <rFont val="Overpass"/>
        <scheme val="minor"/>
      </rPr>
      <t>Operations and Maintenance of Plant</t>
    </r>
    <r>
      <rPr>
        <sz val="12"/>
        <color theme="4"/>
        <rFont val="Overpass"/>
        <scheme val="minor"/>
      </rPr>
      <t xml:space="preserve">, </t>
    </r>
    <r>
      <rPr>
        <b/>
        <sz val="12"/>
        <color theme="4"/>
        <rFont val="Overpass"/>
        <scheme val="minor"/>
      </rPr>
      <t>Scholarships and Fellowships</t>
    </r>
    <r>
      <rPr>
        <sz val="12"/>
        <color theme="4"/>
        <rFont val="Overpass"/>
        <scheme val="minor"/>
      </rPr>
      <t xml:space="preserve">, </t>
    </r>
    <r>
      <rPr>
        <b/>
        <sz val="12"/>
        <color theme="4"/>
        <rFont val="Overpass"/>
        <scheme val="minor"/>
      </rPr>
      <t>Capital Outlay from Current Fund Sources</t>
    </r>
    <r>
      <rPr>
        <sz val="12"/>
        <color theme="4"/>
        <rFont val="Overpass"/>
        <scheme val="minor"/>
      </rPr>
      <t xml:space="preserve">, and </t>
    </r>
    <r>
      <rPr>
        <b/>
        <sz val="12"/>
        <color theme="4"/>
        <rFont val="Overpass"/>
        <scheme val="minor"/>
      </rPr>
      <t>Other Expenses</t>
    </r>
    <r>
      <rPr>
        <sz val="12"/>
        <color theme="4"/>
        <rFont val="Overpass"/>
        <scheme val="minor"/>
      </rPr>
      <t>.</t>
    </r>
  </si>
  <si>
    <t>Texas A&amp;M University, System, &amp; Agencies</t>
  </si>
  <si>
    <t>Texas Tech University &amp; System</t>
  </si>
  <si>
    <t>Texas State University &amp; System</t>
  </si>
  <si>
    <t>University of North Texas &amp; System</t>
  </si>
  <si>
    <t>University of Texas &amp; System</t>
  </si>
  <si>
    <t>Agency</t>
  </si>
  <si>
    <r>
      <t xml:space="preserve">Lists </t>
    </r>
    <r>
      <rPr>
        <b/>
        <sz val="12"/>
        <color theme="1"/>
        <rFont val="Overpass"/>
        <scheme val="major"/>
      </rPr>
      <t>full-time student equivalent</t>
    </r>
    <r>
      <rPr>
        <sz val="12"/>
        <color theme="1"/>
        <rFont val="Overpass"/>
        <scheme val="major"/>
      </rPr>
      <t xml:space="preserve"> (</t>
    </r>
    <r>
      <rPr>
        <b/>
        <sz val="12"/>
        <color theme="1"/>
        <rFont val="Overpass"/>
        <scheme val="major"/>
      </rPr>
      <t>FTSE</t>
    </r>
    <r>
      <rPr>
        <sz val="12"/>
        <color theme="1"/>
        <rFont val="Overpass"/>
        <scheme val="major"/>
      </rPr>
      <t xml:space="preserve">) and </t>
    </r>
    <r>
      <rPr>
        <b/>
        <sz val="12"/>
        <color theme="1"/>
        <rFont val="Overpass"/>
        <scheme val="major"/>
      </rPr>
      <t>full-time faculty equivalent</t>
    </r>
    <r>
      <rPr>
        <sz val="12"/>
        <color theme="1"/>
        <rFont val="Overpass"/>
        <scheme val="major"/>
      </rPr>
      <t xml:space="preserve"> (</t>
    </r>
    <r>
      <rPr>
        <b/>
        <sz val="12"/>
        <color theme="1"/>
        <rFont val="Overpass"/>
        <scheme val="major"/>
      </rPr>
      <t>FTFE</t>
    </r>
    <r>
      <rPr>
        <sz val="12"/>
        <color theme="1"/>
        <rFont val="Overpass"/>
        <scheme val="major"/>
      </rPr>
      <t>) for the 2023-2024 academic year across all Texas Public Universities, Health-Related Institutions, Lamar State Colleges, and Texas State Technical Colleges.</t>
    </r>
  </si>
  <si>
    <t>Reference &amp; Supporting Data</t>
  </si>
  <si>
    <t>This section includes supplemental materials that provide context, definitions, and supporting data for the survey and summary reports. It contains reference information such as institutional contact details, definitions, and a breakdown of tuition and fees. Additionally, it includes feeder data used in some summary calculations, such as full-time student equivalent (FTSE) figures.</t>
  </si>
  <si>
    <t>Enables users to compare financial data between up to three institutions side by side. Users can select one institution per dropdown menu. The dropdown menu options include universities, health-related institutions, state colleges, and state technical colleges (excludes system and agency offices). The comparison includes a summary of each institution’s revenue sources and expenditures, along with per full-time student equivalent (FTSE) metrics, providing insight into financial differences and funding structures.</t>
  </si>
  <si>
    <r>
      <t xml:space="preserve">* </t>
    </r>
    <r>
      <rPr>
        <b/>
        <sz val="12"/>
        <color theme="4"/>
        <rFont val="Overpass"/>
        <scheme val="minor"/>
      </rPr>
      <t>All expenditures</t>
    </r>
    <r>
      <rPr>
        <sz val="12"/>
        <color theme="4"/>
        <rFont val="Overpass"/>
        <scheme val="minor"/>
      </rPr>
      <t xml:space="preserve"> excludes</t>
    </r>
    <r>
      <rPr>
        <b/>
        <sz val="12"/>
        <color theme="4"/>
        <rFont val="Overpass"/>
        <scheme val="minor"/>
      </rPr>
      <t xml:space="preserve"> Public Service</t>
    </r>
    <r>
      <rPr>
        <sz val="12"/>
        <color theme="4"/>
        <rFont val="Overpass"/>
        <scheme val="minor"/>
      </rPr>
      <t xml:space="preserve"> &amp;</t>
    </r>
    <r>
      <rPr>
        <b/>
        <sz val="12"/>
        <color theme="4"/>
        <rFont val="Overpass"/>
        <scheme val="minor"/>
      </rPr>
      <t xml:space="preserve"> Auxiliary expenditures</t>
    </r>
    <r>
      <rPr>
        <sz val="12"/>
        <color theme="4"/>
        <rFont val="Overpass"/>
        <scheme val="minor"/>
      </rPr>
      <t>.</t>
    </r>
  </si>
  <si>
    <r>
      <t xml:space="preserve">Presents Fund Group Detail data for Texas public institutions of higher education (excluding community colleges) as reported in the </t>
    </r>
    <r>
      <rPr>
        <b/>
        <sz val="12"/>
        <color theme="1"/>
        <rFont val="Overpass"/>
        <scheme val="major"/>
      </rPr>
      <t>Sources &amp; Uses Survey</t>
    </r>
    <r>
      <rPr>
        <sz val="12"/>
        <color theme="1"/>
        <rFont val="Overpass"/>
        <scheme val="major"/>
      </rPr>
      <t>, for fiscal year 2024. This data provides a comprehensive view of each institution’s “all funds” sources and uses of available funds for the given fiscal year. The information is used in various funding formulas and contributes to statewide reporting efforts, including the Texas Public Higher Education Almanac, the Accountability System, and institutional online resumes.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</si>
</sst>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41" formatCode="_(* #,##0_);_(* \(#,##0\);_(* &quot;-&quot;_);_(@_)"/>
    <numFmt numFmtId="44" formatCode="_(&quot;$&quot;* #,##0.00_);_(&quot;$&quot;* \(#,##0.00\);_(&quot;$&quot;* &quot;-&quot;??_);_(@_)"/>
    <numFmt numFmtId="43" formatCode="_(* #,##0.00_);_(* \(#,##0.00\);_(* &quot;-&quot;??_);_(@_)"/>
    <numFmt numFmtId="164" formatCode="[$-409]mmmm\ d\,\ yyyy;@"/>
    <numFmt numFmtId="165" formatCode="000000"/>
    <numFmt numFmtId="166" formatCode="[&lt;=9999999]###\-####;\(###\)\ ###\-####"/>
    <numFmt numFmtId="167" formatCode="&quot;$&quot;#,##0"/>
    <numFmt numFmtId="168" formatCode="0.0%"/>
    <numFmt numFmtId="169" formatCode="@\¹"/>
    <numFmt numFmtId="170" formatCode="@\²"/>
    <numFmt numFmtId="171" formatCode="@\³"/>
    <numFmt numFmtId="172" formatCode="@\⁴"/>
  </numFmts>
  <fonts count="128" x14ac:knownFonts="1">
    <font>
      <sz val="11"/>
      <color theme="4"/>
      <name val="Overpass"/>
      <family val="2"/>
      <scheme val="minor"/>
    </font>
    <font>
      <sz val="11"/>
      <color theme="1"/>
      <name val="Overpass"/>
      <family val="2"/>
      <scheme val="minor"/>
    </font>
    <font>
      <sz val="11"/>
      <color theme="1"/>
      <name val="Overpass"/>
      <family val="2"/>
      <scheme val="minor"/>
    </font>
    <font>
      <b/>
      <sz val="13"/>
      <color theme="3"/>
      <name val="Overpass"/>
      <family val="2"/>
      <scheme val="minor"/>
    </font>
    <font>
      <b/>
      <sz val="11"/>
      <color theme="1"/>
      <name val="Overpass"/>
      <family val="2"/>
      <scheme val="minor"/>
    </font>
    <font>
      <u/>
      <sz val="10"/>
      <color indexed="12"/>
      <name val="Arial"/>
      <family val="2"/>
    </font>
    <font>
      <sz val="11"/>
      <color theme="4"/>
      <name val="Overpass"/>
      <family val="2"/>
      <scheme val="minor"/>
    </font>
    <font>
      <sz val="18"/>
      <color theme="4"/>
      <name val="Overpass"/>
      <family val="2"/>
      <scheme val="major"/>
    </font>
    <font>
      <sz val="11"/>
      <color theme="4"/>
      <name val="Overpass"/>
      <scheme val="minor"/>
    </font>
    <font>
      <sz val="12"/>
      <color theme="4"/>
      <name val="Overpass"/>
      <scheme val="minor"/>
    </font>
    <font>
      <b/>
      <sz val="11"/>
      <color theme="0"/>
      <name val="Overpass"/>
      <scheme val="minor"/>
    </font>
    <font>
      <b/>
      <sz val="11"/>
      <color theme="4"/>
      <name val="Overpass"/>
      <scheme val="minor"/>
    </font>
    <font>
      <sz val="12"/>
      <color indexed="81"/>
      <name val="Overpass"/>
      <family val="2"/>
      <scheme val="major"/>
    </font>
    <font>
      <b/>
      <sz val="12"/>
      <color theme="4"/>
      <name val="Overpass"/>
      <scheme val="minor"/>
    </font>
    <font>
      <b/>
      <sz val="12"/>
      <color theme="0"/>
      <name val="Overpass"/>
      <scheme val="major"/>
    </font>
    <font>
      <b/>
      <sz val="18"/>
      <color theme="4"/>
      <name val="Overpass"/>
      <family val="2"/>
      <scheme val="minor"/>
    </font>
    <font>
      <sz val="11"/>
      <color theme="0"/>
      <name val="Overpass"/>
      <family val="2"/>
      <scheme val="minor"/>
    </font>
    <font>
      <b/>
      <sz val="12"/>
      <color theme="0"/>
      <name val="Overpass"/>
      <scheme val="minor"/>
    </font>
    <font>
      <sz val="11"/>
      <color rgb="FFFF0000"/>
      <name val="Overpass"/>
      <family val="2"/>
      <scheme val="minor"/>
    </font>
    <font>
      <sz val="12"/>
      <color theme="0"/>
      <name val="Overpass"/>
      <scheme val="minor"/>
    </font>
    <font>
      <i/>
      <sz val="12"/>
      <color theme="4"/>
      <name val="Overpass"/>
      <scheme val="minor"/>
    </font>
    <font>
      <sz val="8"/>
      <name val="Overpass"/>
      <family val="2"/>
      <scheme val="minor"/>
    </font>
    <font>
      <b/>
      <sz val="11"/>
      <color theme="5"/>
      <name val="Overpass"/>
      <scheme val="minor"/>
    </font>
    <font>
      <sz val="16"/>
      <color theme="4"/>
      <name val="Overpass"/>
      <family val="2"/>
      <scheme val="minor"/>
    </font>
    <font>
      <b/>
      <sz val="16"/>
      <color rgb="FF003E52"/>
      <name val="Overpass"/>
      <scheme val="minor"/>
    </font>
    <font>
      <b/>
      <sz val="16"/>
      <color theme="0"/>
      <name val="Overpass"/>
      <scheme val="major"/>
    </font>
    <font>
      <b/>
      <sz val="16"/>
      <color rgb="FFAF211A"/>
      <name val="Overpass"/>
      <scheme val="major"/>
    </font>
    <font>
      <sz val="16"/>
      <color theme="4"/>
      <name val="Overpass"/>
      <scheme val="major"/>
    </font>
    <font>
      <sz val="12"/>
      <color theme="4"/>
      <name val="Overpass"/>
      <scheme val="major"/>
    </font>
    <font>
      <sz val="12"/>
      <color theme="5" tint="-0.249977111117893"/>
      <name val="Overpass"/>
      <scheme val="major"/>
    </font>
    <font>
      <b/>
      <sz val="14"/>
      <color theme="4"/>
      <name val="Overpass"/>
      <scheme val="minor"/>
    </font>
    <font>
      <b/>
      <sz val="16"/>
      <color theme="0"/>
      <name val="Overpass"/>
      <scheme val="minor"/>
    </font>
    <font>
      <b/>
      <sz val="12"/>
      <color theme="1"/>
      <name val="Overpass"/>
      <scheme val="minor"/>
    </font>
    <font>
      <sz val="12"/>
      <name val="Overpass"/>
      <scheme val="minor"/>
    </font>
    <font>
      <b/>
      <sz val="12"/>
      <color theme="4"/>
      <name val="Overpass"/>
      <scheme val="major"/>
    </font>
    <font>
      <b/>
      <sz val="18"/>
      <color theme="0"/>
      <name val="Overpass"/>
      <family val="2"/>
      <scheme val="minor"/>
    </font>
    <font>
      <vertAlign val="superscript"/>
      <sz val="12"/>
      <color theme="4"/>
      <name val="Overpass"/>
      <scheme val="minor"/>
    </font>
    <font>
      <sz val="16"/>
      <color theme="4"/>
      <name val="Overpass"/>
      <scheme val="minor"/>
    </font>
    <font>
      <sz val="11"/>
      <color theme="0"/>
      <name val="Overpass"/>
      <scheme val="minor"/>
    </font>
    <font>
      <sz val="12"/>
      <color theme="4"/>
      <name val="Overpass"/>
      <family val="2"/>
      <scheme val="minor"/>
    </font>
    <font>
      <b/>
      <sz val="11"/>
      <color theme="1"/>
      <name val="Overpass"/>
      <scheme val="minor"/>
    </font>
    <font>
      <b/>
      <sz val="14"/>
      <color theme="0"/>
      <name val="Overpass"/>
      <scheme val="minor"/>
    </font>
    <font>
      <b/>
      <sz val="14"/>
      <color theme="0"/>
      <name val="Overpass"/>
    </font>
    <font>
      <b/>
      <sz val="12"/>
      <name val="Overpass"/>
    </font>
    <font>
      <b/>
      <u/>
      <sz val="12"/>
      <name val="Overpass"/>
    </font>
    <font>
      <b/>
      <sz val="12"/>
      <color rgb="FFAF211A"/>
      <name val="Overpass"/>
    </font>
    <font>
      <b/>
      <sz val="22"/>
      <name val="Overpass"/>
    </font>
    <font>
      <b/>
      <sz val="14"/>
      <name val="Overpass"/>
    </font>
    <font>
      <b/>
      <sz val="18"/>
      <color theme="0"/>
      <name val="Overpass"/>
    </font>
    <font>
      <sz val="12"/>
      <color theme="1"/>
      <name val="Overpass"/>
    </font>
    <font>
      <sz val="12"/>
      <color theme="4"/>
      <name val="Overpass"/>
    </font>
    <font>
      <b/>
      <sz val="11"/>
      <color rgb="FFAF211A"/>
      <name val="Overpass"/>
      <scheme val="minor"/>
    </font>
    <font>
      <b/>
      <sz val="11"/>
      <color rgb="FF003E52"/>
      <name val="Overpass"/>
      <scheme val="minor"/>
    </font>
    <font>
      <b/>
      <sz val="20"/>
      <name val="Overpass"/>
    </font>
    <font>
      <sz val="11"/>
      <color theme="1"/>
      <name val="Overpass"/>
      <scheme val="minor"/>
    </font>
    <font>
      <sz val="12"/>
      <color theme="1"/>
      <name val="Overpass"/>
      <scheme val="minor"/>
    </font>
    <font>
      <b/>
      <sz val="20"/>
      <color theme="1"/>
      <name val="Overpass"/>
      <scheme val="major"/>
    </font>
    <font>
      <b/>
      <sz val="12"/>
      <color theme="1"/>
      <name val="Overpass"/>
    </font>
    <font>
      <i/>
      <sz val="11"/>
      <color theme="1"/>
      <name val="Overpass"/>
      <scheme val="minor"/>
    </font>
    <font>
      <b/>
      <sz val="12"/>
      <name val="Overpass"/>
      <scheme val="minor"/>
    </font>
    <font>
      <b/>
      <sz val="12"/>
      <name val="Overpass"/>
      <scheme val="major"/>
    </font>
    <font>
      <b/>
      <sz val="14"/>
      <color theme="1"/>
      <name val="Overpass"/>
      <scheme val="minor"/>
    </font>
    <font>
      <i/>
      <sz val="12"/>
      <color theme="1"/>
      <name val="Overpass"/>
      <scheme val="minor"/>
    </font>
    <font>
      <b/>
      <sz val="14"/>
      <name val="Overpass"/>
      <scheme val="minor"/>
    </font>
    <font>
      <b/>
      <sz val="18"/>
      <color theme="0"/>
      <name val="Overpass"/>
      <scheme val="minor"/>
    </font>
    <font>
      <u/>
      <sz val="10"/>
      <color indexed="12"/>
      <name val="Overpass"/>
      <scheme val="minor"/>
    </font>
    <font>
      <u/>
      <sz val="12"/>
      <color theme="10"/>
      <name val="Overpass"/>
      <scheme val="minor"/>
    </font>
    <font>
      <b/>
      <sz val="13"/>
      <color theme="0"/>
      <name val="Overpass"/>
      <scheme val="minor"/>
    </font>
    <font>
      <u/>
      <sz val="11"/>
      <color indexed="12"/>
      <name val="Overpass"/>
      <scheme val="minor"/>
    </font>
    <font>
      <u/>
      <sz val="11"/>
      <color theme="10"/>
      <name val="Overpass"/>
      <scheme val="minor"/>
    </font>
    <font>
      <b/>
      <sz val="12"/>
      <color theme="0"/>
      <name val="Overpass"/>
    </font>
    <font>
      <b/>
      <sz val="13.5"/>
      <color theme="0"/>
      <name val="Overpass"/>
    </font>
    <font>
      <b/>
      <sz val="12.5"/>
      <color theme="0"/>
      <name val="Overpass"/>
    </font>
    <font>
      <b/>
      <u/>
      <sz val="11"/>
      <name val="Overpass"/>
      <scheme val="minor"/>
    </font>
    <font>
      <b/>
      <sz val="11"/>
      <name val="Overpass"/>
      <scheme val="minor"/>
    </font>
    <font>
      <b/>
      <sz val="16"/>
      <color theme="0"/>
      <name val="Overpass"/>
    </font>
    <font>
      <sz val="12"/>
      <color theme="1"/>
      <name val="Overpass"/>
      <family val="2"/>
      <scheme val="minor"/>
    </font>
    <font>
      <b/>
      <sz val="14"/>
      <color theme="1"/>
      <name val="Overpass"/>
    </font>
    <font>
      <b/>
      <sz val="12"/>
      <color theme="1"/>
      <name val="Overpass"/>
      <scheme val="major"/>
    </font>
    <font>
      <sz val="12"/>
      <color theme="1"/>
      <name val="Overpass"/>
      <scheme val="major"/>
    </font>
    <font>
      <b/>
      <sz val="12"/>
      <color theme="1"/>
      <name val="Overpass"/>
      <family val="2"/>
      <scheme val="minor"/>
    </font>
    <font>
      <b/>
      <sz val="12"/>
      <color theme="3"/>
      <name val="Overpass"/>
      <scheme val="minor"/>
    </font>
    <font>
      <sz val="12"/>
      <color theme="3"/>
      <name val="Overpass"/>
      <scheme val="minor"/>
    </font>
    <font>
      <b/>
      <sz val="12"/>
      <color theme="0"/>
      <name val="Overpass"/>
      <family val="2"/>
      <scheme val="minor"/>
    </font>
    <font>
      <b/>
      <sz val="12"/>
      <color theme="4"/>
      <name val="Overpass"/>
    </font>
    <font>
      <sz val="10"/>
      <color theme="4"/>
      <name val="Overpass"/>
      <family val="2"/>
      <scheme val="minor"/>
    </font>
    <font>
      <b/>
      <sz val="11"/>
      <color theme="3"/>
      <name val="Overpass"/>
      <family val="2"/>
    </font>
    <font>
      <sz val="11"/>
      <color theme="0"/>
      <name val="Overpass"/>
      <family val="2"/>
    </font>
    <font>
      <b/>
      <u/>
      <sz val="12"/>
      <name val="Overpass"/>
      <scheme val="minor"/>
    </font>
    <font>
      <b/>
      <sz val="12"/>
      <color rgb="FFAF211A"/>
      <name val="Overpass"/>
      <scheme val="minor"/>
    </font>
    <font>
      <sz val="12"/>
      <name val="Overpass"/>
    </font>
    <font>
      <b/>
      <sz val="12"/>
      <color rgb="FF003E52"/>
      <name val="Overpass"/>
      <scheme val="minor"/>
    </font>
    <font>
      <b/>
      <sz val="12"/>
      <color theme="5"/>
      <name val="Overpass"/>
      <scheme val="minor"/>
    </font>
    <font>
      <b/>
      <sz val="16"/>
      <color theme="1"/>
      <name val="Overpass"/>
      <scheme val="minor"/>
    </font>
    <font>
      <sz val="22"/>
      <color theme="4"/>
      <name val="Overpass"/>
      <scheme val="minor"/>
    </font>
    <font>
      <b/>
      <sz val="24"/>
      <color theme="1"/>
      <name val="Overpass"/>
      <scheme val="minor"/>
    </font>
    <font>
      <b/>
      <sz val="18"/>
      <color theme="1"/>
      <name val="Overpass"/>
      <scheme val="minor"/>
    </font>
    <font>
      <sz val="18"/>
      <color theme="4"/>
      <name val="Overpass"/>
      <scheme val="minor"/>
    </font>
    <font>
      <b/>
      <sz val="24"/>
      <color theme="1"/>
      <name val="Overpass"/>
      <scheme val="major"/>
    </font>
    <font>
      <b/>
      <sz val="18"/>
      <color theme="1"/>
      <name val="Overpass"/>
      <scheme val="major"/>
    </font>
    <font>
      <b/>
      <sz val="24"/>
      <name val="Overpass"/>
      <scheme val="major"/>
    </font>
    <font>
      <u/>
      <sz val="12"/>
      <color indexed="12"/>
      <name val="Overpass"/>
      <scheme val="major"/>
    </font>
    <font>
      <b/>
      <sz val="14"/>
      <color theme="0"/>
      <name val="Overpass"/>
      <family val="2"/>
      <scheme val="minor"/>
    </font>
    <font>
      <u/>
      <sz val="12"/>
      <color theme="10"/>
      <name val="Overpass"/>
    </font>
    <font>
      <sz val="12"/>
      <color theme="1"/>
      <name val="Overpass"/>
      <family val="2"/>
    </font>
    <font>
      <b/>
      <sz val="12"/>
      <color theme="0"/>
      <name val="Overpass"/>
      <family val="2"/>
    </font>
    <font>
      <b/>
      <sz val="12"/>
      <color theme="1"/>
      <name val="Overpass"/>
      <family val="2"/>
    </font>
    <font>
      <b/>
      <sz val="12"/>
      <color theme="4"/>
      <name val="Overpass"/>
      <family val="2"/>
    </font>
    <font>
      <u/>
      <sz val="12"/>
      <color theme="11"/>
      <name val="Overpass"/>
    </font>
    <font>
      <b/>
      <sz val="18"/>
      <color theme="4"/>
      <name val="Overpass"/>
      <family val="2"/>
      <scheme val="major"/>
    </font>
    <font>
      <i/>
      <sz val="12"/>
      <color theme="1"/>
      <name val="Overpass"/>
      <family val="2"/>
    </font>
    <font>
      <sz val="14"/>
      <color theme="4"/>
      <name val="Overpass"/>
      <scheme val="minor"/>
    </font>
    <font>
      <b/>
      <sz val="16"/>
      <color theme="0"/>
      <name val="Overpass"/>
      <family val="2"/>
      <scheme val="minor"/>
    </font>
    <font>
      <b/>
      <u/>
      <sz val="12"/>
      <color theme="10"/>
      <name val="Overpass"/>
      <scheme val="minor"/>
    </font>
    <font>
      <b/>
      <sz val="14"/>
      <color theme="1"/>
      <name val="Overpass"/>
      <family val="2"/>
      <scheme val="minor"/>
    </font>
    <font>
      <b/>
      <sz val="16"/>
      <name val="Overpass"/>
    </font>
    <font>
      <sz val="12"/>
      <color theme="4"/>
      <name val="Besley"/>
      <family val="2"/>
    </font>
    <font>
      <b/>
      <sz val="12"/>
      <color theme="0"/>
      <name val="Besley"/>
      <family val="2"/>
    </font>
    <font>
      <b/>
      <sz val="22"/>
      <color theme="0"/>
      <name val="Overpass"/>
      <scheme val="minor"/>
    </font>
    <font>
      <b/>
      <sz val="14"/>
      <color theme="0"/>
      <name val="Overpass"/>
      <scheme val="major"/>
    </font>
    <font>
      <b/>
      <sz val="14"/>
      <color theme="1"/>
      <name val="Overpass"/>
      <scheme val="major"/>
    </font>
    <font>
      <b/>
      <sz val="16"/>
      <color theme="1"/>
      <name val="Overpass"/>
    </font>
    <font>
      <sz val="14"/>
      <name val="Overpass"/>
      <scheme val="minor"/>
    </font>
    <font>
      <sz val="14"/>
      <color rgb="FF003E52"/>
      <name val="Overpass"/>
      <scheme val="minor"/>
    </font>
    <font>
      <b/>
      <sz val="22"/>
      <name val="Overpass"/>
      <scheme val="major"/>
    </font>
    <font>
      <sz val="14"/>
      <color theme="4"/>
      <name val="Overpass"/>
    </font>
    <font>
      <b/>
      <sz val="20"/>
      <color theme="1"/>
      <name val="Overpass"/>
      <scheme val="minor"/>
    </font>
    <font>
      <sz val="20"/>
      <color theme="4"/>
      <name val="Overpass"/>
      <scheme val="minor"/>
    </font>
  </fonts>
  <fills count="27">
    <fill>
      <patternFill patternType="none"/>
    </fill>
    <fill>
      <patternFill patternType="gray125"/>
    </fill>
    <fill>
      <patternFill patternType="solid">
        <fgColor theme="0"/>
        <bgColor indexed="64"/>
      </patternFill>
    </fill>
    <fill>
      <patternFill patternType="solid">
        <fgColor theme="4"/>
        <bgColor indexed="64"/>
      </patternFill>
    </fill>
    <fill>
      <patternFill patternType="solid">
        <fgColor theme="5"/>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A8EAFF"/>
        <bgColor indexed="64"/>
      </patternFill>
    </fill>
    <fill>
      <patternFill patternType="solid">
        <fgColor theme="8"/>
        <bgColor indexed="64"/>
      </patternFill>
    </fill>
    <fill>
      <patternFill patternType="solid">
        <fgColor theme="4"/>
      </patternFill>
    </fill>
    <fill>
      <patternFill patternType="solid">
        <fgColor theme="4" tint="0.89999084444715716"/>
        <bgColor indexed="64"/>
      </patternFill>
    </fill>
    <fill>
      <patternFill patternType="solid">
        <fgColor rgb="FF003E52"/>
        <bgColor indexed="64"/>
      </patternFill>
    </fill>
    <fill>
      <patternFill patternType="solid">
        <fgColor theme="6"/>
        <bgColor indexed="64"/>
      </patternFill>
    </fill>
    <fill>
      <patternFill patternType="solid">
        <fgColor rgb="FF92D050"/>
        <bgColor indexed="64"/>
      </patternFill>
    </fill>
    <fill>
      <patternFill patternType="solid">
        <fgColor rgb="FFFFFF00"/>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rgb="FFFFFFCC"/>
      </patternFill>
    </fill>
    <fill>
      <patternFill patternType="solid">
        <fgColor rgb="FFFFFFCC"/>
        <bgColor indexed="64"/>
      </patternFill>
    </fill>
    <fill>
      <patternFill patternType="solid">
        <fgColor theme="4" tint="0.89996032593768116"/>
        <bgColor indexed="64"/>
      </patternFill>
    </fill>
    <fill>
      <patternFill patternType="solid">
        <fgColor rgb="FFAF211A"/>
        <bgColor indexed="64"/>
      </patternFill>
    </fill>
    <fill>
      <patternFill patternType="solid">
        <fgColor rgb="FF8DDB81"/>
        <bgColor indexed="64"/>
      </patternFill>
    </fill>
    <fill>
      <patternFill patternType="solid">
        <fgColor rgb="FF87D1E6"/>
        <bgColor indexed="64"/>
      </patternFill>
    </fill>
    <fill>
      <patternFill patternType="solid">
        <fgColor theme="1"/>
        <bgColor indexed="64"/>
      </patternFill>
    </fill>
    <fill>
      <patternFill patternType="solid">
        <fgColor theme="0"/>
        <bgColor theme="4" tint="0.79998168889431442"/>
      </patternFill>
    </fill>
    <fill>
      <gradientFill>
        <stop position="0">
          <color theme="0"/>
        </stop>
        <stop position="0.5">
          <color rgb="FFF9F9F9"/>
        </stop>
        <stop position="1">
          <color theme="0"/>
        </stop>
      </gradientFill>
    </fill>
    <fill>
      <patternFill patternType="solid">
        <fgColor theme="5" tint="0.79998168889431442"/>
        <bgColor theme="4" tint="0.79998168889431442"/>
      </patternFill>
    </fill>
  </fills>
  <borders count="152">
    <border>
      <left/>
      <right/>
      <top/>
      <bottom/>
      <diagonal/>
    </border>
    <border>
      <left/>
      <right/>
      <top/>
      <bottom style="thick">
        <color theme="4" tint="0.499984740745262"/>
      </bottom>
      <diagonal/>
    </border>
    <border>
      <left/>
      <right/>
      <top style="thin">
        <color theme="4"/>
      </top>
      <bottom style="thin">
        <color theme="4"/>
      </bottom>
      <diagonal/>
    </border>
    <border>
      <left/>
      <right/>
      <top/>
      <bottom style="thin">
        <color theme="4"/>
      </bottom>
      <diagonal/>
    </border>
    <border>
      <left/>
      <right/>
      <top style="thin">
        <color theme="4"/>
      </top>
      <bottom/>
      <diagonal/>
    </border>
    <border>
      <left style="thin">
        <color theme="4"/>
      </left>
      <right style="thin">
        <color theme="4"/>
      </right>
      <top style="thin">
        <color theme="4"/>
      </top>
      <bottom style="thin">
        <color theme="4"/>
      </bottom>
      <diagonal/>
    </border>
    <border>
      <left style="thin">
        <color theme="4"/>
      </left>
      <right/>
      <top/>
      <bottom/>
      <diagonal/>
    </border>
    <border>
      <left style="thin">
        <color theme="4"/>
      </left>
      <right/>
      <top style="thin">
        <color theme="4"/>
      </top>
      <bottom style="thin">
        <color theme="4"/>
      </bottom>
      <diagonal/>
    </border>
    <border>
      <left/>
      <right style="thin">
        <color theme="4"/>
      </right>
      <top style="thin">
        <color theme="4"/>
      </top>
      <bottom style="thin">
        <color theme="4"/>
      </bottom>
      <diagonal/>
    </border>
    <border>
      <left/>
      <right style="thin">
        <color theme="4"/>
      </right>
      <top/>
      <bottom/>
      <diagonal/>
    </border>
    <border>
      <left style="thin">
        <color theme="4"/>
      </left>
      <right/>
      <top/>
      <bottom style="thin">
        <color theme="4"/>
      </bottom>
      <diagonal/>
    </border>
    <border>
      <left/>
      <right style="thin">
        <color theme="4"/>
      </right>
      <top/>
      <bottom style="thin">
        <color theme="4"/>
      </bottom>
      <diagonal/>
    </border>
    <border>
      <left/>
      <right/>
      <top/>
      <bottom style="medium">
        <color theme="4"/>
      </bottom>
      <diagonal/>
    </border>
    <border>
      <left style="thin">
        <color theme="4"/>
      </left>
      <right/>
      <top style="thin">
        <color theme="4"/>
      </top>
      <bottom/>
      <diagonal/>
    </border>
    <border>
      <left/>
      <right style="thin">
        <color theme="4"/>
      </right>
      <top style="thin">
        <color theme="4"/>
      </top>
      <bottom/>
      <diagonal/>
    </border>
    <border>
      <left style="thin">
        <color theme="4"/>
      </left>
      <right style="thin">
        <color theme="4"/>
      </right>
      <top/>
      <bottom/>
      <diagonal/>
    </border>
    <border>
      <left style="thin">
        <color theme="4"/>
      </left>
      <right style="thin">
        <color theme="4"/>
      </right>
      <top/>
      <bottom style="thin">
        <color theme="4"/>
      </bottom>
      <diagonal/>
    </border>
    <border>
      <left/>
      <right style="medium">
        <color theme="5"/>
      </right>
      <top style="thin">
        <color theme="4"/>
      </top>
      <bottom/>
      <diagonal/>
    </border>
    <border>
      <left/>
      <right/>
      <top style="double">
        <color theme="4"/>
      </top>
      <bottom style="thin">
        <color theme="4"/>
      </bottom>
      <diagonal/>
    </border>
    <border>
      <left/>
      <right/>
      <top/>
      <bottom style="medium">
        <color theme="4" tint="0.39997558519241921"/>
      </bottom>
      <diagonal/>
    </border>
    <border>
      <left/>
      <right/>
      <top/>
      <bottom style="thin">
        <color theme="0"/>
      </bottom>
      <diagonal/>
    </border>
    <border>
      <left style="thin">
        <color theme="9"/>
      </left>
      <right/>
      <top/>
      <bottom/>
      <diagonal/>
    </border>
    <border>
      <left/>
      <right style="thin">
        <color theme="9"/>
      </right>
      <top/>
      <bottom/>
      <diagonal/>
    </border>
    <border>
      <left style="thin">
        <color theme="4"/>
      </left>
      <right style="medium">
        <color theme="4"/>
      </right>
      <top/>
      <bottom/>
      <diagonal/>
    </border>
    <border>
      <left style="thin">
        <color theme="4"/>
      </left>
      <right style="thin">
        <color theme="4"/>
      </right>
      <top style="thin">
        <color theme="4"/>
      </top>
      <bottom/>
      <diagonal/>
    </border>
    <border>
      <left style="medium">
        <color theme="4"/>
      </left>
      <right/>
      <top style="medium">
        <color theme="4"/>
      </top>
      <bottom/>
      <diagonal/>
    </border>
    <border>
      <left/>
      <right style="medium">
        <color theme="4"/>
      </right>
      <top style="medium">
        <color theme="4"/>
      </top>
      <bottom/>
      <diagonal/>
    </border>
    <border>
      <left style="medium">
        <color theme="4"/>
      </left>
      <right/>
      <top/>
      <bottom/>
      <diagonal/>
    </border>
    <border>
      <left style="medium">
        <color theme="4"/>
      </left>
      <right/>
      <top/>
      <bottom style="medium">
        <color theme="4"/>
      </bottom>
      <diagonal/>
    </border>
    <border>
      <left style="medium">
        <color theme="4"/>
      </left>
      <right style="thin">
        <color theme="4"/>
      </right>
      <top/>
      <bottom/>
      <diagonal/>
    </border>
    <border>
      <left/>
      <right/>
      <top/>
      <bottom style="medium">
        <color theme="3"/>
      </bottom>
      <diagonal/>
    </border>
    <border>
      <left/>
      <right/>
      <top style="medium">
        <color theme="3"/>
      </top>
      <bottom/>
      <diagonal/>
    </border>
    <border>
      <left style="thin">
        <color theme="4"/>
      </left>
      <right/>
      <top style="thin">
        <color theme="4"/>
      </top>
      <bottom style="thin">
        <color theme="0" tint="-0.14996795556505021"/>
      </bottom>
      <diagonal/>
    </border>
    <border>
      <left/>
      <right/>
      <top style="thin">
        <color theme="4"/>
      </top>
      <bottom style="thin">
        <color theme="0" tint="-0.14996795556505021"/>
      </bottom>
      <diagonal/>
    </border>
    <border>
      <left/>
      <right style="thin">
        <color theme="4"/>
      </right>
      <top style="thin">
        <color theme="4"/>
      </top>
      <bottom style="thin">
        <color theme="0" tint="-0.14996795556505021"/>
      </bottom>
      <diagonal/>
    </border>
    <border>
      <left style="thin">
        <color theme="4"/>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4"/>
      </right>
      <top style="thin">
        <color theme="0" tint="-0.14996795556505021"/>
      </top>
      <bottom style="thin">
        <color theme="0" tint="-0.14996795556505021"/>
      </bottom>
      <diagonal/>
    </border>
    <border>
      <left style="thin">
        <color theme="4"/>
      </left>
      <right/>
      <top style="thin">
        <color theme="0" tint="-0.14996795556505021"/>
      </top>
      <bottom style="thin">
        <color theme="4"/>
      </bottom>
      <diagonal/>
    </border>
    <border>
      <left/>
      <right/>
      <top style="thin">
        <color theme="0" tint="-0.14996795556505021"/>
      </top>
      <bottom style="thin">
        <color theme="4"/>
      </bottom>
      <diagonal/>
    </border>
    <border>
      <left/>
      <right style="thin">
        <color theme="4"/>
      </right>
      <top style="thin">
        <color theme="0" tint="-0.14996795556505021"/>
      </top>
      <bottom style="thin">
        <color theme="4"/>
      </bottom>
      <diagonal/>
    </border>
    <border>
      <left style="thin">
        <color theme="4"/>
      </left>
      <right/>
      <top style="thin">
        <color theme="0" tint="-0.14996795556505021"/>
      </top>
      <bottom style="thin">
        <color theme="0" tint="-4.9989318521683403E-2"/>
      </bottom>
      <diagonal/>
    </border>
    <border>
      <left/>
      <right/>
      <top style="thin">
        <color theme="0" tint="-0.14996795556505021"/>
      </top>
      <bottom style="thin">
        <color theme="0" tint="-4.9989318521683403E-2"/>
      </bottom>
      <diagonal/>
    </border>
    <border>
      <left/>
      <right style="thin">
        <color theme="4"/>
      </right>
      <top style="thin">
        <color theme="0" tint="-0.14996795556505021"/>
      </top>
      <bottom style="thin">
        <color theme="0" tint="-4.9989318521683403E-2"/>
      </bottom>
      <diagonal/>
    </border>
    <border>
      <left style="thin">
        <color theme="4"/>
      </left>
      <right/>
      <top style="thin">
        <color theme="0" tint="-4.9989318521683403E-2"/>
      </top>
      <bottom style="thin">
        <color theme="4"/>
      </bottom>
      <diagonal/>
    </border>
    <border>
      <left/>
      <right/>
      <top style="thin">
        <color theme="0" tint="-4.9989318521683403E-2"/>
      </top>
      <bottom style="thin">
        <color theme="4"/>
      </bottom>
      <diagonal/>
    </border>
    <border>
      <left/>
      <right style="thin">
        <color theme="4"/>
      </right>
      <top style="thin">
        <color theme="0" tint="-4.9989318521683403E-2"/>
      </top>
      <bottom style="thin">
        <color theme="4"/>
      </bottom>
      <diagonal/>
    </border>
    <border>
      <left style="thin">
        <color theme="4"/>
      </left>
      <right style="thin">
        <color theme="4"/>
      </right>
      <top style="thin">
        <color theme="0" tint="-0.14996795556505021"/>
      </top>
      <bottom style="thin">
        <color theme="0" tint="-0.14996795556505021"/>
      </bottom>
      <diagonal/>
    </border>
    <border>
      <left style="thin">
        <color theme="4"/>
      </left>
      <right/>
      <top style="thin">
        <color theme="0" tint="-0.14996795556505021"/>
      </top>
      <bottom/>
      <diagonal/>
    </border>
    <border>
      <left/>
      <right/>
      <top style="thin">
        <color theme="0" tint="-0.14996795556505021"/>
      </top>
      <bottom/>
      <diagonal/>
    </border>
    <border>
      <left/>
      <right style="thin">
        <color theme="4"/>
      </right>
      <top style="thin">
        <color theme="0" tint="-0.14996795556505021"/>
      </top>
      <bottom/>
      <diagonal/>
    </border>
    <border>
      <left style="thin">
        <color theme="4"/>
      </left>
      <right style="thin">
        <color theme="4"/>
      </right>
      <top style="thin">
        <color theme="0" tint="-0.14996795556505021"/>
      </top>
      <bottom/>
      <diagonal/>
    </border>
    <border>
      <left style="thin">
        <color theme="0"/>
      </left>
      <right/>
      <top/>
      <bottom/>
      <diagonal/>
    </border>
    <border>
      <left style="thin">
        <color theme="4"/>
      </left>
      <right style="thin">
        <color theme="4"/>
      </right>
      <top style="thin">
        <color theme="4"/>
      </top>
      <bottom style="thin">
        <color theme="0"/>
      </bottom>
      <diagonal/>
    </border>
    <border>
      <left style="thin">
        <color theme="4"/>
      </left>
      <right style="thin">
        <color theme="4"/>
      </right>
      <top style="thin">
        <color theme="0"/>
      </top>
      <bottom style="thin">
        <color theme="0"/>
      </bottom>
      <diagonal/>
    </border>
    <border>
      <left style="thin">
        <color theme="4"/>
      </left>
      <right style="thin">
        <color theme="4"/>
      </right>
      <top style="thin">
        <color theme="0"/>
      </top>
      <bottom style="thin">
        <color theme="4"/>
      </bottom>
      <diagonal/>
    </border>
    <border>
      <left style="thin">
        <color theme="4"/>
      </left>
      <right style="thin">
        <color theme="4"/>
      </right>
      <top style="thin">
        <color theme="0"/>
      </top>
      <bottom/>
      <diagonal/>
    </border>
    <border>
      <left style="thin">
        <color theme="4"/>
      </left>
      <right style="thin">
        <color theme="4"/>
      </right>
      <top style="thin">
        <color theme="0" tint="-0.14996795556505021"/>
      </top>
      <bottom style="thin">
        <color theme="4"/>
      </bottom>
      <diagonal/>
    </border>
    <border>
      <left style="thin">
        <color theme="4"/>
      </left>
      <right style="thin">
        <color theme="4"/>
      </right>
      <top style="thin">
        <color theme="4"/>
      </top>
      <bottom style="thin">
        <color theme="0" tint="-4.9989318521683403E-2"/>
      </bottom>
      <diagonal/>
    </border>
    <border>
      <left style="thin">
        <color theme="4"/>
      </left>
      <right/>
      <top/>
      <bottom style="thin">
        <color theme="0" tint="-0.14996795556505021"/>
      </bottom>
      <diagonal/>
    </border>
    <border>
      <left/>
      <right/>
      <top/>
      <bottom style="thin">
        <color theme="0" tint="-0.14996795556505021"/>
      </bottom>
      <diagonal/>
    </border>
    <border>
      <left/>
      <right style="thin">
        <color theme="4"/>
      </right>
      <top/>
      <bottom style="thin">
        <color theme="0" tint="-0.14996795556505021"/>
      </bottom>
      <diagonal/>
    </border>
    <border>
      <left style="thin">
        <color theme="4"/>
      </left>
      <right style="thin">
        <color theme="4"/>
      </right>
      <top/>
      <bottom style="thin">
        <color theme="0" tint="-0.14996795556505021"/>
      </bottom>
      <diagonal/>
    </border>
    <border>
      <left style="thin">
        <color theme="4"/>
      </left>
      <right style="thin">
        <color theme="4"/>
      </right>
      <top/>
      <bottom style="thin">
        <color theme="0"/>
      </bottom>
      <diagonal/>
    </border>
    <border>
      <left style="thin">
        <color theme="4"/>
      </left>
      <right/>
      <top style="thin">
        <color theme="4"/>
      </top>
      <bottom style="thin">
        <color theme="0" tint="-4.9989318521683403E-2"/>
      </bottom>
      <diagonal/>
    </border>
    <border>
      <left/>
      <right/>
      <top style="thin">
        <color theme="4"/>
      </top>
      <bottom style="thin">
        <color theme="0" tint="-4.9989318521683403E-2"/>
      </bottom>
      <diagonal/>
    </border>
    <border>
      <left/>
      <right style="thin">
        <color theme="4"/>
      </right>
      <top style="thin">
        <color theme="4"/>
      </top>
      <bottom style="thin">
        <color theme="0" tint="-4.9989318521683403E-2"/>
      </bottom>
      <diagonal/>
    </border>
    <border>
      <left style="thin">
        <color theme="4"/>
      </left>
      <right style="thin">
        <color theme="4"/>
      </right>
      <top style="thin">
        <color theme="0" tint="-4.9989318521683403E-2"/>
      </top>
      <bottom style="thin">
        <color theme="0" tint="-4.9989318521683403E-2"/>
      </bottom>
      <diagonal/>
    </border>
    <border>
      <left style="thin">
        <color theme="4"/>
      </left>
      <right style="thin">
        <color theme="4"/>
      </right>
      <top style="thin">
        <color theme="0" tint="-4.9989318521683403E-2"/>
      </top>
      <bottom style="thin">
        <color theme="4"/>
      </bottom>
      <diagonal/>
    </border>
    <border>
      <left/>
      <right/>
      <top style="medium">
        <color theme="4"/>
      </top>
      <bottom/>
      <diagonal/>
    </border>
    <border>
      <left style="medium">
        <color theme="4"/>
      </left>
      <right/>
      <top style="thin">
        <color theme="4"/>
      </top>
      <bottom style="thin">
        <color theme="0" tint="-4.9989318521683403E-2"/>
      </bottom>
      <diagonal/>
    </border>
    <border>
      <left style="medium">
        <color theme="4"/>
      </left>
      <right/>
      <top style="thin">
        <color theme="0" tint="-0.14996795556505021"/>
      </top>
      <bottom style="thin">
        <color theme="0" tint="-0.14996795556505021"/>
      </bottom>
      <diagonal/>
    </border>
    <border>
      <left style="thin">
        <color theme="4"/>
      </left>
      <right style="medium">
        <color theme="4"/>
      </right>
      <top style="thin">
        <color theme="0" tint="-0.14996795556505021"/>
      </top>
      <bottom style="thin">
        <color theme="0" tint="-0.14996795556505021"/>
      </bottom>
      <diagonal/>
    </border>
    <border>
      <left style="medium">
        <color theme="4"/>
      </left>
      <right/>
      <top style="thin">
        <color theme="0" tint="-0.14996795556505021"/>
      </top>
      <bottom style="medium">
        <color theme="4"/>
      </bottom>
      <diagonal/>
    </border>
    <border>
      <left/>
      <right/>
      <top style="thin">
        <color theme="0" tint="-0.14996795556505021"/>
      </top>
      <bottom style="medium">
        <color theme="4"/>
      </bottom>
      <diagonal/>
    </border>
    <border>
      <left/>
      <right style="thin">
        <color theme="4"/>
      </right>
      <top style="thin">
        <color theme="0" tint="-0.14996795556505021"/>
      </top>
      <bottom style="medium">
        <color theme="4"/>
      </bottom>
      <diagonal/>
    </border>
    <border>
      <left style="thin">
        <color theme="4"/>
      </left>
      <right style="thin">
        <color theme="4"/>
      </right>
      <top style="thin">
        <color theme="0" tint="-0.14996795556505021"/>
      </top>
      <bottom style="medium">
        <color theme="4"/>
      </bottom>
      <diagonal/>
    </border>
    <border>
      <left style="thin">
        <color theme="4"/>
      </left>
      <right style="medium">
        <color theme="4"/>
      </right>
      <top style="thin">
        <color theme="0" tint="-0.14996795556505021"/>
      </top>
      <bottom style="medium">
        <color theme="4"/>
      </bottom>
      <diagonal/>
    </border>
    <border>
      <left style="medium">
        <color theme="4"/>
      </left>
      <right/>
      <top/>
      <bottom style="thin">
        <color theme="0" tint="-4.9989318521683403E-2"/>
      </bottom>
      <diagonal/>
    </border>
    <border>
      <left/>
      <right/>
      <top/>
      <bottom style="thin">
        <color theme="0" tint="-4.9989318521683403E-2"/>
      </bottom>
      <diagonal/>
    </border>
    <border>
      <left/>
      <right style="thin">
        <color theme="4"/>
      </right>
      <top/>
      <bottom style="thin">
        <color theme="0" tint="-4.9989318521683403E-2"/>
      </bottom>
      <diagonal/>
    </border>
    <border>
      <left style="thin">
        <color theme="4"/>
      </left>
      <right style="thin">
        <color theme="4"/>
      </right>
      <top/>
      <bottom style="thin">
        <color theme="0" tint="-4.9989318521683403E-2"/>
      </bottom>
      <diagonal/>
    </border>
    <border>
      <left style="medium">
        <color theme="4"/>
      </left>
      <right/>
      <top style="medium">
        <color theme="4"/>
      </top>
      <bottom style="medium">
        <color theme="4"/>
      </bottom>
      <diagonal/>
    </border>
    <border>
      <left/>
      <right/>
      <top style="medium">
        <color theme="4"/>
      </top>
      <bottom style="medium">
        <color theme="4"/>
      </bottom>
      <diagonal/>
    </border>
    <border>
      <left/>
      <right style="medium">
        <color theme="4"/>
      </right>
      <top style="medium">
        <color theme="4"/>
      </top>
      <bottom style="medium">
        <color theme="4"/>
      </bottom>
      <diagonal/>
    </border>
    <border>
      <left style="thin">
        <color theme="4"/>
      </left>
      <right/>
      <top style="medium">
        <color theme="4"/>
      </top>
      <bottom style="medium">
        <color theme="4"/>
      </bottom>
      <diagonal/>
    </border>
    <border>
      <left style="medium">
        <color theme="4"/>
      </left>
      <right/>
      <top style="thin">
        <color theme="0" tint="-0.14996795556505021"/>
      </top>
      <bottom style="thin">
        <color theme="4"/>
      </bottom>
      <diagonal/>
    </border>
    <border>
      <left style="medium">
        <color theme="4"/>
      </left>
      <right style="thin">
        <color theme="4"/>
      </right>
      <top style="thin">
        <color theme="4"/>
      </top>
      <bottom style="medium">
        <color theme="4"/>
      </bottom>
      <diagonal/>
    </border>
    <border>
      <left style="thin">
        <color theme="4"/>
      </left>
      <right style="thin">
        <color theme="4"/>
      </right>
      <top style="thin">
        <color theme="4"/>
      </top>
      <bottom style="medium">
        <color theme="4"/>
      </bottom>
      <diagonal/>
    </border>
    <border>
      <left style="thin">
        <color theme="4"/>
      </left>
      <right style="medium">
        <color theme="4"/>
      </right>
      <top style="thin">
        <color theme="4"/>
      </top>
      <bottom style="medium">
        <color theme="4"/>
      </bottom>
      <diagonal/>
    </border>
    <border>
      <left style="medium">
        <color theme="4"/>
      </left>
      <right/>
      <top/>
      <bottom style="thin">
        <color theme="0" tint="-0.14996795556505021"/>
      </bottom>
      <diagonal/>
    </border>
    <border>
      <left style="thin">
        <color theme="4"/>
      </left>
      <right style="medium">
        <color theme="4"/>
      </right>
      <top/>
      <bottom style="thin">
        <color theme="0" tint="-0.14996795556505021"/>
      </bottom>
      <diagonal/>
    </border>
    <border>
      <left style="medium">
        <color theme="4"/>
      </left>
      <right/>
      <top style="medium">
        <color theme="4"/>
      </top>
      <bottom style="thin">
        <color theme="0" tint="-0.14996795556505021"/>
      </bottom>
      <diagonal/>
    </border>
    <border>
      <left/>
      <right/>
      <top style="medium">
        <color theme="4"/>
      </top>
      <bottom style="thin">
        <color theme="0" tint="-0.14996795556505021"/>
      </bottom>
      <diagonal/>
    </border>
    <border>
      <left/>
      <right style="thin">
        <color theme="4"/>
      </right>
      <top style="medium">
        <color theme="4"/>
      </top>
      <bottom style="thin">
        <color theme="0" tint="-0.14996795556505021"/>
      </bottom>
      <diagonal/>
    </border>
    <border>
      <left style="medium">
        <color theme="4"/>
      </left>
      <right style="thin">
        <color theme="4"/>
      </right>
      <top style="medium">
        <color theme="4"/>
      </top>
      <bottom style="medium">
        <color theme="4"/>
      </bottom>
      <diagonal/>
    </border>
    <border>
      <left style="thin">
        <color theme="4"/>
      </left>
      <right style="thin">
        <color theme="4"/>
      </right>
      <top style="medium">
        <color theme="4"/>
      </top>
      <bottom style="medium">
        <color theme="4"/>
      </bottom>
      <diagonal/>
    </border>
    <border>
      <left style="thin">
        <color theme="4"/>
      </left>
      <right style="medium">
        <color theme="4"/>
      </right>
      <top style="medium">
        <color theme="4"/>
      </top>
      <bottom style="medium">
        <color theme="4"/>
      </bottom>
      <diagonal/>
    </border>
    <border>
      <left/>
      <right style="thin">
        <color theme="4"/>
      </right>
      <top style="medium">
        <color theme="4"/>
      </top>
      <bottom style="medium">
        <color theme="4"/>
      </bottom>
      <diagonal/>
    </border>
    <border>
      <left style="medium">
        <color theme="4"/>
      </left>
      <right/>
      <top style="thin">
        <color theme="4"/>
      </top>
      <bottom style="medium">
        <color theme="4"/>
      </bottom>
      <diagonal/>
    </border>
    <border>
      <left/>
      <right/>
      <top style="thin">
        <color theme="4"/>
      </top>
      <bottom style="medium">
        <color theme="4"/>
      </bottom>
      <diagonal/>
    </border>
    <border>
      <left/>
      <right style="thin">
        <color theme="4"/>
      </right>
      <top style="thin">
        <color theme="4"/>
      </top>
      <bottom style="medium">
        <color theme="4"/>
      </bottom>
      <diagonal/>
    </border>
    <border>
      <left/>
      <right style="thin">
        <color theme="4"/>
      </right>
      <top/>
      <bottom style="medium">
        <color theme="4"/>
      </bottom>
      <diagonal/>
    </border>
    <border>
      <left style="thin">
        <color theme="4"/>
      </left>
      <right style="thin">
        <color theme="4"/>
      </right>
      <top style="medium">
        <color theme="4"/>
      </top>
      <bottom style="thin">
        <color theme="0"/>
      </bottom>
      <diagonal/>
    </border>
    <border>
      <left style="thin">
        <color theme="4"/>
      </left>
      <right style="medium">
        <color theme="4"/>
      </right>
      <top style="medium">
        <color theme="4"/>
      </top>
      <bottom style="thin">
        <color theme="0"/>
      </bottom>
      <diagonal/>
    </border>
    <border>
      <left style="thin">
        <color theme="4"/>
      </left>
      <right style="medium">
        <color theme="4"/>
      </right>
      <top style="thin">
        <color theme="0"/>
      </top>
      <bottom style="thin">
        <color theme="0"/>
      </bottom>
      <diagonal/>
    </border>
    <border>
      <left style="thin">
        <color theme="4"/>
      </left>
      <right style="thin">
        <color theme="4"/>
      </right>
      <top style="thin">
        <color theme="0"/>
      </top>
      <bottom style="medium">
        <color theme="4"/>
      </bottom>
      <diagonal/>
    </border>
    <border>
      <left style="thin">
        <color theme="4"/>
      </left>
      <right style="medium">
        <color theme="4"/>
      </right>
      <top style="thin">
        <color theme="0"/>
      </top>
      <bottom style="medium">
        <color theme="4"/>
      </bottom>
      <diagonal/>
    </border>
    <border>
      <left/>
      <right/>
      <top style="thin">
        <color theme="0" tint="-4.9989318521683403E-2"/>
      </top>
      <bottom style="thin">
        <color theme="0" tint="-4.9989318521683403E-2"/>
      </bottom>
      <diagonal/>
    </border>
    <border>
      <left style="medium">
        <color theme="4"/>
      </left>
      <right/>
      <top style="thin">
        <color theme="4"/>
      </top>
      <bottom style="thin">
        <color theme="0" tint="-0.14996795556505021"/>
      </bottom>
      <diagonal/>
    </border>
    <border>
      <left style="thin">
        <color theme="4"/>
      </left>
      <right style="medium">
        <color theme="4"/>
      </right>
      <top style="thin">
        <color theme="4"/>
      </top>
      <bottom style="thin">
        <color theme="0"/>
      </bottom>
      <diagonal/>
    </border>
    <border>
      <left style="thin">
        <color theme="4"/>
      </left>
      <right/>
      <top style="thin">
        <color theme="0"/>
      </top>
      <bottom style="thin">
        <color theme="0"/>
      </bottom>
      <diagonal/>
    </border>
    <border>
      <left/>
      <right/>
      <top style="thin">
        <color theme="0"/>
      </top>
      <bottom style="thin">
        <color theme="0"/>
      </bottom>
      <diagonal/>
    </border>
    <border>
      <left/>
      <right style="medium">
        <color theme="4"/>
      </right>
      <top style="thin">
        <color theme="0"/>
      </top>
      <bottom style="thin">
        <color theme="0"/>
      </bottom>
      <diagonal/>
    </border>
    <border>
      <left style="thin">
        <color theme="4"/>
      </left>
      <right/>
      <top style="thin">
        <color theme="0"/>
      </top>
      <bottom style="medium">
        <color theme="4"/>
      </bottom>
      <diagonal/>
    </border>
    <border>
      <left/>
      <right/>
      <top style="thin">
        <color theme="0"/>
      </top>
      <bottom style="medium">
        <color theme="4"/>
      </bottom>
      <diagonal/>
    </border>
    <border>
      <left/>
      <right style="medium">
        <color theme="4"/>
      </right>
      <top style="thin">
        <color theme="0"/>
      </top>
      <bottom style="medium">
        <color theme="4"/>
      </bottom>
      <diagonal/>
    </border>
    <border>
      <left style="thin">
        <color theme="4"/>
      </left>
      <right style="thin">
        <color theme="0" tint="-0.14996795556505021"/>
      </right>
      <top style="thin">
        <color theme="4"/>
      </top>
      <bottom style="thin">
        <color theme="4"/>
      </bottom>
      <diagonal/>
    </border>
    <border>
      <left style="thin">
        <color theme="4"/>
      </left>
      <right style="thin">
        <color theme="0" tint="-0.14996795556505021"/>
      </right>
      <top/>
      <bottom/>
      <diagonal/>
    </border>
    <border>
      <left style="thin">
        <color theme="4"/>
      </left>
      <right style="thin">
        <color theme="0" tint="-0.14996795556505021"/>
      </right>
      <top/>
      <bottom style="thin">
        <color theme="4"/>
      </bottom>
      <diagonal/>
    </border>
    <border>
      <left style="medium">
        <color theme="4"/>
      </left>
      <right/>
      <top style="thin">
        <color theme="4"/>
      </top>
      <bottom style="thin">
        <color theme="4"/>
      </bottom>
      <diagonal/>
    </border>
    <border>
      <left style="thin">
        <color theme="4"/>
      </left>
      <right style="medium">
        <color theme="4"/>
      </right>
      <top style="thin">
        <color theme="4"/>
      </top>
      <bottom style="thin">
        <color theme="4"/>
      </bottom>
      <diagonal/>
    </border>
    <border>
      <left style="medium">
        <color theme="4"/>
      </left>
      <right style="thin">
        <color theme="4"/>
      </right>
      <top style="thin">
        <color theme="4"/>
      </top>
      <bottom style="thin">
        <color theme="4"/>
      </bottom>
      <diagonal/>
    </border>
    <border>
      <left style="thin">
        <color theme="4"/>
      </left>
      <right/>
      <top style="thin">
        <color theme="4"/>
      </top>
      <bottom style="medium">
        <color theme="4"/>
      </bottom>
      <diagonal/>
    </border>
    <border>
      <left style="medium">
        <color theme="4"/>
      </left>
      <right/>
      <top style="thin">
        <color theme="4"/>
      </top>
      <bottom/>
      <diagonal/>
    </border>
    <border>
      <left/>
      <right style="medium">
        <color theme="4"/>
      </right>
      <top style="thin">
        <color theme="4"/>
      </top>
      <bottom/>
      <diagonal/>
    </border>
    <border>
      <left style="medium">
        <color theme="4"/>
      </left>
      <right/>
      <top/>
      <bottom style="thin">
        <color theme="4"/>
      </bottom>
      <diagonal/>
    </border>
    <border>
      <left/>
      <right style="medium">
        <color theme="4"/>
      </right>
      <top style="thin">
        <color theme="4"/>
      </top>
      <bottom style="thin">
        <color theme="4"/>
      </bottom>
      <diagonal/>
    </border>
    <border>
      <left/>
      <right style="medium">
        <color theme="4"/>
      </right>
      <top/>
      <bottom/>
      <diagonal/>
    </border>
    <border>
      <left/>
      <right style="medium">
        <color theme="4"/>
      </right>
      <top/>
      <bottom style="thin">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medium">
        <color theme="4"/>
      </top>
      <bottom style="thin">
        <color theme="4"/>
      </bottom>
      <diagonal/>
    </border>
    <border>
      <left/>
      <right/>
      <top style="thin">
        <color theme="0" tint="-4.9989318521683403E-2"/>
      </top>
      <bottom/>
      <diagonal/>
    </border>
    <border>
      <left style="medium">
        <color theme="4"/>
      </left>
      <right/>
      <top style="medium">
        <color theme="4"/>
      </top>
      <bottom style="thin">
        <color theme="4"/>
      </bottom>
      <diagonal/>
    </border>
    <border>
      <left/>
      <right style="medium">
        <color theme="4"/>
      </right>
      <top style="medium">
        <color theme="4"/>
      </top>
      <bottom style="thin">
        <color theme="4"/>
      </bottom>
      <diagonal/>
    </border>
    <border>
      <left style="thin">
        <color rgb="FF003E52"/>
      </left>
      <right style="thin">
        <color rgb="FF003E52"/>
      </right>
      <top style="thin">
        <color rgb="FF003E52"/>
      </top>
      <bottom style="thin">
        <color rgb="FF003E52"/>
      </bottom>
      <diagonal/>
    </border>
    <border>
      <left style="medium">
        <color indexed="64"/>
      </left>
      <right/>
      <top style="medium">
        <color indexed="64"/>
      </top>
      <bottom style="thin">
        <color theme="4"/>
      </bottom>
      <diagonal/>
    </border>
    <border>
      <left/>
      <right/>
      <top style="medium">
        <color indexed="64"/>
      </top>
      <bottom style="thin">
        <color theme="4"/>
      </bottom>
      <diagonal/>
    </border>
    <border>
      <left/>
      <right style="medium">
        <color indexed="64"/>
      </right>
      <top style="medium">
        <color indexed="64"/>
      </top>
      <bottom style="thin">
        <color theme="4"/>
      </bottom>
      <diagonal/>
    </border>
    <border>
      <left style="medium">
        <color indexed="64"/>
      </left>
      <right/>
      <top style="thin">
        <color theme="4"/>
      </top>
      <bottom style="thin">
        <color theme="4"/>
      </bottom>
      <diagonal/>
    </border>
    <border>
      <left/>
      <right style="medium">
        <color indexed="64"/>
      </right>
      <top style="thin">
        <color theme="4"/>
      </top>
      <bottom style="thin">
        <color theme="4"/>
      </bottom>
      <diagonal/>
    </border>
    <border>
      <left style="medium">
        <color indexed="64"/>
      </left>
      <right/>
      <top style="thin">
        <color theme="4"/>
      </top>
      <bottom style="medium">
        <color indexed="64"/>
      </bottom>
      <diagonal/>
    </border>
    <border>
      <left/>
      <right/>
      <top style="thin">
        <color theme="4"/>
      </top>
      <bottom style="medium">
        <color indexed="64"/>
      </bottom>
      <diagonal/>
    </border>
    <border>
      <left/>
      <right style="medium">
        <color indexed="64"/>
      </right>
      <top style="thin">
        <color theme="4"/>
      </top>
      <bottom style="medium">
        <color indexed="64"/>
      </bottom>
      <diagonal/>
    </border>
    <border>
      <left style="thin">
        <color theme="0" tint="-4.9989318521683403E-2"/>
      </left>
      <right/>
      <top/>
      <bottom style="thin">
        <color theme="0" tint="-4.9989318521683403E-2"/>
      </bottom>
      <diagonal/>
    </border>
    <border>
      <left/>
      <right style="thin">
        <color theme="0" tint="-4.9989318521683403E-2"/>
      </right>
      <top/>
      <bottom style="thin">
        <color theme="0" tint="-4.9989318521683403E-2"/>
      </bottom>
      <diagonal/>
    </border>
    <border>
      <left style="thin">
        <color theme="0" tint="-4.9989318521683403E-2"/>
      </left>
      <right/>
      <top style="thin">
        <color theme="4"/>
      </top>
      <bottom style="thin">
        <color theme="0" tint="-4.9989318521683403E-2"/>
      </bottom>
      <diagonal/>
    </border>
    <border>
      <left/>
      <right style="thin">
        <color theme="0" tint="-4.9989318521683403E-2"/>
      </right>
      <top style="thin">
        <color theme="4"/>
      </top>
      <bottom style="thin">
        <color theme="0" tint="-4.9989318521683403E-2"/>
      </bottom>
      <diagonal/>
    </border>
    <border>
      <left style="thin">
        <color theme="4"/>
      </left>
      <right style="thin">
        <color theme="4"/>
      </right>
      <top style="double">
        <color theme="4"/>
      </top>
      <bottom style="thin">
        <color theme="4"/>
      </bottom>
      <diagonal/>
    </border>
    <border>
      <left style="thin">
        <color theme="4"/>
      </left>
      <right style="thin">
        <color theme="0"/>
      </right>
      <top style="double">
        <color theme="4"/>
      </top>
      <bottom style="thin">
        <color theme="4"/>
      </bottom>
      <diagonal/>
    </border>
    <border>
      <left style="thin">
        <color theme="0"/>
      </left>
      <right style="thin">
        <color theme="4"/>
      </right>
      <top style="double">
        <color theme="4"/>
      </top>
      <bottom style="thin">
        <color theme="4"/>
      </bottom>
      <diagonal/>
    </border>
  </borders>
  <cellStyleXfs count="34">
    <xf numFmtId="0" fontId="0" fillId="0" borderId="0" applyNumberFormat="0" applyFill="0">
      <alignment horizontal="left" vertical="center" indent="1"/>
      <protection hidden="1"/>
    </xf>
    <xf numFmtId="43" fontId="2" fillId="0" borderId="0" applyFont="0" applyFill="0" applyBorder="0" applyAlignment="0" applyProtection="0"/>
    <xf numFmtId="44" fontId="2" fillId="0" borderId="0" applyFont="0" applyFill="0" applyBorder="0" applyAlignment="0" applyProtection="0"/>
    <xf numFmtId="0" fontId="7" fillId="0" borderId="0" applyNumberFormat="0" applyFill="0" applyBorder="0" applyAlignment="0" applyProtection="0"/>
    <xf numFmtId="0" fontId="15" fillId="0" borderId="12" applyNumberFormat="0" applyFill="0" applyAlignment="0" applyProtection="0"/>
    <xf numFmtId="0" fontId="3" fillId="0" borderId="1" applyNumberFormat="0" applyFill="0" applyAlignment="0" applyProtection="0"/>
    <xf numFmtId="38" fontId="4" fillId="8" borderId="18">
      <alignment horizontal="right" vertical="center" indent="1"/>
    </xf>
    <xf numFmtId="0" fontId="5" fillId="0" borderId="0" applyNumberFormat="0" applyFill="0" applyBorder="0" applyAlignment="0" applyProtection="0">
      <alignment vertical="top"/>
      <protection locked="0"/>
    </xf>
    <xf numFmtId="165" fontId="8" fillId="0" borderId="0" applyFill="0" applyBorder="0" applyProtection="0">
      <alignment horizontal="center" vertical="center"/>
      <protection hidden="1"/>
    </xf>
    <xf numFmtId="0" fontId="16" fillId="9" borderId="0" applyNumberFormat="0" applyBorder="0" applyAlignment="0" applyProtection="0"/>
    <xf numFmtId="9" fontId="6" fillId="0" borderId="0" applyFont="0" applyFill="0" applyBorder="0" applyAlignment="0" applyProtection="0"/>
    <xf numFmtId="0" fontId="50" fillId="0" borderId="0" applyNumberFormat="0" applyFill="0" applyAlignment="0" applyProtection="0">
      <alignment horizontal="left" vertical="center" indent="1"/>
    </xf>
    <xf numFmtId="0" fontId="103" fillId="0" borderId="0" applyNumberFormat="0" applyFill="0" applyBorder="0" applyAlignment="0" applyProtection="0">
      <alignment horizontal="left" vertical="center" indent="1"/>
    </xf>
    <xf numFmtId="0" fontId="108" fillId="0" borderId="0" applyNumberFormat="0" applyFill="0" applyBorder="0" applyAlignment="0" applyProtection="0">
      <alignment horizontal="left" vertical="center" indent="1"/>
    </xf>
    <xf numFmtId="0" fontId="106" fillId="21" borderId="0" applyNumberFormat="0" applyBorder="0" applyAlignment="0" applyProtection="0">
      <alignment vertical="center"/>
    </xf>
    <xf numFmtId="0" fontId="105" fillId="20" borderId="0" applyNumberFormat="0" applyBorder="0" applyAlignment="0" applyProtection="0">
      <alignment vertical="center"/>
    </xf>
    <xf numFmtId="0" fontId="104" fillId="14" borderId="0" applyNumberFormat="0" applyBorder="0" applyAlignment="0" applyProtection="0"/>
    <xf numFmtId="0" fontId="104" fillId="19" borderId="0" applyNumberFormat="0" applyBorder="0" applyAlignment="0">
      <protection locked="0"/>
    </xf>
    <xf numFmtId="0" fontId="106" fillId="8" borderId="130" applyNumberFormat="0" applyBorder="0" applyAlignment="0" applyProtection="0"/>
    <xf numFmtId="0" fontId="107" fillId="2" borderId="5" applyProtection="0">
      <alignment horizontal="center" vertical="center"/>
    </xf>
    <xf numFmtId="0" fontId="110" fillId="0" borderId="0" applyNumberFormat="0" applyFill="0" applyBorder="0" applyAlignment="0" applyProtection="0"/>
    <xf numFmtId="0" fontId="109" fillId="0" borderId="0" applyNumberFormat="0" applyFill="0" applyBorder="0" applyAlignment="0" applyProtection="0"/>
    <xf numFmtId="0" fontId="39" fillId="0" borderId="0" applyNumberFormat="0" applyFill="0" applyBorder="0" applyProtection="0"/>
    <xf numFmtId="0" fontId="80" fillId="22" borderId="0" applyNumberFormat="0" applyProtection="0">
      <alignment horizontal="center" vertical="top"/>
    </xf>
    <xf numFmtId="0" fontId="102" fillId="11" borderId="136" applyNumberFormat="0" applyProtection="0">
      <alignment horizontal="left" vertical="top" indent="1"/>
    </xf>
    <xf numFmtId="44" fontId="50" fillId="0" borderId="0" applyFont="0" applyFill="0" applyBorder="0" applyAlignment="0" applyProtection="0"/>
    <xf numFmtId="0" fontId="86" fillId="0" borderId="19" applyNumberFormat="0" applyFill="0" applyAlignment="0" applyProtection="0"/>
    <xf numFmtId="0" fontId="50" fillId="17" borderId="131" applyNumberFormat="0" applyFont="0" applyAlignment="0" applyProtection="0"/>
    <xf numFmtId="0" fontId="87" fillId="9" borderId="0" applyNumberFormat="0" applyBorder="0" applyAlignment="0" applyProtection="0"/>
    <xf numFmtId="9" fontId="50" fillId="0" borderId="0" applyFont="0" applyFill="0" applyBorder="0" applyAlignment="0" applyProtection="0"/>
    <xf numFmtId="0" fontId="112" fillId="3" borderId="5" applyNumberFormat="0" applyProtection="0">
      <alignment horizontal="center"/>
    </xf>
    <xf numFmtId="0" fontId="116" fillId="0" borderId="0"/>
    <xf numFmtId="165" fontId="116" fillId="0" borderId="0">
      <alignment horizontal="center"/>
    </xf>
    <xf numFmtId="0" fontId="117" fillId="9" borderId="0" applyNumberFormat="0" applyBorder="0" applyAlignment="0" applyProtection="0"/>
  </cellStyleXfs>
  <cellXfs count="895">
    <xf numFmtId="0" fontId="0" fillId="0" borderId="0" xfId="0">
      <alignment horizontal="left" vertical="center" indent="1"/>
      <protection hidden="1"/>
    </xf>
    <xf numFmtId="0" fontId="0" fillId="2" borderId="0" xfId="0" applyFill="1">
      <alignment horizontal="left" vertical="center" indent="1"/>
      <protection hidden="1"/>
    </xf>
    <xf numFmtId="168" fontId="11" fillId="2" borderId="0" xfId="10" applyNumberFormat="1" applyFont="1" applyFill="1" applyBorder="1" applyAlignment="1" applyProtection="1">
      <alignment horizontal="right" vertical="top" wrapText="1" indent="2"/>
      <protection hidden="1"/>
    </xf>
    <xf numFmtId="168" fontId="8" fillId="2" borderId="0" xfId="10" applyNumberFormat="1" applyFont="1" applyFill="1" applyBorder="1" applyAlignment="1" applyProtection="1">
      <alignment horizontal="center" vertical="center"/>
      <protection hidden="1"/>
    </xf>
    <xf numFmtId="168" fontId="11" fillId="2" borderId="0" xfId="10" applyNumberFormat="1" applyFont="1" applyFill="1" applyBorder="1" applyAlignment="1" applyProtection="1">
      <alignment horizontal="left" vertical="top" wrapText="1" indent="2"/>
      <protection hidden="1"/>
    </xf>
    <xf numFmtId="3" fontId="11" fillId="2" borderId="0" xfId="10" applyNumberFormat="1" applyFont="1" applyFill="1" applyBorder="1" applyAlignment="1" applyProtection="1">
      <alignment horizontal="right" vertical="top" wrapText="1" indent="1"/>
      <protection hidden="1"/>
    </xf>
    <xf numFmtId="0" fontId="9" fillId="0" borderId="0" xfId="0" applyFont="1" applyFill="1">
      <alignment horizontal="left" vertical="center" indent="1"/>
      <protection hidden="1"/>
    </xf>
    <xf numFmtId="0" fontId="9" fillId="2" borderId="0" xfId="0" applyFont="1" applyFill="1">
      <alignment horizontal="left" vertical="center" indent="1"/>
      <protection hidden="1"/>
    </xf>
    <xf numFmtId="0" fontId="9" fillId="0" borderId="0" xfId="0" applyFont="1">
      <alignment horizontal="left" vertical="center" indent="1"/>
      <protection hidden="1"/>
    </xf>
    <xf numFmtId="38" fontId="27" fillId="2" borderId="0" xfId="1" applyNumberFormat="1" applyFont="1" applyFill="1" applyAlignment="1" applyProtection="1">
      <alignment horizontal="right"/>
      <protection hidden="1"/>
    </xf>
    <xf numFmtId="0" fontId="20" fillId="2" borderId="0" xfId="0" applyFont="1" applyFill="1">
      <alignment horizontal="left" vertical="center" indent="1"/>
      <protection hidden="1"/>
    </xf>
    <xf numFmtId="0" fontId="0" fillId="3" borderId="0" xfId="0" applyFill="1">
      <alignment horizontal="left" vertical="center" indent="1"/>
      <protection hidden="1"/>
    </xf>
    <xf numFmtId="0" fontId="28" fillId="2" borderId="0" xfId="0" applyFont="1" applyFill="1">
      <alignment horizontal="left" vertical="center" indent="1"/>
      <protection hidden="1"/>
    </xf>
    <xf numFmtId="0" fontId="28" fillId="0" borderId="0" xfId="0" applyFont="1" applyFill="1">
      <alignment horizontal="left" vertical="center" indent="1"/>
      <protection hidden="1"/>
    </xf>
    <xf numFmtId="0" fontId="28" fillId="2" borderId="0" xfId="0" applyFont="1" applyFill="1" applyAlignment="1">
      <alignment horizontal="left"/>
      <protection hidden="1"/>
    </xf>
    <xf numFmtId="0" fontId="14" fillId="3" borderId="7" xfId="0" applyFont="1" applyFill="1" applyBorder="1" applyAlignment="1">
      <alignment horizontal="center"/>
      <protection hidden="1"/>
    </xf>
    <xf numFmtId="0" fontId="14" fillId="2" borderId="0" xfId="0" applyFont="1" applyFill="1" applyAlignment="1">
      <alignment horizontal="center"/>
      <protection hidden="1"/>
    </xf>
    <xf numFmtId="37" fontId="29" fillId="2" borderId="0" xfId="0" applyNumberFormat="1" applyFont="1" applyFill="1" applyAlignment="1">
      <alignment horizontal="right" vertical="center" indent="1"/>
      <protection hidden="1"/>
    </xf>
    <xf numFmtId="0" fontId="29" fillId="2" borderId="0" xfId="0" applyFont="1" applyFill="1">
      <alignment horizontal="left" vertical="center" indent="1"/>
      <protection hidden="1"/>
    </xf>
    <xf numFmtId="0" fontId="29" fillId="2" borderId="0" xfId="0" applyFont="1" applyFill="1" applyAlignment="1">
      <alignment horizontal="center" vertical="center"/>
      <protection hidden="1"/>
    </xf>
    <xf numFmtId="165" fontId="29" fillId="2" borderId="0" xfId="8" applyFont="1" applyFill="1">
      <alignment horizontal="center" vertical="center"/>
      <protection hidden="1"/>
    </xf>
    <xf numFmtId="0" fontId="14" fillId="0" borderId="0" xfId="0" applyFont="1" applyFill="1" applyAlignment="1">
      <alignment horizontal="center"/>
      <protection hidden="1"/>
    </xf>
    <xf numFmtId="0" fontId="8" fillId="2" borderId="0" xfId="0" applyFont="1" applyFill="1">
      <alignment horizontal="left" vertical="center" indent="1"/>
      <protection hidden="1"/>
    </xf>
    <xf numFmtId="0" fontId="28" fillId="0" borderId="0" xfId="0" applyFont="1">
      <alignment horizontal="left" vertical="center" indent="1"/>
      <protection hidden="1"/>
    </xf>
    <xf numFmtId="0" fontId="8" fillId="0" borderId="0" xfId="0" applyFont="1">
      <alignment horizontal="left" vertical="center" indent="1"/>
      <protection hidden="1"/>
    </xf>
    <xf numFmtId="0" fontId="8" fillId="0" borderId="0" xfId="0" applyFont="1" applyAlignment="1">
      <alignment horizontal="center"/>
      <protection hidden="1"/>
    </xf>
    <xf numFmtId="0" fontId="9" fillId="2" borderId="0" xfId="0" applyFont="1" applyFill="1" applyAlignment="1">
      <alignment horizontal="left" indent="1"/>
      <protection hidden="1"/>
    </xf>
    <xf numFmtId="0" fontId="0" fillId="3" borderId="0" xfId="0" applyFill="1" applyAlignment="1">
      <alignment horizontal="left" indent="1"/>
      <protection hidden="1"/>
    </xf>
    <xf numFmtId="0" fontId="8" fillId="2" borderId="0" xfId="0" applyFont="1" applyFill="1" applyAlignment="1">
      <alignment horizontal="center" vertical="center"/>
      <protection hidden="1"/>
    </xf>
    <xf numFmtId="0" fontId="8" fillId="0" borderId="0" xfId="0" applyFont="1" applyFill="1">
      <alignment horizontal="left" vertical="center" indent="1"/>
      <protection hidden="1"/>
    </xf>
    <xf numFmtId="165" fontId="8" fillId="0" borderId="0" xfId="8" applyProtection="1">
      <alignment horizontal="center" vertical="center"/>
    </xf>
    <xf numFmtId="165" fontId="8" fillId="2" borderId="0" xfId="0" applyNumberFormat="1" applyFont="1" applyFill="1" applyAlignment="1">
      <alignment horizontal="center" vertical="center"/>
      <protection hidden="1"/>
    </xf>
    <xf numFmtId="165" fontId="8" fillId="2" borderId="0" xfId="0" applyNumberFormat="1" applyFont="1" applyFill="1" applyAlignment="1">
      <alignment horizontal="center"/>
      <protection hidden="1"/>
    </xf>
    <xf numFmtId="0" fontId="8" fillId="2" borderId="0" xfId="0" applyFont="1" applyFill="1" applyAlignment="1">
      <alignment horizontal="left" indent="1"/>
      <protection hidden="1"/>
    </xf>
    <xf numFmtId="0" fontId="8" fillId="0" borderId="0" xfId="0" applyFont="1" applyAlignment="1">
      <alignment horizontal="left" indent="1"/>
      <protection hidden="1"/>
    </xf>
    <xf numFmtId="165" fontId="8" fillId="0" borderId="0" xfId="0" applyNumberFormat="1" applyFont="1" applyAlignment="1">
      <alignment horizontal="center"/>
      <protection hidden="1"/>
    </xf>
    <xf numFmtId="167" fontId="8" fillId="2" borderId="0" xfId="0" applyNumberFormat="1" applyFont="1" applyFill="1" applyAlignment="1">
      <alignment horizontal="right" indent="1"/>
      <protection hidden="1"/>
    </xf>
    <xf numFmtId="0" fontId="40" fillId="2" borderId="30" xfId="0" applyFont="1" applyFill="1" applyBorder="1" applyAlignment="1">
      <alignment horizontal="left" wrapText="1" indent="1"/>
      <protection hidden="1"/>
    </xf>
    <xf numFmtId="0" fontId="40" fillId="2" borderId="30" xfId="0" applyFont="1" applyFill="1" applyBorder="1" applyAlignment="1">
      <alignment horizontal="center" wrapText="1"/>
      <protection hidden="1"/>
    </xf>
    <xf numFmtId="165" fontId="8" fillId="2" borderId="31" xfId="0" applyNumberFormat="1" applyFont="1" applyFill="1" applyBorder="1" applyAlignment="1">
      <alignment horizontal="center" vertical="center"/>
      <protection hidden="1"/>
    </xf>
    <xf numFmtId="0" fontId="0" fillId="0" borderId="0" xfId="0" applyAlignment="1">
      <alignment horizontal="left" indent="1"/>
      <protection hidden="1"/>
    </xf>
    <xf numFmtId="38" fontId="52" fillId="2" borderId="0" xfId="1" applyNumberFormat="1" applyFont="1" applyFill="1" applyBorder="1" applyAlignment="1" applyProtection="1">
      <alignment horizontal="right" vertical="center" indent="1"/>
      <protection hidden="1"/>
    </xf>
    <xf numFmtId="38" fontId="11" fillId="2" borderId="0" xfId="2" applyNumberFormat="1" applyFont="1" applyFill="1" applyBorder="1" applyAlignment="1" applyProtection="1">
      <alignment horizontal="right" indent="1"/>
      <protection hidden="1"/>
    </xf>
    <xf numFmtId="10" fontId="8" fillId="2" borderId="0" xfId="10" applyNumberFormat="1" applyFont="1" applyFill="1" applyAlignment="1" applyProtection="1">
      <alignment horizontal="left" vertical="center" indent="1"/>
      <protection hidden="1"/>
    </xf>
    <xf numFmtId="3" fontId="11" fillId="2" borderId="0" xfId="2" applyNumberFormat="1" applyFont="1" applyFill="1" applyBorder="1" applyAlignment="1" applyProtection="1">
      <alignment horizontal="right" indent="1"/>
      <protection hidden="1"/>
    </xf>
    <xf numFmtId="0" fontId="10" fillId="2" borderId="0" xfId="9" applyFont="1" applyFill="1" applyBorder="1" applyAlignment="1" applyProtection="1">
      <alignment horizontal="center" vertical="top" wrapText="1"/>
      <protection hidden="1"/>
    </xf>
    <xf numFmtId="0" fontId="0" fillId="0" borderId="0" xfId="0" applyProtection="1">
      <alignment horizontal="left" vertical="center" indent="1"/>
    </xf>
    <xf numFmtId="0" fontId="0" fillId="2" borderId="0" xfId="0" applyFill="1" applyProtection="1">
      <alignment horizontal="left" vertical="center" indent="1"/>
    </xf>
    <xf numFmtId="164" fontId="9" fillId="2" borderId="0" xfId="0" applyNumberFormat="1" applyFont="1" applyFill="1" applyAlignment="1" applyProtection="1">
      <alignment horizontal="center"/>
    </xf>
    <xf numFmtId="0" fontId="0" fillId="2" borderId="0" xfId="0" applyFill="1" applyAlignment="1" applyProtection="1">
      <alignment horizontal="left"/>
    </xf>
    <xf numFmtId="0" fontId="0" fillId="0" borderId="0" xfId="0" applyAlignment="1" applyProtection="1">
      <alignment horizontal="left"/>
    </xf>
    <xf numFmtId="0" fontId="9" fillId="2" borderId="0" xfId="0" applyFont="1" applyFill="1" applyProtection="1">
      <alignment horizontal="left" vertical="center" indent="1"/>
    </xf>
    <xf numFmtId="41" fontId="9" fillId="2" borderId="0" xfId="0" applyNumberFormat="1" applyFont="1" applyFill="1" applyAlignment="1" applyProtection="1">
      <alignment horizontal="center"/>
    </xf>
    <xf numFmtId="0" fontId="8" fillId="2" borderId="0" xfId="0" applyNumberFormat="1" applyFont="1" applyFill="1" applyAlignment="1">
      <alignment horizontal="right" indent="1"/>
      <protection hidden="1"/>
    </xf>
    <xf numFmtId="0" fontId="34" fillId="0" borderId="0" xfId="0" applyFont="1">
      <alignment horizontal="left" vertical="center" indent="1"/>
      <protection hidden="1"/>
    </xf>
    <xf numFmtId="0" fontId="8" fillId="5" borderId="14" xfId="0" applyFont="1" applyFill="1" applyBorder="1" applyAlignment="1" applyProtection="1">
      <alignment vertical="center" wrapText="1"/>
    </xf>
    <xf numFmtId="0" fontId="8" fillId="5" borderId="11" xfId="0" applyFont="1" applyFill="1" applyBorder="1" applyAlignment="1" applyProtection="1">
      <alignment vertical="center" wrapText="1"/>
    </xf>
    <xf numFmtId="49" fontId="8" fillId="2" borderId="14" xfId="0" applyNumberFormat="1" applyFont="1" applyFill="1" applyBorder="1" applyAlignment="1" applyProtection="1">
      <alignment vertical="center" wrapText="1"/>
    </xf>
    <xf numFmtId="49" fontId="8" fillId="2" borderId="11" xfId="0" applyNumberFormat="1" applyFont="1" applyFill="1" applyBorder="1" applyAlignment="1" applyProtection="1">
      <alignment vertical="center" wrapText="1"/>
    </xf>
    <xf numFmtId="49" fontId="8" fillId="5" borderId="14" xfId="0" applyNumberFormat="1" applyFont="1" applyFill="1" applyBorder="1" applyAlignment="1" applyProtection="1">
      <alignment vertical="center" wrapText="1"/>
    </xf>
    <xf numFmtId="49" fontId="8" fillId="5" borderId="11" xfId="0" applyNumberFormat="1" applyFont="1" applyFill="1" applyBorder="1" applyAlignment="1" applyProtection="1">
      <alignment vertical="center" wrapText="1"/>
    </xf>
    <xf numFmtId="0" fontId="8" fillId="5" borderId="9" xfId="0" applyFont="1" applyFill="1" applyBorder="1" applyAlignment="1" applyProtection="1">
      <alignment vertical="center" wrapText="1"/>
    </xf>
    <xf numFmtId="0" fontId="65" fillId="2" borderId="4" xfId="7" applyFont="1" applyFill="1" applyBorder="1" applyAlignment="1" applyProtection="1">
      <alignment vertical="top" wrapText="1"/>
    </xf>
    <xf numFmtId="0" fontId="66" fillId="2" borderId="4" xfId="0" applyFont="1" applyFill="1" applyBorder="1" applyAlignment="1" applyProtection="1">
      <alignment vertical="top" wrapText="1"/>
    </xf>
    <xf numFmtId="0" fontId="8" fillId="2" borderId="4" xfId="0" applyFont="1" applyFill="1" applyBorder="1" applyAlignment="1" applyProtection="1">
      <alignment vertical="center" wrapText="1"/>
    </xf>
    <xf numFmtId="0" fontId="31" fillId="3" borderId="69" xfId="5" applyFont="1" applyFill="1" applyBorder="1" applyAlignment="1" applyProtection="1">
      <alignment horizontal="left" vertical="center" indent="1"/>
      <protection hidden="1"/>
    </xf>
    <xf numFmtId="0" fontId="31" fillId="3" borderId="26" xfId="5" applyFont="1" applyFill="1" applyBorder="1" applyAlignment="1" applyProtection="1">
      <alignment horizontal="left" vertical="center" indent="1"/>
      <protection hidden="1"/>
    </xf>
    <xf numFmtId="0" fontId="41" fillId="2" borderId="12" xfId="5" applyFont="1" applyFill="1" applyBorder="1" applyAlignment="1" applyProtection="1">
      <alignment vertical="center"/>
      <protection hidden="1"/>
    </xf>
    <xf numFmtId="0" fontId="41" fillId="2" borderId="0" xfId="5" applyFont="1" applyFill="1" applyBorder="1" applyAlignment="1" applyProtection="1">
      <alignment vertical="center"/>
      <protection hidden="1"/>
    </xf>
    <xf numFmtId="0" fontId="41" fillId="2" borderId="27" xfId="5" applyFont="1" applyFill="1" applyBorder="1" applyAlignment="1" applyProtection="1">
      <alignment vertical="center"/>
      <protection hidden="1"/>
    </xf>
    <xf numFmtId="3" fontId="0" fillId="0" borderId="0" xfId="0" applyNumberFormat="1" applyAlignment="1" applyProtection="1">
      <alignment horizontal="center"/>
    </xf>
    <xf numFmtId="164" fontId="30" fillId="2" borderId="0" xfId="0" applyNumberFormat="1" applyFont="1" applyFill="1" applyAlignment="1">
      <alignment horizontal="center"/>
      <protection hidden="1"/>
    </xf>
    <xf numFmtId="0" fontId="9" fillId="0" borderId="0" xfId="0" applyFont="1" applyAlignment="1">
      <alignment horizontal="left" vertical="center"/>
      <protection hidden="1"/>
    </xf>
    <xf numFmtId="165" fontId="9" fillId="0" borderId="0" xfId="0" applyNumberFormat="1" applyFont="1" applyFill="1" applyAlignment="1">
      <alignment horizontal="center" vertical="center"/>
      <protection hidden="1"/>
    </xf>
    <xf numFmtId="3" fontId="9" fillId="0" borderId="0" xfId="0" applyNumberFormat="1" applyFont="1" applyFill="1" applyAlignment="1">
      <alignment horizontal="center" vertical="center"/>
      <protection hidden="1"/>
    </xf>
    <xf numFmtId="4" fontId="9" fillId="0" borderId="0" xfId="0" applyNumberFormat="1" applyFont="1" applyFill="1" applyAlignment="1">
      <alignment horizontal="center" vertical="center"/>
      <protection hidden="1"/>
    </xf>
    <xf numFmtId="3" fontId="9" fillId="0" borderId="0" xfId="0" applyNumberFormat="1" applyFont="1" applyFill="1" applyAlignment="1" applyProtection="1">
      <alignment horizontal="center" vertical="center"/>
    </xf>
    <xf numFmtId="165" fontId="39" fillId="2" borderId="0" xfId="0" applyNumberFormat="1" applyFont="1" applyFill="1" applyAlignment="1">
      <alignment horizontal="center" vertical="center"/>
      <protection hidden="1"/>
    </xf>
    <xf numFmtId="4" fontId="9" fillId="0" borderId="0" xfId="0" applyNumberFormat="1" applyFont="1" applyFill="1" applyAlignment="1" applyProtection="1">
      <alignment horizontal="center" vertical="center"/>
    </xf>
    <xf numFmtId="4" fontId="0" fillId="0" borderId="0" xfId="0" applyNumberFormat="1" applyAlignment="1" applyProtection="1">
      <alignment horizontal="center"/>
    </xf>
    <xf numFmtId="165" fontId="8" fillId="0" borderId="0" xfId="8">
      <alignment horizontal="center" vertical="center"/>
      <protection hidden="1"/>
    </xf>
    <xf numFmtId="165" fontId="0" fillId="0" borderId="0" xfId="0" applyNumberFormat="1">
      <alignment horizontal="left" vertical="center" indent="1"/>
      <protection hidden="1"/>
    </xf>
    <xf numFmtId="3" fontId="0" fillId="0" borderId="0" xfId="0" applyNumberFormat="1" applyAlignment="1" applyProtection="1">
      <alignment horizontal="center" vertical="center"/>
    </xf>
    <xf numFmtId="4" fontId="0" fillId="0" borderId="0" xfId="0" applyNumberFormat="1" applyAlignment="1" applyProtection="1">
      <alignment horizontal="center" vertical="center"/>
    </xf>
    <xf numFmtId="3" fontId="8" fillId="0" borderId="0" xfId="0" applyNumberFormat="1" applyFont="1" applyFill="1" applyAlignment="1" applyProtection="1">
      <alignment horizontal="center" vertical="center"/>
    </xf>
    <xf numFmtId="0" fontId="8" fillId="0" borderId="0" xfId="0" applyFont="1" applyFill="1" applyProtection="1">
      <alignment horizontal="left" vertical="center" indent="1"/>
    </xf>
    <xf numFmtId="0" fontId="9" fillId="0" borderId="0" xfId="0" applyFont="1" applyFill="1" applyAlignment="1">
      <alignment horizontal="left" vertical="center" indent="2"/>
      <protection hidden="1"/>
    </xf>
    <xf numFmtId="0" fontId="9" fillId="0" borderId="0" xfId="0" applyFont="1" applyAlignment="1">
      <alignment horizontal="left" vertical="center" indent="2"/>
      <protection hidden="1"/>
    </xf>
    <xf numFmtId="0" fontId="39" fillId="2" borderId="0" xfId="0" applyFont="1" applyFill="1" applyAlignment="1">
      <alignment horizontal="left" vertical="center" indent="2"/>
      <protection hidden="1"/>
    </xf>
    <xf numFmtId="3" fontId="22" fillId="2" borderId="0" xfId="2" applyNumberFormat="1" applyFont="1" applyFill="1" applyBorder="1" applyAlignment="1" applyProtection="1">
      <alignment vertical="top" wrapText="1"/>
      <protection hidden="1"/>
    </xf>
    <xf numFmtId="0" fontId="78" fillId="0" borderId="7" xfId="0" applyFont="1" applyBorder="1" applyAlignment="1">
      <alignment horizontal="center" wrapText="1"/>
      <protection hidden="1"/>
    </xf>
    <xf numFmtId="0" fontId="78" fillId="0" borderId="5" xfId="0" applyFont="1" applyBorder="1" applyAlignment="1">
      <alignment horizontal="center" wrapText="1"/>
      <protection hidden="1"/>
    </xf>
    <xf numFmtId="0" fontId="78" fillId="0" borderId="8" xfId="0" applyFont="1" applyBorder="1" applyAlignment="1">
      <alignment horizontal="center" wrapText="1"/>
      <protection hidden="1"/>
    </xf>
    <xf numFmtId="0" fontId="78" fillId="2" borderId="0" xfId="0" applyFont="1" applyFill="1" applyAlignment="1">
      <alignment horizontal="center" wrapText="1"/>
      <protection hidden="1"/>
    </xf>
    <xf numFmtId="0" fontId="79" fillId="2" borderId="0" xfId="0" applyFont="1" applyFill="1" applyAlignment="1">
      <alignment horizontal="center" wrapText="1"/>
      <protection hidden="1"/>
    </xf>
    <xf numFmtId="0" fontId="79" fillId="0" borderId="0" xfId="0" applyFont="1" applyFill="1" applyAlignment="1">
      <alignment horizontal="center" wrapText="1"/>
      <protection hidden="1"/>
    </xf>
    <xf numFmtId="0" fontId="79" fillId="7" borderId="6" xfId="0" applyFont="1" applyFill="1" applyBorder="1">
      <alignment horizontal="left" vertical="center" indent="1"/>
      <protection hidden="1"/>
    </xf>
    <xf numFmtId="0" fontId="79" fillId="7" borderId="15" xfId="0" applyFont="1" applyFill="1" applyBorder="1" applyAlignment="1">
      <alignment horizontal="center" vertical="center"/>
      <protection hidden="1"/>
    </xf>
    <xf numFmtId="165" fontId="79" fillId="7" borderId="15" xfId="8" applyFont="1" applyFill="1" applyBorder="1">
      <alignment horizontal="center" vertical="center"/>
      <protection hidden="1"/>
    </xf>
    <xf numFmtId="37" fontId="79" fillId="7" borderId="15" xfId="0" applyNumberFormat="1" applyFont="1" applyFill="1" applyBorder="1" applyAlignment="1">
      <alignment horizontal="right" vertical="center" indent="1"/>
      <protection hidden="1"/>
    </xf>
    <xf numFmtId="37" fontId="79" fillId="7" borderId="9" xfId="0" applyNumberFormat="1" applyFont="1" applyFill="1" applyBorder="1" applyAlignment="1">
      <alignment horizontal="right" vertical="center" indent="1"/>
      <protection hidden="1"/>
    </xf>
    <xf numFmtId="37" fontId="79" fillId="7" borderId="15" xfId="0" applyNumberFormat="1" applyFont="1" applyFill="1" applyBorder="1" applyAlignment="1" applyProtection="1">
      <alignment horizontal="right" vertical="center" indent="1"/>
    </xf>
    <xf numFmtId="0" fontId="79" fillId="2" borderId="0" xfId="0" applyFont="1" applyFill="1">
      <alignment horizontal="left" vertical="center" indent="1"/>
      <protection hidden="1"/>
    </xf>
    <xf numFmtId="0" fontId="79" fillId="0" borderId="0" xfId="0" applyFont="1" applyFill="1">
      <alignment horizontal="left" vertical="center" indent="1"/>
      <protection hidden="1"/>
    </xf>
    <xf numFmtId="0" fontId="79" fillId="2" borderId="6" xfId="0" applyFont="1" applyFill="1" applyBorder="1">
      <alignment horizontal="left" vertical="center" indent="1"/>
      <protection hidden="1"/>
    </xf>
    <xf numFmtId="0" fontId="79" fillId="2" borderId="15" xfId="0" applyFont="1" applyFill="1" applyBorder="1" applyAlignment="1">
      <alignment horizontal="center" vertical="center"/>
      <protection hidden="1"/>
    </xf>
    <xf numFmtId="165" fontId="79" fillId="2" borderId="15" xfId="8" applyFont="1" applyFill="1" applyBorder="1">
      <alignment horizontal="center" vertical="center"/>
      <protection hidden="1"/>
    </xf>
    <xf numFmtId="37" fontId="79" fillId="2" borderId="15" xfId="0" applyNumberFormat="1" applyFont="1" applyFill="1" applyBorder="1" applyAlignment="1">
      <alignment horizontal="right" vertical="center" indent="1"/>
      <protection hidden="1"/>
    </xf>
    <xf numFmtId="37" fontId="79" fillId="2" borderId="9" xfId="0" applyNumberFormat="1" applyFont="1" applyFill="1" applyBorder="1" applyAlignment="1">
      <alignment horizontal="right" vertical="center" indent="1"/>
      <protection hidden="1"/>
    </xf>
    <xf numFmtId="37" fontId="79" fillId="2" borderId="15" xfId="0" applyNumberFormat="1" applyFont="1" applyFill="1" applyBorder="1" applyAlignment="1" applyProtection="1">
      <alignment horizontal="right" vertical="center" indent="1"/>
    </xf>
    <xf numFmtId="37" fontId="79" fillId="2" borderId="0" xfId="0" applyNumberFormat="1" applyFont="1" applyFill="1" applyAlignment="1">
      <alignment horizontal="right" vertical="center" indent="1"/>
      <protection hidden="1"/>
    </xf>
    <xf numFmtId="0" fontId="79" fillId="2" borderId="10" xfId="0" applyFont="1" applyFill="1" applyBorder="1">
      <alignment horizontal="left" vertical="center" indent="1"/>
      <protection hidden="1"/>
    </xf>
    <xf numFmtId="0" fontId="79" fillId="2" borderId="16" xfId="0" applyFont="1" applyFill="1" applyBorder="1" applyAlignment="1">
      <alignment horizontal="center" vertical="center"/>
      <protection hidden="1"/>
    </xf>
    <xf numFmtId="165" fontId="79" fillId="2" borderId="16" xfId="8" applyFont="1" applyFill="1" applyBorder="1">
      <alignment horizontal="center" vertical="center"/>
      <protection hidden="1"/>
    </xf>
    <xf numFmtId="37" fontId="79" fillId="2" borderId="16" xfId="0" applyNumberFormat="1" applyFont="1" applyFill="1" applyBorder="1" applyAlignment="1">
      <alignment horizontal="right" vertical="center" indent="1"/>
      <protection hidden="1"/>
    </xf>
    <xf numFmtId="37" fontId="79" fillId="2" borderId="11" xfId="0" applyNumberFormat="1" applyFont="1" applyFill="1" applyBorder="1" applyAlignment="1">
      <alignment horizontal="right" vertical="center" indent="1"/>
      <protection hidden="1"/>
    </xf>
    <xf numFmtId="37" fontId="79" fillId="2" borderId="16" xfId="0" applyNumberFormat="1" applyFont="1" applyFill="1" applyBorder="1" applyAlignment="1" applyProtection="1">
      <alignment horizontal="right" vertical="center" indent="1"/>
    </xf>
    <xf numFmtId="0" fontId="79" fillId="7" borderId="10" xfId="0" applyFont="1" applyFill="1" applyBorder="1">
      <alignment horizontal="left" vertical="center" indent="1"/>
      <protection hidden="1"/>
    </xf>
    <xf numFmtId="0" fontId="79" fillId="7" borderId="16" xfId="0" applyFont="1" applyFill="1" applyBorder="1" applyAlignment="1">
      <alignment horizontal="center" vertical="center"/>
      <protection hidden="1"/>
    </xf>
    <xf numFmtId="165" fontId="79" fillId="7" borderId="16" xfId="8" applyFont="1" applyFill="1" applyBorder="1">
      <alignment horizontal="center" vertical="center"/>
      <protection hidden="1"/>
    </xf>
    <xf numFmtId="37" fontId="79" fillId="7" borderId="16" xfId="0" applyNumberFormat="1" applyFont="1" applyFill="1" applyBorder="1" applyAlignment="1">
      <alignment horizontal="right" vertical="center" indent="1"/>
      <protection hidden="1"/>
    </xf>
    <xf numFmtId="37" fontId="79" fillId="7" borderId="11" xfId="0" applyNumberFormat="1" applyFont="1" applyFill="1" applyBorder="1" applyAlignment="1">
      <alignment horizontal="right" vertical="center" indent="1"/>
      <protection hidden="1"/>
    </xf>
    <xf numFmtId="37" fontId="79" fillId="7" borderId="16" xfId="0" applyNumberFormat="1" applyFont="1" applyFill="1" applyBorder="1" applyAlignment="1" applyProtection="1">
      <alignment horizontal="right" vertical="center" indent="1"/>
    </xf>
    <xf numFmtId="0" fontId="78" fillId="0" borderId="117" xfId="0" applyFont="1" applyBorder="1" applyAlignment="1">
      <alignment horizontal="center" wrapText="1"/>
      <protection hidden="1"/>
    </xf>
    <xf numFmtId="37" fontId="79" fillId="7" borderId="118" xfId="0" applyNumberFormat="1" applyFont="1" applyFill="1" applyBorder="1" applyAlignment="1">
      <alignment horizontal="right" vertical="center" indent="1"/>
      <protection hidden="1"/>
    </xf>
    <xf numFmtId="37" fontId="79" fillId="2" borderId="118" xfId="0" applyNumberFormat="1" applyFont="1" applyFill="1" applyBorder="1" applyAlignment="1">
      <alignment horizontal="right" vertical="center" indent="1"/>
      <protection hidden="1"/>
    </xf>
    <xf numFmtId="37" fontId="79" fillId="2" borderId="119" xfId="0" applyNumberFormat="1" applyFont="1" applyFill="1" applyBorder="1" applyAlignment="1">
      <alignment horizontal="right" vertical="center" indent="1"/>
      <protection hidden="1"/>
    </xf>
    <xf numFmtId="37" fontId="79" fillId="7" borderId="119" xfId="0" applyNumberFormat="1" applyFont="1" applyFill="1" applyBorder="1" applyAlignment="1">
      <alignment horizontal="right" vertical="center" indent="1"/>
      <protection hidden="1"/>
    </xf>
    <xf numFmtId="0" fontId="0" fillId="2" borderId="0" xfId="0" applyFill="1" applyAlignment="1" applyProtection="1">
      <alignment horizontal="left" vertical="center"/>
    </xf>
    <xf numFmtId="0" fontId="0" fillId="0" borderId="0" xfId="0" applyAlignment="1" applyProtection="1">
      <alignment horizontal="left" vertical="center"/>
    </xf>
    <xf numFmtId="0" fontId="50" fillId="0" borderId="0" xfId="0" applyFont="1" applyFill="1">
      <alignment horizontal="left" vertical="center" indent="1"/>
      <protection hidden="1"/>
    </xf>
    <xf numFmtId="0" fontId="55" fillId="2" borderId="108" xfId="0" applyFont="1" applyFill="1" applyBorder="1" applyAlignment="1" applyProtection="1">
      <alignment horizontal="right" vertical="center" indent="1"/>
    </xf>
    <xf numFmtId="0" fontId="0" fillId="0" borderId="0" xfId="0" applyFill="1" applyProtection="1">
      <alignment horizontal="left" vertical="center" indent="1"/>
    </xf>
    <xf numFmtId="171" fontId="39" fillId="0" borderId="0" xfId="0" applyNumberFormat="1" applyFont="1">
      <alignment horizontal="left" vertical="center" indent="1"/>
      <protection hidden="1"/>
    </xf>
    <xf numFmtId="172" fontId="0" fillId="0" borderId="0" xfId="0" applyNumberFormat="1" applyFill="1" applyProtection="1">
      <alignment horizontal="left" vertical="center" indent="1"/>
    </xf>
    <xf numFmtId="0" fontId="9" fillId="2" borderId="108" xfId="0" applyFont="1" applyFill="1" applyBorder="1" applyAlignment="1">
      <alignment vertical="center"/>
      <protection hidden="1"/>
    </xf>
    <xf numFmtId="0" fontId="9" fillId="10" borderId="0" xfId="0" applyFont="1" applyFill="1" applyAlignment="1">
      <alignment horizontal="left" vertical="center" indent="2"/>
      <protection hidden="1"/>
    </xf>
    <xf numFmtId="165" fontId="9" fillId="10" borderId="0" xfId="0" applyNumberFormat="1" applyFont="1" applyFill="1" applyAlignment="1">
      <alignment horizontal="center" vertical="center"/>
      <protection hidden="1"/>
    </xf>
    <xf numFmtId="3" fontId="9" fillId="10" borderId="0" xfId="0" applyNumberFormat="1" applyFont="1" applyFill="1" applyAlignment="1">
      <alignment horizontal="center" vertical="center"/>
      <protection hidden="1"/>
    </xf>
    <xf numFmtId="4" fontId="9" fillId="10" borderId="0" xfId="0" applyNumberFormat="1" applyFont="1" applyFill="1" applyAlignment="1">
      <alignment horizontal="center" vertical="center"/>
      <protection hidden="1"/>
    </xf>
    <xf numFmtId="4" fontId="9" fillId="10" borderId="0" xfId="0" applyNumberFormat="1" applyFont="1" applyFill="1" applyAlignment="1" applyProtection="1">
      <alignment horizontal="center" vertical="center"/>
    </xf>
    <xf numFmtId="3" fontId="9" fillId="10" borderId="0" xfId="0" applyNumberFormat="1" applyFont="1" applyFill="1" applyAlignment="1" applyProtection="1">
      <alignment horizontal="center" vertical="center"/>
    </xf>
    <xf numFmtId="0" fontId="39" fillId="10" borderId="0" xfId="0" applyFont="1" applyFill="1" applyAlignment="1">
      <alignment horizontal="left" vertical="center" indent="2"/>
      <protection hidden="1"/>
    </xf>
    <xf numFmtId="165" fontId="39" fillId="10" borderId="0" xfId="0" applyNumberFormat="1" applyFont="1" applyFill="1" applyAlignment="1">
      <alignment horizontal="center" vertical="center"/>
      <protection hidden="1"/>
    </xf>
    <xf numFmtId="0" fontId="9" fillId="2" borderId="0" xfId="0" applyFont="1" applyFill="1" applyAlignment="1">
      <alignment horizontal="center"/>
      <protection hidden="1"/>
    </xf>
    <xf numFmtId="0" fontId="0" fillId="2" borderId="0" xfId="0" applyFill="1" applyAlignment="1">
      <alignment horizontal="left" vertical="center"/>
      <protection hidden="1"/>
    </xf>
    <xf numFmtId="0" fontId="9" fillId="2" borderId="0" xfId="0" applyFont="1" applyFill="1" applyAlignment="1">
      <alignment horizontal="left" vertical="center"/>
      <protection hidden="1"/>
    </xf>
    <xf numFmtId="0" fontId="8" fillId="2" borderId="0" xfId="0" applyFont="1" applyFill="1" applyAlignment="1">
      <alignment horizontal="left" vertical="center"/>
      <protection hidden="1"/>
    </xf>
    <xf numFmtId="0" fontId="9" fillId="0" borderId="0" xfId="0" applyFont="1" applyFill="1" applyAlignment="1">
      <alignment horizontal="left" vertical="center"/>
      <protection hidden="1"/>
    </xf>
    <xf numFmtId="0" fontId="20" fillId="2" borderId="0" xfId="0" applyFont="1" applyFill="1" applyAlignment="1">
      <alignment horizontal="left" vertical="center"/>
      <protection hidden="1"/>
    </xf>
    <xf numFmtId="0" fontId="9" fillId="0" borderId="0" xfId="0" applyFont="1" applyFill="1" applyAlignment="1">
      <alignment horizontal="center"/>
      <protection hidden="1"/>
    </xf>
    <xf numFmtId="0" fontId="0" fillId="0" borderId="0" xfId="0" applyFill="1" applyAlignment="1">
      <alignment horizontal="left" vertical="center"/>
      <protection hidden="1"/>
    </xf>
    <xf numFmtId="0" fontId="8" fillId="0" borderId="0" xfId="0" applyFont="1" applyFill="1" applyAlignment="1">
      <alignment horizontal="left" vertical="center"/>
      <protection hidden="1"/>
    </xf>
    <xf numFmtId="0" fontId="9" fillId="2" borderId="0" xfId="0" applyNumberFormat="1" applyFont="1" applyFill="1" applyAlignment="1">
      <alignment vertical="center"/>
      <protection hidden="1"/>
    </xf>
    <xf numFmtId="0" fontId="76" fillId="2" borderId="0" xfId="0" applyFont="1" applyFill="1">
      <alignment horizontal="left" vertical="center" indent="1"/>
      <protection hidden="1"/>
    </xf>
    <xf numFmtId="0" fontId="16" fillId="3" borderId="0" xfId="0" applyFont="1" applyFill="1" applyAlignment="1">
      <alignment horizontal="left" indent="1"/>
      <protection hidden="1"/>
    </xf>
    <xf numFmtId="0" fontId="20" fillId="2" borderId="0" xfId="0" applyFont="1" applyFill="1" applyAlignment="1">
      <alignment horizontal="left" indent="1"/>
      <protection hidden="1"/>
    </xf>
    <xf numFmtId="0" fontId="17" fillId="3" borderId="0" xfId="0" applyFont="1" applyFill="1">
      <alignment horizontal="left" vertical="center" indent="1"/>
      <protection hidden="1"/>
    </xf>
    <xf numFmtId="165" fontId="17" fillId="3" borderId="0" xfId="0" applyNumberFormat="1" applyFont="1" applyFill="1" applyAlignment="1">
      <alignment horizontal="center" vertical="center"/>
      <protection hidden="1"/>
    </xf>
    <xf numFmtId="3" fontId="17" fillId="3" borderId="0" xfId="0" applyNumberFormat="1" applyFont="1" applyFill="1" applyAlignment="1">
      <alignment horizontal="center" vertical="center"/>
      <protection hidden="1"/>
    </xf>
    <xf numFmtId="4" fontId="17" fillId="3" borderId="0" xfId="0" applyNumberFormat="1" applyFont="1" applyFill="1" applyAlignment="1">
      <alignment horizontal="center" vertical="center"/>
      <protection hidden="1"/>
    </xf>
    <xf numFmtId="3" fontId="17" fillId="3" borderId="0" xfId="0" applyNumberFormat="1" applyFont="1" applyFill="1" applyAlignment="1" applyProtection="1">
      <alignment horizontal="center" vertical="center"/>
    </xf>
    <xf numFmtId="0" fontId="83" fillId="3" borderId="0" xfId="0" applyFont="1" applyFill="1">
      <alignment horizontal="left" vertical="center" indent="1"/>
      <protection hidden="1"/>
    </xf>
    <xf numFmtId="0" fontId="9" fillId="2" borderId="108" xfId="0" applyFont="1" applyFill="1" applyBorder="1" applyAlignment="1">
      <alignment horizontal="left" vertical="center" indent="4"/>
      <protection hidden="1"/>
    </xf>
    <xf numFmtId="0" fontId="8" fillId="0" borderId="132" xfId="0" applyFont="1" applyFill="1" applyBorder="1" applyAlignment="1" applyProtection="1">
      <alignment horizontal="left" vertical="center"/>
    </xf>
    <xf numFmtId="165" fontId="8" fillId="0" borderId="132" xfId="0" applyNumberFormat="1" applyFont="1" applyFill="1" applyBorder="1" applyAlignment="1" applyProtection="1">
      <alignment horizontal="center" vertical="center"/>
    </xf>
    <xf numFmtId="3" fontId="32" fillId="0" borderId="132" xfId="0" applyNumberFormat="1" applyFont="1" applyFill="1" applyBorder="1" applyAlignment="1" applyProtection="1">
      <alignment horizontal="center" vertical="center"/>
    </xf>
    <xf numFmtId="4" fontId="32" fillId="0" borderId="132" xfId="0" applyNumberFormat="1" applyFont="1" applyFill="1" applyBorder="1" applyAlignment="1" applyProtection="1">
      <alignment horizontal="center" vertical="center"/>
    </xf>
    <xf numFmtId="0" fontId="13" fillId="0" borderId="100" xfId="0" applyFont="1" applyFill="1" applyBorder="1" applyAlignment="1" applyProtection="1">
      <alignment horizontal="left" indent="1"/>
    </xf>
    <xf numFmtId="0" fontId="13" fillId="0" borderId="100" xfId="0" applyFont="1" applyFill="1" applyBorder="1" applyAlignment="1" applyProtection="1">
      <alignment horizontal="center"/>
    </xf>
    <xf numFmtId="0" fontId="13" fillId="0" borderId="100" xfId="0" applyFont="1" applyFill="1" applyBorder="1" applyAlignment="1" applyProtection="1">
      <alignment horizontal="center" wrapText="1"/>
    </xf>
    <xf numFmtId="38" fontId="32" fillId="0" borderId="132" xfId="0" applyNumberFormat="1" applyFont="1" applyFill="1" applyBorder="1">
      <alignment horizontal="left" vertical="center" indent="1"/>
      <protection hidden="1"/>
    </xf>
    <xf numFmtId="0" fontId="32" fillId="0" borderId="132" xfId="0" applyNumberFormat="1" applyFont="1" applyFill="1" applyBorder="1" applyAlignment="1">
      <alignment horizontal="center" vertical="center"/>
      <protection hidden="1"/>
    </xf>
    <xf numFmtId="3" fontId="32" fillId="0" borderId="132" xfId="0" applyNumberFormat="1" applyFont="1" applyFill="1" applyBorder="1" applyAlignment="1" applyProtection="1">
      <alignment horizontal="center"/>
    </xf>
    <xf numFmtId="4" fontId="32" fillId="0" borderId="132" xfId="0" applyNumberFormat="1" applyFont="1" applyFill="1" applyBorder="1" applyAlignment="1" applyProtection="1">
      <alignment horizontal="center"/>
    </xf>
    <xf numFmtId="0" fontId="9" fillId="0" borderId="100" xfId="0" applyFont="1" applyBorder="1" applyAlignment="1">
      <alignment horizontal="left" indent="1"/>
      <protection hidden="1"/>
    </xf>
    <xf numFmtId="0" fontId="9" fillId="0" borderId="100" xfId="0" applyFont="1" applyBorder="1" applyAlignment="1">
      <alignment horizontal="center"/>
      <protection hidden="1"/>
    </xf>
    <xf numFmtId="0" fontId="9" fillId="0" borderId="100" xfId="0" applyFont="1" applyBorder="1" applyAlignment="1">
      <alignment horizontal="center" wrapText="1"/>
      <protection hidden="1"/>
    </xf>
    <xf numFmtId="38" fontId="32" fillId="0" borderId="132" xfId="0" applyNumberFormat="1" applyFont="1" applyFill="1" applyBorder="1" applyAlignment="1">
      <alignment horizontal="right" vertical="center"/>
      <protection hidden="1"/>
    </xf>
    <xf numFmtId="38" fontId="32" fillId="0" borderId="132" xfId="0" applyNumberFormat="1" applyFont="1" applyFill="1" applyBorder="1" applyAlignment="1" applyProtection="1">
      <alignment horizontal="center" vertical="center"/>
    </xf>
    <xf numFmtId="1" fontId="9" fillId="0" borderId="100" xfId="0" applyNumberFormat="1" applyFont="1" applyBorder="1" applyAlignment="1">
      <alignment horizontal="center"/>
      <protection hidden="1"/>
    </xf>
    <xf numFmtId="0" fontId="17" fillId="2" borderId="0" xfId="9" applyFont="1" applyFill="1" applyBorder="1" applyAlignment="1" applyProtection="1">
      <alignment horizontal="center" vertical="top" wrapText="1"/>
      <protection hidden="1"/>
    </xf>
    <xf numFmtId="168" fontId="13" fillId="2" borderId="0" xfId="10" applyNumberFormat="1" applyFont="1" applyFill="1" applyBorder="1" applyAlignment="1" applyProtection="1">
      <alignment horizontal="right" vertical="top" wrapText="1" indent="2"/>
      <protection hidden="1"/>
    </xf>
    <xf numFmtId="168" fontId="9" fillId="2" borderId="0" xfId="10" applyNumberFormat="1" applyFont="1" applyFill="1" applyBorder="1" applyAlignment="1" applyProtection="1">
      <alignment horizontal="right" vertical="top" wrapText="1" indent="2"/>
      <protection hidden="1"/>
    </xf>
    <xf numFmtId="168" fontId="13" fillId="2" borderId="0" xfId="10" applyNumberFormat="1" applyFont="1" applyFill="1" applyBorder="1" applyAlignment="1" applyProtection="1">
      <alignment horizontal="left" vertical="top" wrapText="1" indent="2"/>
      <protection hidden="1"/>
    </xf>
    <xf numFmtId="3" fontId="92" fillId="2" borderId="0" xfId="2" applyNumberFormat="1" applyFont="1" applyFill="1" applyBorder="1" applyAlignment="1" applyProtection="1">
      <alignment vertical="top" wrapText="1"/>
      <protection hidden="1"/>
    </xf>
    <xf numFmtId="0" fontId="17" fillId="3" borderId="69" xfId="5" applyFont="1" applyFill="1" applyBorder="1" applyAlignment="1" applyProtection="1">
      <alignment horizontal="left" vertical="center" indent="1"/>
      <protection hidden="1"/>
    </xf>
    <xf numFmtId="0" fontId="17" fillId="3" borderId="26" xfId="5" applyFont="1" applyFill="1" applyBorder="1" applyAlignment="1" applyProtection="1">
      <alignment horizontal="left" vertical="center" indent="1"/>
      <protection hidden="1"/>
    </xf>
    <xf numFmtId="3" fontId="13" fillId="2" borderId="0" xfId="2" applyNumberFormat="1" applyFont="1" applyFill="1" applyBorder="1" applyAlignment="1" applyProtection="1">
      <alignment horizontal="right" indent="1"/>
      <protection hidden="1"/>
    </xf>
    <xf numFmtId="3" fontId="13" fillId="2" borderId="0" xfId="10" applyNumberFormat="1" applyFont="1" applyFill="1" applyBorder="1" applyAlignment="1" applyProtection="1">
      <alignment horizontal="right" vertical="top" wrapText="1" indent="1"/>
      <protection hidden="1"/>
    </xf>
    <xf numFmtId="168" fontId="9" fillId="2" borderId="0" xfId="10" applyNumberFormat="1" applyFont="1" applyFill="1" applyBorder="1" applyAlignment="1" applyProtection="1">
      <alignment horizontal="center" vertical="center"/>
      <protection hidden="1"/>
    </xf>
    <xf numFmtId="0" fontId="94" fillId="2" borderId="0" xfId="0" applyFont="1" applyFill="1" applyAlignment="1">
      <alignment vertical="center"/>
      <protection hidden="1"/>
    </xf>
    <xf numFmtId="0" fontId="94" fillId="0" borderId="0" xfId="0" applyFont="1" applyFill="1" applyAlignment="1">
      <alignment vertical="center"/>
      <protection hidden="1"/>
    </xf>
    <xf numFmtId="0" fontId="94" fillId="0" borderId="0" xfId="0" applyFont="1" applyFill="1" applyAlignment="1">
      <alignment horizontal="left" vertical="center"/>
      <protection hidden="1"/>
    </xf>
    <xf numFmtId="0" fontId="97" fillId="2" borderId="0" xfId="0" applyFont="1" applyFill="1">
      <alignment horizontal="left" vertical="center" indent="1"/>
      <protection hidden="1"/>
    </xf>
    <xf numFmtId="0" fontId="96" fillId="0" borderId="0" xfId="3" applyFont="1" applyFill="1" applyBorder="1" applyAlignment="1" applyProtection="1">
      <alignment vertical="center"/>
      <protection hidden="1"/>
    </xf>
    <xf numFmtId="0" fontId="97" fillId="0" borderId="0" xfId="0" applyFont="1">
      <alignment horizontal="left" vertical="center" indent="1"/>
      <protection hidden="1"/>
    </xf>
    <xf numFmtId="0" fontId="97" fillId="2" borderId="0" xfId="0" applyFont="1" applyFill="1" applyProtection="1">
      <alignment horizontal="left" vertical="center" indent="1"/>
    </xf>
    <xf numFmtId="0" fontId="97" fillId="0" borderId="0" xfId="0" applyFont="1" applyProtection="1">
      <alignment horizontal="left" vertical="center" indent="1"/>
    </xf>
    <xf numFmtId="0" fontId="79" fillId="2" borderId="0" xfId="0" applyFont="1" applyFill="1" applyAlignment="1">
      <alignment vertical="center" wrapText="1"/>
      <protection hidden="1"/>
    </xf>
    <xf numFmtId="0" fontId="79" fillId="2" borderId="0" xfId="0" applyFont="1" applyFill="1" applyAlignment="1">
      <alignment horizontal="right" vertical="center" indent="1"/>
      <protection hidden="1"/>
    </xf>
    <xf numFmtId="0" fontId="27" fillId="0" borderId="0" xfId="0" applyFont="1">
      <alignment horizontal="left" vertical="center" indent="1"/>
      <protection hidden="1"/>
    </xf>
    <xf numFmtId="0" fontId="113" fillId="5" borderId="3" xfId="12" applyFont="1" applyFill="1" applyBorder="1" applyAlignment="1" applyProtection="1">
      <alignment vertical="center"/>
      <protection hidden="1"/>
    </xf>
    <xf numFmtId="0" fontId="76" fillId="0" borderId="0" xfId="0" applyFont="1">
      <alignment horizontal="left" vertical="center" indent="1"/>
      <protection hidden="1"/>
    </xf>
    <xf numFmtId="0" fontId="0" fillId="2" borderId="0" xfId="0" applyFill="1" applyAlignment="1">
      <alignment horizontal="left" indent="1"/>
      <protection hidden="1"/>
    </xf>
    <xf numFmtId="0" fontId="79" fillId="2" borderId="0" xfId="0" applyFont="1" applyFill="1" applyAlignment="1">
      <alignment vertical="top" wrapText="1"/>
      <protection hidden="1"/>
    </xf>
    <xf numFmtId="0" fontId="9" fillId="2" borderId="0" xfId="0" applyFont="1" applyFill="1" applyAlignment="1">
      <alignment horizontal="center" vertical="center"/>
      <protection hidden="1"/>
    </xf>
    <xf numFmtId="0" fontId="28" fillId="2" borderId="0" xfId="0" applyFont="1" applyFill="1" applyAlignment="1">
      <alignment vertical="center"/>
      <protection hidden="1"/>
    </xf>
    <xf numFmtId="0" fontId="8" fillId="2" borderId="0" xfId="0" applyFont="1" applyFill="1" applyAlignment="1" applyProtection="1">
      <alignment horizontal="left" vertical="center"/>
    </xf>
    <xf numFmtId="0" fontId="55" fillId="2" borderId="79" xfId="0" applyFont="1" applyFill="1" applyBorder="1" applyAlignment="1" applyProtection="1">
      <alignment horizontal="right" vertical="center" indent="1"/>
    </xf>
    <xf numFmtId="0" fontId="80" fillId="8" borderId="2" xfId="0" applyFont="1" applyFill="1" applyBorder="1" applyAlignment="1">
      <alignment horizontal="left" vertical="center"/>
      <protection hidden="1"/>
    </xf>
    <xf numFmtId="0" fontId="13" fillId="2" borderId="0" xfId="0" applyNumberFormat="1" applyFont="1" applyFill="1" applyProtection="1">
      <alignment horizontal="left" vertical="center" indent="1"/>
    </xf>
    <xf numFmtId="0" fontId="9" fillId="0" borderId="0" xfId="0" applyFont="1" applyFill="1" applyAlignment="1">
      <alignment vertical="center"/>
      <protection hidden="1"/>
    </xf>
    <xf numFmtId="0" fontId="9" fillId="0" borderId="0" xfId="0" applyFont="1" applyFill="1" applyAlignment="1">
      <alignment vertical="top" wrapText="1"/>
      <protection hidden="1"/>
    </xf>
    <xf numFmtId="0" fontId="55" fillId="5" borderId="9" xfId="11" applyFont="1" applyFill="1" applyBorder="1" applyAlignment="1" applyProtection="1">
      <alignment vertical="center"/>
      <protection hidden="1"/>
    </xf>
    <xf numFmtId="0" fontId="55" fillId="5" borderId="11" xfId="11" applyFont="1" applyFill="1" applyBorder="1" applyAlignment="1" applyProtection="1">
      <alignment vertical="center"/>
      <protection hidden="1"/>
    </xf>
    <xf numFmtId="0" fontId="55" fillId="5" borderId="10" xfId="11" applyFont="1" applyFill="1" applyBorder="1" applyAlignment="1" applyProtection="1">
      <alignment vertical="center"/>
      <protection hidden="1"/>
    </xf>
    <xf numFmtId="0" fontId="79" fillId="2" borderId="0" xfId="0" applyFont="1" applyFill="1" applyAlignment="1">
      <alignment horizontal="left" vertical="top" wrapText="1" indent="1"/>
      <protection hidden="1"/>
    </xf>
    <xf numFmtId="0" fontId="14" fillId="3" borderId="2" xfId="0" applyFont="1" applyFill="1" applyBorder="1" applyAlignment="1">
      <alignment horizontal="left" vertical="center" indent="2"/>
      <protection hidden="1"/>
    </xf>
    <xf numFmtId="0" fontId="79" fillId="0" borderId="0" xfId="0" applyFont="1" applyFill="1" applyAlignment="1">
      <alignment vertical="top" wrapText="1"/>
      <protection hidden="1"/>
    </xf>
    <xf numFmtId="0" fontId="79" fillId="2" borderId="0" xfId="0" applyFont="1" applyFill="1" applyAlignment="1">
      <alignment vertical="top"/>
      <protection hidden="1"/>
    </xf>
    <xf numFmtId="0" fontId="60" fillId="2" borderId="137" xfId="0" applyFont="1" applyFill="1" applyBorder="1" applyAlignment="1">
      <alignment horizontal="left" vertical="center" indent="2"/>
      <protection hidden="1"/>
    </xf>
    <xf numFmtId="0" fontId="60" fillId="2" borderId="138" xfId="0" applyFont="1" applyFill="1" applyBorder="1" applyAlignment="1">
      <alignment horizontal="left" vertical="center" indent="2"/>
      <protection hidden="1"/>
    </xf>
    <xf numFmtId="0" fontId="60" fillId="2" borderId="139" xfId="0" applyFont="1" applyFill="1" applyBorder="1" applyAlignment="1">
      <alignment horizontal="left" vertical="center" indent="2"/>
      <protection hidden="1"/>
    </xf>
    <xf numFmtId="0" fontId="14" fillId="3" borderId="140" xfId="0" applyFont="1" applyFill="1" applyBorder="1" applyAlignment="1">
      <alignment horizontal="left" vertical="center" indent="2"/>
      <protection hidden="1"/>
    </xf>
    <xf numFmtId="0" fontId="14" fillId="3" borderId="141" xfId="0" applyFont="1" applyFill="1" applyBorder="1" applyAlignment="1">
      <alignment horizontal="left" vertical="center" indent="2"/>
      <protection hidden="1"/>
    </xf>
    <xf numFmtId="0" fontId="55" fillId="2" borderId="0" xfId="0" applyFont="1" applyFill="1" applyAlignment="1" applyProtection="1">
      <alignment horizontal="right" vertical="center" indent="1"/>
    </xf>
    <xf numFmtId="0" fontId="55" fillId="2" borderId="133" xfId="0" applyFont="1" applyFill="1" applyBorder="1" applyAlignment="1" applyProtection="1">
      <alignment horizontal="right" vertical="center" indent="1"/>
    </xf>
    <xf numFmtId="0" fontId="82" fillId="16" borderId="6" xfId="0" applyNumberFormat="1" applyFont="1" applyFill="1" applyBorder="1" applyAlignment="1" applyProtection="1">
      <alignment horizontal="left" vertical="center" indent="2"/>
    </xf>
    <xf numFmtId="0" fontId="82" fillId="16" borderId="0" xfId="0" applyNumberFormat="1" applyFont="1" applyFill="1" applyAlignment="1" applyProtection="1">
      <alignment horizontal="left" vertical="center" indent="2"/>
    </xf>
    <xf numFmtId="0" fontId="78" fillId="2" borderId="0" xfId="0" applyFont="1" applyFill="1" applyAlignment="1">
      <alignment vertical="center" wrapText="1"/>
      <protection hidden="1"/>
    </xf>
    <xf numFmtId="0" fontId="56" fillId="2" borderId="0" xfId="3" applyFont="1" applyFill="1" applyAlignment="1" applyProtection="1">
      <alignment vertical="center"/>
    </xf>
    <xf numFmtId="0" fontId="8" fillId="0" borderId="0" xfId="0" applyFont="1" applyFill="1" applyAlignment="1">
      <alignment vertical="center"/>
      <protection hidden="1"/>
    </xf>
    <xf numFmtId="0" fontId="8" fillId="0" borderId="0" xfId="0" applyFont="1" applyFill="1" applyAlignment="1">
      <alignment horizontal="center"/>
      <protection hidden="1"/>
    </xf>
    <xf numFmtId="0" fontId="8" fillId="0" borderId="0" xfId="0" applyFont="1" applyFill="1" applyAlignment="1">
      <alignment vertical="top" wrapText="1"/>
      <protection hidden="1"/>
    </xf>
    <xf numFmtId="0" fontId="35" fillId="2" borderId="0" xfId="0" applyFont="1" applyFill="1" applyAlignment="1">
      <alignment vertical="center"/>
      <protection hidden="1"/>
    </xf>
    <xf numFmtId="0" fontId="23" fillId="2" borderId="0" xfId="0" applyFont="1" applyFill="1" applyAlignment="1">
      <alignment horizontal="left" indent="1"/>
      <protection hidden="1"/>
    </xf>
    <xf numFmtId="0" fontId="23" fillId="0" borderId="0" xfId="0" applyFont="1" applyAlignment="1">
      <alignment horizontal="left" indent="1"/>
      <protection hidden="1"/>
    </xf>
    <xf numFmtId="0" fontId="31" fillId="2" borderId="0" xfId="0" applyFont="1" applyFill="1" applyAlignment="1">
      <alignment vertical="center"/>
      <protection hidden="1"/>
    </xf>
    <xf numFmtId="0" fontId="37" fillId="2" borderId="0" xfId="0" applyFont="1" applyFill="1" applyAlignment="1">
      <alignment horizontal="right" vertical="center" indent="1"/>
      <protection hidden="1"/>
    </xf>
    <xf numFmtId="0" fontId="37" fillId="2" borderId="0" xfId="0" applyFont="1" applyFill="1">
      <alignment horizontal="left" vertical="center" indent="1"/>
      <protection hidden="1"/>
    </xf>
    <xf numFmtId="0" fontId="37" fillId="0" borderId="0" xfId="0" applyFont="1">
      <alignment horizontal="left" vertical="center" indent="1"/>
      <protection hidden="1"/>
    </xf>
    <xf numFmtId="0" fontId="61" fillId="2" borderId="52" xfId="0" applyFont="1" applyFill="1" applyBorder="1">
      <alignment horizontal="left" vertical="center" indent="1"/>
      <protection hidden="1"/>
    </xf>
    <xf numFmtId="0" fontId="61" fillId="2" borderId="0" xfId="0" applyFont="1" applyFill="1">
      <alignment horizontal="left" vertical="center" indent="1"/>
      <protection hidden="1"/>
    </xf>
    <xf numFmtId="0" fontId="24" fillId="2" borderId="0" xfId="0" applyFont="1" applyFill="1" applyAlignment="1">
      <alignment vertical="center"/>
      <protection hidden="1"/>
    </xf>
    <xf numFmtId="0" fontId="23" fillId="2" borderId="0" xfId="0" applyFont="1" applyFill="1" applyAlignment="1">
      <alignment horizontal="right" vertical="center" indent="1"/>
      <protection hidden="1"/>
    </xf>
    <xf numFmtId="0" fontId="23" fillId="2" borderId="0" xfId="0" applyFont="1" applyFill="1">
      <alignment horizontal="left" vertical="center" indent="1"/>
      <protection hidden="1"/>
    </xf>
    <xf numFmtId="0" fontId="23" fillId="0" borderId="0" xfId="0" applyFont="1">
      <alignment horizontal="left" vertical="center" indent="1"/>
      <protection hidden="1"/>
    </xf>
    <xf numFmtId="38" fontId="23" fillId="2" borderId="0" xfId="0" applyNumberFormat="1" applyFont="1" applyFill="1" applyAlignment="1">
      <protection hidden="1"/>
    </xf>
    <xf numFmtId="38" fontId="23" fillId="2" borderId="0" xfId="0" applyNumberFormat="1" applyFont="1" applyFill="1" applyAlignment="1">
      <alignment horizontal="right"/>
      <protection hidden="1"/>
    </xf>
    <xf numFmtId="0" fontId="23" fillId="0" borderId="0" xfId="0" applyFont="1" applyFill="1">
      <alignment horizontal="left" vertical="center" indent="1"/>
      <protection hidden="1"/>
    </xf>
    <xf numFmtId="38" fontId="27" fillId="2" borderId="0" xfId="0" applyNumberFormat="1" applyFont="1" applyFill="1" applyAlignment="1">
      <alignment horizontal="left" indent="1"/>
      <protection hidden="1"/>
    </xf>
    <xf numFmtId="38" fontId="27" fillId="2" borderId="0" xfId="0" applyNumberFormat="1" applyFont="1" applyFill="1" applyAlignment="1">
      <alignment horizontal="right"/>
      <protection hidden="1"/>
    </xf>
    <xf numFmtId="38" fontId="27" fillId="2" borderId="0" xfId="0" applyNumberFormat="1" applyFont="1" applyFill="1" applyAlignment="1">
      <protection hidden="1"/>
    </xf>
    <xf numFmtId="0" fontId="23" fillId="2" borderId="0" xfId="0" applyFont="1" applyFill="1" applyAlignment="1">
      <alignment vertical="center"/>
      <protection hidden="1"/>
    </xf>
    <xf numFmtId="0" fontId="23" fillId="2" borderId="0" xfId="0" applyFont="1" applyFill="1" applyAlignment="1">
      <alignment horizontal="right" vertical="center"/>
      <protection hidden="1"/>
    </xf>
    <xf numFmtId="0" fontId="42" fillId="2" borderId="0" xfId="0" applyFont="1" applyFill="1" applyAlignment="1">
      <alignment vertical="center"/>
      <protection hidden="1"/>
    </xf>
    <xf numFmtId="0" fontId="49" fillId="2" borderId="0" xfId="0" applyFont="1" applyFill="1" applyAlignment="1">
      <alignment vertical="center"/>
      <protection hidden="1"/>
    </xf>
    <xf numFmtId="0" fontId="49" fillId="2" borderId="0" xfId="0" applyFont="1" applyFill="1" applyAlignment="1">
      <alignment horizontal="center" vertical="center"/>
      <protection hidden="1"/>
    </xf>
    <xf numFmtId="0" fontId="50" fillId="2" borderId="0" xfId="0" applyFont="1" applyFill="1" applyAlignment="1">
      <alignment vertical="top" wrapText="1"/>
      <protection hidden="1"/>
    </xf>
    <xf numFmtId="0" fontId="49" fillId="2" borderId="0" xfId="0" applyFont="1" applyFill="1" applyAlignment="1">
      <protection hidden="1"/>
    </xf>
    <xf numFmtId="0" fontId="18" fillId="0" borderId="0" xfId="0" applyFont="1" applyAlignment="1">
      <alignment vertical="center"/>
      <protection hidden="1"/>
    </xf>
    <xf numFmtId="0" fontId="0" fillId="0" borderId="0" xfId="0" applyAlignment="1">
      <alignment horizontal="right" vertical="center"/>
      <protection hidden="1"/>
    </xf>
    <xf numFmtId="0" fontId="0" fillId="0" borderId="0" xfId="0" applyAlignment="1">
      <alignment vertical="center"/>
      <protection hidden="1"/>
    </xf>
    <xf numFmtId="0" fontId="0" fillId="0" borderId="0" xfId="0" applyAlignment="1">
      <alignment horizontal="right" vertical="center" indent="1"/>
      <protection hidden="1"/>
    </xf>
    <xf numFmtId="0" fontId="85" fillId="5" borderId="0" xfId="0" applyFont="1" applyFill="1" applyAlignment="1">
      <alignment horizontal="center" vertical="center"/>
      <protection hidden="1"/>
    </xf>
    <xf numFmtId="0" fontId="85" fillId="5" borderId="0" xfId="0" applyFont="1" applyFill="1" applyAlignment="1">
      <alignment horizontal="left" vertical="center"/>
      <protection hidden="1"/>
    </xf>
    <xf numFmtId="0" fontId="0" fillId="5" borderId="0" xfId="0" applyFill="1" applyAlignment="1">
      <alignment horizontal="left" vertical="center"/>
      <protection hidden="1"/>
    </xf>
    <xf numFmtId="0" fontId="0" fillId="5" borderId="0" xfId="0" applyFill="1">
      <alignment horizontal="left" vertical="center" indent="1"/>
      <protection hidden="1"/>
    </xf>
    <xf numFmtId="0" fontId="52" fillId="2" borderId="21" xfId="0" applyFont="1" applyFill="1" applyBorder="1" applyAlignment="1">
      <alignment horizontal="left" indent="1"/>
      <protection hidden="1"/>
    </xf>
    <xf numFmtId="0" fontId="52" fillId="2" borderId="0" xfId="0" applyFont="1" applyFill="1" applyAlignment="1">
      <alignment horizontal="left" indent="1"/>
      <protection hidden="1"/>
    </xf>
    <xf numFmtId="0" fontId="8" fillId="2" borderId="21" xfId="0" applyFont="1" applyFill="1" applyBorder="1">
      <alignment horizontal="left" vertical="center" indent="1"/>
      <protection hidden="1"/>
    </xf>
    <xf numFmtId="0" fontId="46" fillId="2" borderId="0" xfId="0" applyFont="1" applyFill="1" applyAlignment="1">
      <alignment wrapText="1"/>
      <protection hidden="1"/>
    </xf>
    <xf numFmtId="0" fontId="10" fillId="2" borderId="0" xfId="0" applyFont="1" applyFill="1" applyAlignment="1">
      <alignment horizontal="right" vertical="top" wrapText="1" indent="2"/>
      <protection hidden="1"/>
    </xf>
    <xf numFmtId="0" fontId="8" fillId="2" borderId="21" xfId="0" applyFont="1" applyFill="1" applyBorder="1" applyAlignment="1">
      <protection hidden="1"/>
    </xf>
    <xf numFmtId="0" fontId="8" fillId="2" borderId="0" xfId="0" applyFont="1" applyFill="1" applyAlignment="1">
      <protection hidden="1"/>
    </xf>
    <xf numFmtId="0" fontId="8" fillId="2" borderId="22" xfId="0" applyFont="1" applyFill="1" applyBorder="1" applyAlignment="1">
      <protection hidden="1"/>
    </xf>
    <xf numFmtId="0" fontId="43" fillId="2" borderId="70" xfId="0" applyFont="1" applyFill="1" applyBorder="1" applyAlignment="1">
      <alignment vertical="center"/>
      <protection hidden="1"/>
    </xf>
    <xf numFmtId="0" fontId="43" fillId="2" borderId="65" xfId="0" applyFont="1" applyFill="1" applyBorder="1" applyAlignment="1">
      <alignment vertical="center"/>
      <protection hidden="1"/>
    </xf>
    <xf numFmtId="0" fontId="43" fillId="2" borderId="66" xfId="0" applyFont="1" applyFill="1" applyBorder="1" applyAlignment="1">
      <alignment vertical="center"/>
      <protection hidden="1"/>
    </xf>
    <xf numFmtId="0" fontId="43" fillId="2" borderId="71" xfId="0" applyFont="1" applyFill="1" applyBorder="1" applyAlignment="1">
      <alignment vertical="center"/>
      <protection hidden="1"/>
    </xf>
    <xf numFmtId="0" fontId="43" fillId="2" borderId="36" xfId="0" applyFont="1" applyFill="1" applyBorder="1" applyAlignment="1">
      <alignment vertical="center"/>
      <protection hidden="1"/>
    </xf>
    <xf numFmtId="0" fontId="43" fillId="2" borderId="37" xfId="0" applyFont="1" applyFill="1" applyBorder="1" applyAlignment="1">
      <alignment vertical="center"/>
      <protection hidden="1"/>
    </xf>
    <xf numFmtId="38" fontId="8" fillId="2" borderId="0" xfId="0" applyNumberFormat="1" applyFont="1" applyFill="1" applyAlignment="1">
      <alignment horizontal="right" indent="1"/>
      <protection hidden="1"/>
    </xf>
    <xf numFmtId="38" fontId="8" fillId="2" borderId="22" xfId="0" applyNumberFormat="1" applyFont="1" applyFill="1" applyBorder="1" applyAlignment="1">
      <alignment horizontal="right" indent="1"/>
      <protection hidden="1"/>
    </xf>
    <xf numFmtId="0" fontId="43" fillId="2" borderId="73" xfId="0" applyFont="1" applyFill="1" applyBorder="1" applyAlignment="1">
      <alignment vertical="center"/>
      <protection hidden="1"/>
    </xf>
    <xf numFmtId="0" fontId="43" fillId="2" borderId="74" xfId="0" applyFont="1" applyFill="1" applyBorder="1" applyAlignment="1">
      <alignment vertical="center"/>
      <protection hidden="1"/>
    </xf>
    <xf numFmtId="0" fontId="43" fillId="2" borderId="75" xfId="0" applyFont="1" applyFill="1" applyBorder="1" applyAlignment="1">
      <alignment vertical="center"/>
      <protection hidden="1"/>
    </xf>
    <xf numFmtId="0" fontId="8" fillId="2" borderId="0" xfId="0" applyFont="1" applyFill="1" applyAlignment="1">
      <alignment horizontal="left" vertical="top" wrapText="1" indent="1"/>
      <protection hidden="1"/>
    </xf>
    <xf numFmtId="38" fontId="8" fillId="2" borderId="0" xfId="0" applyNumberFormat="1" applyFont="1" applyFill="1" applyAlignment="1">
      <alignment horizontal="right" vertical="top" wrapText="1" indent="1"/>
      <protection hidden="1"/>
    </xf>
    <xf numFmtId="0" fontId="11" fillId="2" borderId="20" xfId="0" applyFont="1" applyFill="1" applyBorder="1" applyAlignment="1">
      <protection hidden="1"/>
    </xf>
    <xf numFmtId="0" fontId="11" fillId="2" borderId="20" xfId="0" applyFont="1" applyFill="1" applyBorder="1" applyAlignment="1">
      <alignment horizontal="center"/>
      <protection hidden="1"/>
    </xf>
    <xf numFmtId="0" fontId="43" fillId="2" borderId="109" xfId="0" applyFont="1" applyFill="1" applyBorder="1" applyAlignment="1">
      <alignment vertical="center"/>
      <protection hidden="1"/>
    </xf>
    <xf numFmtId="0" fontId="43" fillId="2" borderId="33" xfId="0" applyFont="1" applyFill="1" applyBorder="1" applyAlignment="1">
      <alignment vertical="center"/>
      <protection hidden="1"/>
    </xf>
    <xf numFmtId="0" fontId="43" fillId="2" borderId="34" xfId="0" applyFont="1" applyFill="1" applyBorder="1" applyAlignment="1">
      <alignment vertical="center"/>
      <protection hidden="1"/>
    </xf>
    <xf numFmtId="0" fontId="10" fillId="2" borderId="0" xfId="0" applyNumberFormat="1" applyFont="1" applyFill="1" applyAlignment="1">
      <alignment horizontal="left" indent="1"/>
      <protection hidden="1"/>
    </xf>
    <xf numFmtId="0" fontId="71" fillId="2" borderId="0" xfId="0" applyFont="1" applyFill="1" applyAlignment="1">
      <alignment vertical="center"/>
      <protection hidden="1"/>
    </xf>
    <xf numFmtId="0" fontId="10" fillId="2" borderId="0" xfId="0" applyNumberFormat="1" applyFont="1" applyFill="1" applyAlignment="1">
      <alignment vertical="center"/>
      <protection hidden="1"/>
    </xf>
    <xf numFmtId="38" fontId="11" fillId="2" borderId="0" xfId="0" applyNumberFormat="1" applyFont="1" applyFill="1" applyAlignment="1">
      <alignment horizontal="right" indent="1"/>
      <protection hidden="1"/>
    </xf>
    <xf numFmtId="0" fontId="8" fillId="2" borderId="0" xfId="0" applyFont="1" applyFill="1" applyAlignment="1">
      <alignment vertical="center"/>
      <protection hidden="1"/>
    </xf>
    <xf numFmtId="0" fontId="111" fillId="2" borderId="0" xfId="0" applyFont="1" applyFill="1">
      <alignment horizontal="left" vertical="center" indent="1"/>
      <protection hidden="1"/>
    </xf>
    <xf numFmtId="0" fontId="111" fillId="0" borderId="0" xfId="0" applyFont="1">
      <alignment horizontal="left" vertical="center" indent="1"/>
      <protection hidden="1"/>
    </xf>
    <xf numFmtId="0" fontId="8" fillId="2" borderId="0" xfId="0" applyFont="1" applyFill="1" applyAlignment="1">
      <alignment vertical="top" wrapText="1"/>
      <protection hidden="1"/>
    </xf>
    <xf numFmtId="0" fontId="43" fillId="2" borderId="0" xfId="0" applyFont="1" applyFill="1" applyAlignment="1">
      <alignment wrapText="1"/>
      <protection hidden="1"/>
    </xf>
    <xf numFmtId="0" fontId="90" fillId="2" borderId="0" xfId="0" applyFont="1" applyFill="1" applyAlignment="1">
      <alignment wrapText="1"/>
      <protection hidden="1"/>
    </xf>
    <xf numFmtId="0" fontId="17" fillId="2" borderId="0" xfId="0" applyFont="1" applyFill="1" applyAlignment="1">
      <alignment horizontal="right" vertical="top" wrapText="1" indent="2"/>
      <protection hidden="1"/>
    </xf>
    <xf numFmtId="38" fontId="9" fillId="2" borderId="0" xfId="0" applyNumberFormat="1" applyFont="1" applyFill="1" applyAlignment="1">
      <alignment horizontal="right" vertical="top" wrapText="1" indent="1"/>
      <protection hidden="1"/>
    </xf>
    <xf numFmtId="0" fontId="70" fillId="2" borderId="0" xfId="0" applyFont="1" applyFill="1" applyAlignment="1">
      <alignment vertical="center"/>
      <protection hidden="1"/>
    </xf>
    <xf numFmtId="0" fontId="9" fillId="2" borderId="0" xfId="0" applyFont="1" applyFill="1" applyAlignment="1">
      <alignment horizontal="left" vertical="top" wrapText="1" indent="1"/>
      <protection hidden="1"/>
    </xf>
    <xf numFmtId="0" fontId="17" fillId="2" borderId="0" xfId="0" applyNumberFormat="1" applyFont="1" applyFill="1" applyAlignment="1">
      <alignment horizontal="left" indent="1"/>
      <protection hidden="1"/>
    </xf>
    <xf numFmtId="0" fontId="17" fillId="2" borderId="0" xfId="0" applyNumberFormat="1" applyFont="1" applyFill="1" applyAlignment="1">
      <alignment vertical="center"/>
      <protection hidden="1"/>
    </xf>
    <xf numFmtId="0" fontId="9" fillId="2" borderId="0" xfId="0" applyFont="1" applyFill="1" applyAlignment="1">
      <alignment vertical="center"/>
      <protection hidden="1"/>
    </xf>
    <xf numFmtId="38" fontId="13" fillId="2" borderId="0" xfId="0" applyNumberFormat="1" applyFont="1" applyFill="1" applyAlignment="1">
      <alignment horizontal="right" indent="1"/>
      <protection hidden="1"/>
    </xf>
    <xf numFmtId="0" fontId="8" fillId="25" borderId="0" xfId="0" applyFont="1" applyFill="1">
      <alignment horizontal="left" vertical="center" indent="1"/>
      <protection hidden="1"/>
    </xf>
    <xf numFmtId="0" fontId="37" fillId="25" borderId="0" xfId="0" applyFont="1" applyFill="1">
      <alignment horizontal="left" vertical="center" indent="1"/>
      <protection hidden="1"/>
    </xf>
    <xf numFmtId="0" fontId="24" fillId="2" borderId="0" xfId="0" applyFont="1" applyFill="1" applyAlignment="1">
      <alignment horizontal="left" indent="1"/>
      <protection hidden="1"/>
    </xf>
    <xf numFmtId="0" fontId="111" fillId="25" borderId="0" xfId="0" applyFont="1" applyFill="1">
      <alignment horizontal="left" vertical="center" indent="1"/>
      <protection hidden="1"/>
    </xf>
    <xf numFmtId="0" fontId="123" fillId="2" borderId="0" xfId="0" applyFont="1" applyFill="1" applyAlignment="1">
      <alignment horizontal="left" indent="1"/>
      <protection hidden="1"/>
    </xf>
    <xf numFmtId="0" fontId="32" fillId="2" borderId="52" xfId="0" applyFont="1" applyFill="1" applyBorder="1" applyAlignment="1">
      <alignment vertical="center"/>
      <protection hidden="1"/>
    </xf>
    <xf numFmtId="0" fontId="46" fillId="25" borderId="0" xfId="0" applyFont="1" applyFill="1" applyAlignment="1">
      <alignment wrapText="1"/>
      <protection hidden="1"/>
    </xf>
    <xf numFmtId="3" fontId="58" fillId="18" borderId="0" xfId="0" applyNumberFormat="1" applyFont="1" applyFill="1" applyAlignment="1">
      <alignment horizontal="right" vertical="center" indent="1"/>
      <protection hidden="1"/>
    </xf>
    <xf numFmtId="3" fontId="58" fillId="2" borderId="0" xfId="0" applyNumberFormat="1" applyFont="1" applyFill="1" applyAlignment="1">
      <alignment horizontal="center" vertical="center"/>
      <protection hidden="1"/>
    </xf>
    <xf numFmtId="0" fontId="58" fillId="0" borderId="0" xfId="0" applyFont="1">
      <alignment horizontal="left" vertical="center" indent="1"/>
      <protection hidden="1"/>
    </xf>
    <xf numFmtId="0" fontId="54" fillId="2" borderId="0" xfId="0" applyFont="1" applyFill="1">
      <alignment horizontal="left" vertical="center" indent="1"/>
      <protection hidden="1"/>
    </xf>
    <xf numFmtId="0" fontId="54" fillId="2" borderId="0" xfId="0" applyFont="1" applyFill="1" applyAlignment="1">
      <alignment horizontal="center" vertical="center"/>
      <protection hidden="1"/>
    </xf>
    <xf numFmtId="0" fontId="54" fillId="0" borderId="0" xfId="0" applyFont="1">
      <alignment horizontal="left" vertical="center" indent="1"/>
      <protection hidden="1"/>
    </xf>
    <xf numFmtId="0" fontId="54" fillId="0" borderId="0" xfId="0" applyFont="1" applyAlignment="1">
      <alignment horizontal="center" vertical="center"/>
      <protection hidden="1"/>
    </xf>
    <xf numFmtId="0" fontId="54" fillId="0" borderId="0" xfId="0" applyFont="1" applyFill="1" applyAlignment="1">
      <alignment horizontal="left" wrapText="1" indent="1"/>
      <protection hidden="1"/>
    </xf>
    <xf numFmtId="0" fontId="54" fillId="0" borderId="0" xfId="0" applyFont="1" applyFill="1" applyAlignment="1">
      <alignment horizontal="center" wrapText="1"/>
      <protection hidden="1"/>
    </xf>
    <xf numFmtId="0" fontId="1" fillId="0" borderId="0" xfId="0" applyFont="1" applyFill="1" applyAlignment="1">
      <alignment horizontal="center" wrapText="1"/>
      <protection hidden="1"/>
    </xf>
    <xf numFmtId="0" fontId="54" fillId="8" borderId="0" xfId="0" applyFont="1" applyFill="1" applyAlignment="1">
      <alignment horizontal="center" wrapText="1"/>
      <protection hidden="1"/>
    </xf>
    <xf numFmtId="0" fontId="1" fillId="8" borderId="0" xfId="0" applyFont="1" applyFill="1" applyAlignment="1">
      <alignment horizontal="center" wrapText="1"/>
      <protection hidden="1"/>
    </xf>
    <xf numFmtId="0" fontId="54" fillId="0" borderId="0" xfId="0" applyFont="1" applyAlignment="1">
      <alignment horizontal="center" wrapText="1"/>
      <protection hidden="1"/>
    </xf>
    <xf numFmtId="0" fontId="1" fillId="0" borderId="0" xfId="0" applyNumberFormat="1" applyFont="1">
      <alignment horizontal="left" vertical="center" indent="1"/>
      <protection hidden="1"/>
    </xf>
    <xf numFmtId="0" fontId="54" fillId="0" borderId="0" xfId="0" applyNumberFormat="1" applyFont="1" applyAlignment="1">
      <alignment horizontal="center" vertical="center"/>
      <protection hidden="1"/>
    </xf>
    <xf numFmtId="165" fontId="54" fillId="0" borderId="0" xfId="8" applyFont="1" applyProtection="1">
      <alignment horizontal="center" vertical="center"/>
      <protection hidden="1"/>
    </xf>
    <xf numFmtId="3" fontId="54" fillId="0" borderId="0" xfId="0" applyNumberFormat="1" applyFont="1" applyAlignment="1">
      <alignment horizontal="right" vertical="center" indent="1"/>
      <protection hidden="1"/>
    </xf>
    <xf numFmtId="3" fontId="38" fillId="4" borderId="0" xfId="0" applyNumberFormat="1" applyFont="1" applyFill="1" applyAlignment="1">
      <alignment horizontal="right" vertical="center" indent="1"/>
      <protection hidden="1"/>
    </xf>
    <xf numFmtId="3" fontId="54" fillId="0" borderId="0" xfId="0" applyNumberFormat="1" applyFont="1" applyFill="1" applyAlignment="1">
      <alignment horizontal="right" vertical="center" indent="1"/>
      <protection hidden="1"/>
    </xf>
    <xf numFmtId="0" fontId="54" fillId="0" borderId="0" xfId="0" applyNumberFormat="1" applyFont="1">
      <alignment horizontal="left" vertical="center" indent="1"/>
      <protection hidden="1"/>
    </xf>
    <xf numFmtId="166" fontId="54" fillId="0" borderId="0" xfId="0" applyNumberFormat="1" applyFont="1" applyAlignment="1">
      <alignment horizontal="center" vertical="center"/>
      <protection hidden="1"/>
    </xf>
    <xf numFmtId="4" fontId="54" fillId="0" borderId="0" xfId="0" applyNumberFormat="1" applyFont="1" applyFill="1" applyAlignment="1">
      <alignment horizontal="center" vertical="center"/>
      <protection hidden="1"/>
    </xf>
    <xf numFmtId="3" fontId="54" fillId="0" borderId="0" xfId="0" applyNumberFormat="1" applyFont="1" applyFill="1" applyAlignment="1">
      <alignment horizontal="center" vertical="center"/>
      <protection hidden="1"/>
    </xf>
    <xf numFmtId="3" fontId="54" fillId="0" borderId="0" xfId="0" applyNumberFormat="1" applyFont="1" applyFill="1" applyAlignment="1">
      <alignment horizontal="right" vertical="center"/>
      <protection hidden="1"/>
    </xf>
    <xf numFmtId="0" fontId="54" fillId="0" borderId="0" xfId="0" applyFont="1" applyAlignment="1">
      <alignment horizontal="left" vertical="center"/>
      <protection hidden="1"/>
    </xf>
    <xf numFmtId="0" fontId="54" fillId="0" borderId="0" xfId="0" applyNumberFormat="1" applyFont="1" applyFill="1">
      <alignment horizontal="left" vertical="center" indent="1"/>
      <protection hidden="1"/>
    </xf>
    <xf numFmtId="0" fontId="54" fillId="0" borderId="0" xfId="0" applyNumberFormat="1" applyFont="1" applyFill="1" applyAlignment="1">
      <alignment horizontal="center" vertical="center"/>
      <protection hidden="1"/>
    </xf>
    <xf numFmtId="165" fontId="54" fillId="0" borderId="0" xfId="8" applyFont="1" applyFill="1" applyProtection="1">
      <alignment horizontal="center" vertical="center"/>
      <protection hidden="1"/>
    </xf>
    <xf numFmtId="3" fontId="54" fillId="0" borderId="0" xfId="2" applyNumberFormat="1" applyFont="1" applyFill="1" applyAlignment="1" applyProtection="1">
      <alignment horizontal="right" vertical="center" indent="1"/>
      <protection hidden="1"/>
    </xf>
    <xf numFmtId="166" fontId="54" fillId="0" borderId="0" xfId="0" applyNumberFormat="1" applyFont="1" applyFill="1" applyAlignment="1">
      <alignment horizontal="center" vertical="center"/>
      <protection hidden="1"/>
    </xf>
    <xf numFmtId="0" fontId="1" fillId="0" borderId="0" xfId="0" applyNumberFormat="1" applyFont="1" applyAlignment="1">
      <alignment horizontal="center" vertical="center"/>
      <protection hidden="1"/>
    </xf>
    <xf numFmtId="3" fontId="54" fillId="14" borderId="0" xfId="0" applyNumberFormat="1" applyFont="1" applyFill="1" applyAlignment="1">
      <alignment horizontal="right" vertical="center" indent="1"/>
      <protection hidden="1"/>
    </xf>
    <xf numFmtId="14" fontId="13" fillId="2" borderId="0" xfId="0" applyNumberFormat="1" applyFont="1" applyFill="1" applyAlignment="1">
      <alignment horizontal="left" indent="1"/>
      <protection hidden="1"/>
    </xf>
    <xf numFmtId="0" fontId="37" fillId="2" borderId="0" xfId="0" applyFont="1" applyFill="1" applyAlignment="1">
      <alignment horizontal="center"/>
      <protection hidden="1"/>
    </xf>
    <xf numFmtId="0" fontId="9" fillId="2" borderId="0" xfId="0" applyFont="1" applyFill="1" applyAlignment="1">
      <alignment horizontal="left" indent="2"/>
      <protection hidden="1"/>
    </xf>
    <xf numFmtId="0" fontId="9" fillId="0" borderId="0" xfId="0" applyFont="1" applyFill="1" applyAlignment="1">
      <alignment horizontal="left" indent="2"/>
      <protection hidden="1"/>
    </xf>
    <xf numFmtId="0" fontId="0" fillId="0" borderId="0" xfId="0" applyFill="1">
      <alignment horizontal="left" vertical="center" indent="1"/>
      <protection hidden="1"/>
    </xf>
    <xf numFmtId="0" fontId="31" fillId="3" borderId="0" xfId="0" applyFont="1" applyFill="1" applyAlignment="1">
      <alignment horizontal="center" vertical="center"/>
      <protection hidden="1"/>
    </xf>
    <xf numFmtId="0" fontId="37" fillId="2" borderId="0" xfId="0" applyFont="1" applyFill="1" applyAlignment="1">
      <alignment horizontal="center" vertical="center"/>
      <protection hidden="1"/>
    </xf>
    <xf numFmtId="0" fontId="37" fillId="0" borderId="0" xfId="0" applyFont="1" applyFill="1" applyAlignment="1">
      <alignment horizontal="center" vertical="center"/>
      <protection hidden="1"/>
    </xf>
    <xf numFmtId="0" fontId="9" fillId="2" borderId="0" xfId="0" applyFont="1" applyFill="1" applyAlignment="1">
      <protection hidden="1"/>
    </xf>
    <xf numFmtId="0" fontId="9" fillId="0" borderId="0" xfId="0" applyFont="1" applyFill="1" applyAlignment="1">
      <protection hidden="1"/>
    </xf>
    <xf numFmtId="0" fontId="20" fillId="2" borderId="0" xfId="0" applyNumberFormat="1" applyFont="1" applyFill="1" applyAlignment="1">
      <alignment horizontal="left" vertical="center"/>
      <protection hidden="1"/>
    </xf>
    <xf numFmtId="3" fontId="9" fillId="0" borderId="0" xfId="0" applyNumberFormat="1" applyFont="1" applyFill="1" applyAlignment="1">
      <alignment horizontal="left" vertical="center"/>
      <protection hidden="1"/>
    </xf>
    <xf numFmtId="0" fontId="19" fillId="0" borderId="0" xfId="0" applyFont="1" applyFill="1" applyAlignment="1">
      <alignment horizontal="left" vertical="center"/>
      <protection hidden="1"/>
    </xf>
    <xf numFmtId="0" fontId="127" fillId="2" borderId="0" xfId="0" applyFont="1" applyFill="1" applyAlignment="1">
      <alignment vertical="center"/>
      <protection hidden="1"/>
    </xf>
    <xf numFmtId="0" fontId="127" fillId="0" borderId="0" xfId="0" applyFont="1" applyFill="1" applyAlignment="1">
      <alignment vertical="center"/>
      <protection hidden="1"/>
    </xf>
    <xf numFmtId="0" fontId="127" fillId="0" borderId="0" xfId="0" applyFont="1" applyFill="1" applyAlignment="1">
      <alignment horizontal="left" vertical="center"/>
      <protection hidden="1"/>
    </xf>
    <xf numFmtId="37" fontId="78" fillId="8" borderId="149" xfId="0" applyNumberFormat="1" applyFont="1" applyFill="1" applyBorder="1" applyAlignment="1" applyProtection="1">
      <alignment horizontal="right" vertical="center" indent="1"/>
    </xf>
    <xf numFmtId="37" fontId="78" fillId="2" borderId="0" xfId="0" applyNumberFormat="1" applyFont="1" applyFill="1" applyAlignment="1">
      <alignment horizontal="right" vertical="center" indent="1"/>
      <protection hidden="1"/>
    </xf>
    <xf numFmtId="0" fontId="78" fillId="8" borderId="149" xfId="0" applyFont="1" applyFill="1" applyBorder="1" applyAlignment="1" applyProtection="1">
      <alignment horizontal="right" vertical="center" indent="1"/>
    </xf>
    <xf numFmtId="0" fontId="79" fillId="8" borderId="149" xfId="0" applyFont="1" applyFill="1" applyBorder="1" applyAlignment="1" applyProtection="1">
      <alignment horizontal="center" vertical="center"/>
    </xf>
    <xf numFmtId="165" fontId="79" fillId="8" borderId="149" xfId="8" applyFont="1" applyFill="1" applyBorder="1" applyProtection="1">
      <alignment horizontal="center" vertical="center"/>
    </xf>
    <xf numFmtId="37" fontId="78" fillId="8" borderId="149" xfId="0" applyNumberFormat="1" applyFont="1" applyFill="1" applyBorder="1" applyAlignment="1" applyProtection="1">
      <alignment horizontal="center" vertical="center"/>
    </xf>
    <xf numFmtId="37" fontId="78" fillId="8" borderId="150" xfId="0" applyNumberFormat="1" applyFont="1" applyFill="1" applyBorder="1" applyAlignment="1" applyProtection="1">
      <alignment horizontal="right" vertical="center" indent="1"/>
    </xf>
    <xf numFmtId="37" fontId="78" fillId="8" borderId="151" xfId="0" applyNumberFormat="1" applyFont="1" applyFill="1" applyBorder="1" applyAlignment="1" applyProtection="1">
      <alignment horizontal="right" vertical="center" indent="1"/>
    </xf>
    <xf numFmtId="0" fontId="60" fillId="8" borderId="142" xfId="0" applyFont="1" applyFill="1" applyBorder="1" applyAlignment="1">
      <alignment horizontal="left" vertical="center" indent="2"/>
      <protection hidden="1"/>
    </xf>
    <xf numFmtId="0" fontId="60" fillId="8" borderId="143" xfId="0" applyFont="1" applyFill="1" applyBorder="1" applyAlignment="1">
      <alignment horizontal="left" vertical="center" indent="2"/>
      <protection hidden="1"/>
    </xf>
    <xf numFmtId="0" fontId="60" fillId="8" borderId="144" xfId="0" applyFont="1" applyFill="1" applyBorder="1" applyAlignment="1">
      <alignment horizontal="left" vertical="center" indent="2"/>
      <protection hidden="1"/>
    </xf>
    <xf numFmtId="0" fontId="60" fillId="18" borderId="140" xfId="0" applyFont="1" applyFill="1" applyBorder="1" applyAlignment="1">
      <alignment horizontal="left" vertical="center" indent="2"/>
      <protection hidden="1"/>
    </xf>
    <xf numFmtId="0" fontId="60" fillId="18" borderId="2" xfId="0" applyFont="1" applyFill="1" applyBorder="1" applyAlignment="1">
      <alignment horizontal="left" vertical="center" indent="2"/>
      <protection hidden="1"/>
    </xf>
    <xf numFmtId="0" fontId="60" fillId="18" borderId="141" xfId="0" applyFont="1" applyFill="1" applyBorder="1" applyAlignment="1">
      <alignment horizontal="left" vertical="center" indent="2"/>
      <protection hidden="1"/>
    </xf>
    <xf numFmtId="0" fontId="14" fillId="4" borderId="140" xfId="0" applyFont="1" applyFill="1" applyBorder="1" applyAlignment="1">
      <alignment horizontal="left" vertical="center" indent="2"/>
      <protection hidden="1"/>
    </xf>
    <xf numFmtId="0" fontId="14" fillId="4" borderId="2" xfId="0" applyFont="1" applyFill="1" applyBorder="1" applyAlignment="1">
      <alignment horizontal="left" vertical="center" indent="2"/>
      <protection hidden="1"/>
    </xf>
    <xf numFmtId="0" fontId="14" fillId="4" borderId="141" xfId="0" applyFont="1" applyFill="1" applyBorder="1" applyAlignment="1">
      <alignment horizontal="left" vertical="center" indent="2"/>
      <protection hidden="1"/>
    </xf>
    <xf numFmtId="0" fontId="79" fillId="2" borderId="0" xfId="0" applyFont="1" applyFill="1" applyAlignment="1">
      <alignment horizontal="right" vertical="center" indent="1"/>
      <protection hidden="1"/>
    </xf>
    <xf numFmtId="0" fontId="101" fillId="2" borderId="0" xfId="7" applyFont="1" applyFill="1" applyAlignment="1" applyProtection="1">
      <alignment horizontal="left" vertical="center"/>
      <protection hidden="1"/>
    </xf>
    <xf numFmtId="0" fontId="79" fillId="2" borderId="0" xfId="0" applyFont="1" applyFill="1" applyAlignment="1">
      <alignment horizontal="left" vertical="center"/>
      <protection hidden="1"/>
    </xf>
    <xf numFmtId="0" fontId="75" fillId="3" borderId="13" xfId="11" applyFont="1" applyFill="1" applyBorder="1" applyAlignment="1" applyProtection="1">
      <alignment horizontal="center" vertical="center"/>
      <protection hidden="1"/>
    </xf>
    <xf numFmtId="0" fontId="75" fillId="3" borderId="4" xfId="11" applyFont="1" applyFill="1" applyBorder="1" applyAlignment="1" applyProtection="1">
      <alignment horizontal="center" vertical="center"/>
      <protection hidden="1"/>
    </xf>
    <xf numFmtId="0" fontId="75" fillId="3" borderId="14" xfId="11" applyFont="1" applyFill="1" applyBorder="1" applyAlignment="1" applyProtection="1">
      <alignment horizontal="center" vertical="center"/>
      <protection hidden="1"/>
    </xf>
    <xf numFmtId="0" fontId="57" fillId="5" borderId="3" xfId="11" applyFont="1" applyFill="1" applyBorder="1" applyAlignment="1" applyProtection="1">
      <alignment horizontal="right" vertical="center" indent="1"/>
      <protection hidden="1"/>
    </xf>
    <xf numFmtId="0" fontId="78" fillId="10" borderId="140" xfId="0" applyFont="1" applyFill="1" applyBorder="1" applyAlignment="1">
      <alignment horizontal="left" vertical="center" indent="2"/>
      <protection hidden="1"/>
    </xf>
    <xf numFmtId="0" fontId="78" fillId="10" borderId="2" xfId="0" applyFont="1" applyFill="1" applyBorder="1" applyAlignment="1">
      <alignment horizontal="left" vertical="center" indent="2"/>
      <protection hidden="1"/>
    </xf>
    <xf numFmtId="0" fontId="78" fillId="10" borderId="141" xfId="0" applyFont="1" applyFill="1" applyBorder="1" applyAlignment="1">
      <alignment horizontal="left" vertical="center" indent="2"/>
      <protection hidden="1"/>
    </xf>
    <xf numFmtId="0" fontId="124" fillId="2" borderId="0" xfId="3" applyFont="1" applyFill="1" applyBorder="1" applyAlignment="1" applyProtection="1">
      <alignment horizontal="center"/>
      <protection hidden="1"/>
    </xf>
    <xf numFmtId="0" fontId="79" fillId="2" borderId="0" xfId="0" applyFont="1" applyFill="1" applyAlignment="1">
      <alignment horizontal="left" vertical="top" wrapText="1" indent="2"/>
      <protection hidden="1"/>
    </xf>
    <xf numFmtId="0" fontId="25" fillId="23" borderId="0" xfId="0" applyFont="1" applyFill="1" applyAlignment="1">
      <alignment horizontal="left" vertical="center" indent="2"/>
      <protection hidden="1"/>
    </xf>
    <xf numFmtId="0" fontId="55" fillId="5" borderId="6" xfId="11" applyFont="1" applyFill="1" applyBorder="1" applyAlignment="1" applyProtection="1">
      <alignment horizontal="left" vertical="top" wrapText="1" indent="4"/>
      <protection hidden="1"/>
    </xf>
    <xf numFmtId="0" fontId="55" fillId="5" borderId="0" xfId="11" applyFont="1" applyFill="1" applyAlignment="1" applyProtection="1">
      <alignment horizontal="left" vertical="top" wrapText="1" indent="4"/>
      <protection hidden="1"/>
    </xf>
    <xf numFmtId="0" fontId="93" fillId="5" borderId="0" xfId="3" applyFont="1" applyFill="1" applyBorder="1" applyAlignment="1" applyProtection="1">
      <alignment horizontal="center" vertical="center"/>
      <protection hidden="1"/>
    </xf>
    <xf numFmtId="0" fontId="32" fillId="2" borderId="0" xfId="0" applyFont="1" applyFill="1" applyAlignment="1">
      <alignment horizontal="right" vertical="center"/>
      <protection hidden="1"/>
    </xf>
    <xf numFmtId="0" fontId="79" fillId="2" borderId="0" xfId="0" applyFont="1" applyFill="1" applyAlignment="1">
      <alignment horizontal="left" vertical="top" wrapText="1" indent="1"/>
      <protection hidden="1"/>
    </xf>
    <xf numFmtId="0" fontId="120" fillId="10" borderId="0" xfId="7" applyFont="1" applyFill="1" applyAlignment="1" applyProtection="1">
      <alignment horizontal="right" vertical="center" indent="1"/>
      <protection hidden="1"/>
    </xf>
    <xf numFmtId="0" fontId="79" fillId="2" borderId="0" xfId="0" applyFont="1" applyFill="1" applyAlignment="1">
      <alignment horizontal="right" vertical="top" indent="1"/>
      <protection hidden="1"/>
    </xf>
    <xf numFmtId="0" fontId="119" fillId="3" borderId="0" xfId="7" applyFont="1" applyFill="1" applyAlignment="1" applyProtection="1">
      <alignment horizontal="right" vertical="center" indent="1"/>
      <protection hidden="1"/>
    </xf>
    <xf numFmtId="0" fontId="120" fillId="18" borderId="0" xfId="7" applyFont="1" applyFill="1" applyAlignment="1" applyProtection="1">
      <alignment horizontal="right" vertical="center" indent="1"/>
      <protection hidden="1"/>
    </xf>
    <xf numFmtId="0" fontId="120" fillId="8" borderId="0" xfId="7" applyFont="1" applyFill="1" applyAlignment="1" applyProtection="1">
      <alignment horizontal="right" vertical="center" indent="1"/>
      <protection hidden="1"/>
    </xf>
    <xf numFmtId="0" fontId="119" fillId="4" borderId="0" xfId="7" applyFont="1" applyFill="1" applyAlignment="1" applyProtection="1">
      <alignment horizontal="right" vertical="center" indent="1"/>
      <protection hidden="1"/>
    </xf>
    <xf numFmtId="0" fontId="79" fillId="2" borderId="0" xfId="0" applyFont="1" applyFill="1" applyAlignment="1">
      <alignment horizontal="left" vertical="center" wrapText="1" indent="1"/>
      <protection hidden="1"/>
    </xf>
    <xf numFmtId="0" fontId="55" fillId="5" borderId="6" xfId="11" applyFont="1" applyFill="1" applyBorder="1" applyAlignment="1" applyProtection="1">
      <alignment horizontal="left" vertical="center" wrapText="1" indent="3"/>
      <protection hidden="1"/>
    </xf>
    <xf numFmtId="0" fontId="55" fillId="5" borderId="0" xfId="11" applyFont="1" applyFill="1" applyAlignment="1" applyProtection="1">
      <alignment horizontal="left" vertical="center" wrapText="1" indent="3"/>
      <protection hidden="1"/>
    </xf>
    <xf numFmtId="0" fontId="42" fillId="3" borderId="7" xfId="0" applyFont="1" applyFill="1" applyBorder="1">
      <alignment horizontal="left" vertical="center" indent="1"/>
      <protection hidden="1"/>
    </xf>
    <xf numFmtId="0" fontId="42" fillId="3" borderId="2" xfId="0" applyFont="1" applyFill="1" applyBorder="1">
      <alignment horizontal="left" vertical="center" indent="1"/>
      <protection hidden="1"/>
    </xf>
    <xf numFmtId="0" fontId="42" fillId="3" borderId="8" xfId="0" applyFont="1" applyFill="1" applyBorder="1">
      <alignment horizontal="left" vertical="center" indent="1"/>
      <protection hidden="1"/>
    </xf>
    <xf numFmtId="0" fontId="42" fillId="3" borderId="5" xfId="0" applyFont="1" applyFill="1" applyBorder="1" applyAlignment="1">
      <alignment horizontal="center" vertical="center"/>
      <protection hidden="1"/>
    </xf>
    <xf numFmtId="0" fontId="125" fillId="5" borderId="13" xfId="0" quotePrefix="1" applyFont="1" applyFill="1" applyBorder="1" applyAlignment="1">
      <alignment horizontal="left" vertical="center" wrapText="1" indent="1"/>
      <protection hidden="1"/>
    </xf>
    <xf numFmtId="0" fontId="125" fillId="5" borderId="4" xfId="0" applyFont="1" applyFill="1" applyBorder="1" applyAlignment="1">
      <alignment horizontal="left" vertical="center" wrapText="1" indent="1"/>
      <protection hidden="1"/>
    </xf>
    <xf numFmtId="0" fontId="125" fillId="5" borderId="14" xfId="0" applyFont="1" applyFill="1" applyBorder="1" applyAlignment="1">
      <alignment horizontal="left" vertical="center" wrapText="1" indent="1"/>
      <protection hidden="1"/>
    </xf>
    <xf numFmtId="0" fontId="125" fillId="5" borderId="6" xfId="0" applyFont="1" applyFill="1" applyBorder="1" applyAlignment="1">
      <alignment horizontal="left" vertical="center" wrapText="1" indent="1"/>
      <protection hidden="1"/>
    </xf>
    <xf numFmtId="0" fontId="125" fillId="5" borderId="0" xfId="0" applyFont="1" applyFill="1" applyAlignment="1">
      <alignment horizontal="left" vertical="center" wrapText="1" indent="1"/>
      <protection hidden="1"/>
    </xf>
    <xf numFmtId="0" fontId="125" fillId="5" borderId="9" xfId="0" applyFont="1" applyFill="1" applyBorder="1" applyAlignment="1">
      <alignment horizontal="left" vertical="center" wrapText="1" indent="1"/>
      <protection hidden="1"/>
    </xf>
    <xf numFmtId="0" fontId="125" fillId="5" borderId="10" xfId="0" applyFont="1" applyFill="1" applyBorder="1" applyAlignment="1">
      <alignment horizontal="left" vertical="center" wrapText="1" indent="1"/>
      <protection hidden="1"/>
    </xf>
    <xf numFmtId="0" fontId="125" fillId="5" borderId="3" xfId="0" applyFont="1" applyFill="1" applyBorder="1" applyAlignment="1">
      <alignment horizontal="left" vertical="center" wrapText="1" indent="1"/>
      <protection hidden="1"/>
    </xf>
    <xf numFmtId="0" fontId="125" fillId="5" borderId="11" xfId="0" applyFont="1" applyFill="1" applyBorder="1" applyAlignment="1">
      <alignment horizontal="left" vertical="center" wrapText="1" indent="1"/>
      <protection hidden="1"/>
    </xf>
    <xf numFmtId="0" fontId="32" fillId="0" borderId="24" xfId="0" applyFont="1" applyBorder="1" applyAlignment="1">
      <alignment horizontal="left" indent="1"/>
      <protection hidden="1"/>
    </xf>
    <xf numFmtId="3" fontId="43" fillId="8" borderId="53" xfId="0" applyNumberFormat="1" applyFont="1" applyFill="1" applyBorder="1" applyAlignment="1">
      <alignment horizontal="right" vertical="center" indent="1"/>
      <protection hidden="1"/>
    </xf>
    <xf numFmtId="0" fontId="32" fillId="0" borderId="15" xfId="0" applyFont="1" applyBorder="1" applyAlignment="1">
      <alignment horizontal="left" indent="1"/>
      <protection hidden="1"/>
    </xf>
    <xf numFmtId="3" fontId="43" fillId="10" borderId="54" xfId="0" applyNumberFormat="1" applyFont="1" applyFill="1" applyBorder="1" applyAlignment="1">
      <alignment horizontal="right" vertical="center" indent="1"/>
      <protection hidden="1"/>
    </xf>
    <xf numFmtId="0" fontId="32" fillId="0" borderId="16" xfId="0" applyFont="1" applyBorder="1" applyAlignment="1">
      <alignment horizontal="left" indent="1"/>
      <protection hidden="1"/>
    </xf>
    <xf numFmtId="3" fontId="43" fillId="8" borderId="55" xfId="0" applyNumberFormat="1" applyFont="1" applyFill="1" applyBorder="1" applyAlignment="1">
      <alignment horizontal="right" vertical="center" indent="1"/>
      <protection hidden="1"/>
    </xf>
    <xf numFmtId="3" fontId="43" fillId="2" borderId="47" xfId="0" applyNumberFormat="1" applyFont="1" applyFill="1" applyBorder="1" applyAlignment="1">
      <alignment horizontal="right" vertical="center" indent="1"/>
      <protection hidden="1"/>
    </xf>
    <xf numFmtId="3" fontId="43" fillId="8" borderId="54" xfId="0" applyNumberFormat="1" applyFont="1" applyFill="1" applyBorder="1" applyAlignment="1" applyProtection="1">
      <alignment horizontal="right" vertical="center" indent="1"/>
    </xf>
    <xf numFmtId="0" fontId="43" fillId="2" borderId="35" xfId="0" applyFont="1" applyFill="1" applyBorder="1">
      <alignment horizontal="left" vertical="center" indent="1"/>
      <protection hidden="1"/>
    </xf>
    <xf numFmtId="0" fontId="43" fillId="2" borderId="36" xfId="0" applyFont="1" applyFill="1" applyBorder="1">
      <alignment horizontal="left" vertical="center" indent="1"/>
      <protection hidden="1"/>
    </xf>
    <xf numFmtId="0" fontId="43" fillId="2" borderId="37" xfId="0" applyFont="1" applyFill="1" applyBorder="1">
      <alignment horizontal="left" vertical="center" indent="1"/>
      <protection hidden="1"/>
    </xf>
    <xf numFmtId="0" fontId="43" fillId="2" borderId="64" xfId="0" applyFont="1" applyFill="1" applyBorder="1">
      <alignment horizontal="left" vertical="center" indent="1"/>
      <protection hidden="1"/>
    </xf>
    <xf numFmtId="0" fontId="43" fillId="2" borderId="65" xfId="0" applyFont="1" applyFill="1" applyBorder="1">
      <alignment horizontal="left" vertical="center" indent="1"/>
      <protection hidden="1"/>
    </xf>
    <xf numFmtId="0" fontId="43" fillId="2" borderId="66" xfId="0" applyFont="1" applyFill="1" applyBorder="1">
      <alignment horizontal="left" vertical="center" indent="1"/>
      <protection hidden="1"/>
    </xf>
    <xf numFmtId="3" fontId="43" fillId="2" borderId="58" xfId="0" applyNumberFormat="1" applyFont="1" applyFill="1" applyBorder="1" applyAlignment="1">
      <alignment horizontal="right" vertical="center" indent="1"/>
      <protection hidden="1"/>
    </xf>
    <xf numFmtId="3" fontId="43" fillId="8" borderId="53" xfId="0" applyNumberFormat="1" applyFont="1" applyFill="1" applyBorder="1" applyAlignment="1" applyProtection="1">
      <alignment horizontal="right" vertical="center" indent="1"/>
    </xf>
    <xf numFmtId="3" fontId="43" fillId="8" borderId="63" xfId="0" applyNumberFormat="1" applyFont="1" applyFill="1" applyBorder="1" applyAlignment="1" applyProtection="1">
      <alignment horizontal="right" vertical="center" indent="1"/>
    </xf>
    <xf numFmtId="0" fontId="42" fillId="4" borderId="7" xfId="0" applyFont="1" applyFill="1" applyBorder="1">
      <alignment horizontal="left" vertical="center" indent="1"/>
      <protection hidden="1"/>
    </xf>
    <xf numFmtId="0" fontId="42" fillId="4" borderId="2" xfId="0" applyFont="1" applyFill="1" applyBorder="1">
      <alignment horizontal="left" vertical="center" indent="1"/>
      <protection hidden="1"/>
    </xf>
    <xf numFmtId="0" fontId="42" fillId="4" borderId="8" xfId="0" applyFont="1" applyFill="1" applyBorder="1">
      <alignment horizontal="left" vertical="center" indent="1"/>
      <protection hidden="1"/>
    </xf>
    <xf numFmtId="0" fontId="43" fillId="2" borderId="59" xfId="0" applyFont="1" applyFill="1" applyBorder="1">
      <alignment horizontal="left" vertical="center" indent="1"/>
      <protection hidden="1"/>
    </xf>
    <xf numFmtId="0" fontId="43" fillId="2" borderId="60" xfId="0" applyFont="1" applyFill="1" applyBorder="1">
      <alignment horizontal="left" vertical="center" indent="1"/>
      <protection hidden="1"/>
    </xf>
    <xf numFmtId="0" fontId="43" fillId="2" borderId="61" xfId="0" applyFont="1" applyFill="1" applyBorder="1">
      <alignment horizontal="left" vertical="center" indent="1"/>
      <protection hidden="1"/>
    </xf>
    <xf numFmtId="3" fontId="43" fillId="2" borderId="62" xfId="0" applyNumberFormat="1" applyFont="1" applyFill="1" applyBorder="1" applyAlignment="1">
      <alignment horizontal="right" vertical="center" indent="1"/>
      <protection hidden="1"/>
    </xf>
    <xf numFmtId="0" fontId="42" fillId="11" borderId="13" xfId="0" applyFont="1" applyFill="1" applyBorder="1" applyAlignment="1">
      <alignment horizontal="left" indent="1"/>
      <protection hidden="1"/>
    </xf>
    <xf numFmtId="0" fontId="42" fillId="11" borderId="4" xfId="0" applyFont="1" applyFill="1" applyBorder="1" applyAlignment="1">
      <alignment horizontal="left" indent="1"/>
      <protection hidden="1"/>
    </xf>
    <xf numFmtId="0" fontId="42" fillId="11" borderId="6" xfId="0" applyFont="1" applyFill="1" applyBorder="1" applyAlignment="1">
      <alignment horizontal="left" indent="1"/>
      <protection hidden="1"/>
    </xf>
    <xf numFmtId="0" fontId="42" fillId="11" borderId="0" xfId="0" applyFont="1" applyFill="1" applyAlignment="1">
      <alignment horizontal="left" indent="1"/>
      <protection hidden="1"/>
    </xf>
    <xf numFmtId="0" fontId="42" fillId="11" borderId="10" xfId="0" applyFont="1" applyFill="1" applyBorder="1" applyAlignment="1">
      <alignment horizontal="left" indent="1"/>
      <protection hidden="1"/>
    </xf>
    <xf numFmtId="0" fontId="42" fillId="11" borderId="3" xfId="0" applyFont="1" applyFill="1" applyBorder="1" applyAlignment="1">
      <alignment horizontal="left" indent="1"/>
      <protection hidden="1"/>
    </xf>
    <xf numFmtId="0" fontId="42" fillId="3" borderId="4" xfId="0" applyFont="1" applyFill="1" applyBorder="1" applyAlignment="1">
      <alignment horizontal="center" wrapText="1"/>
      <protection hidden="1"/>
    </xf>
    <xf numFmtId="0" fontId="42" fillId="3" borderId="0" xfId="0" applyFont="1" applyFill="1" applyAlignment="1">
      <alignment horizontal="center" wrapText="1"/>
      <protection hidden="1"/>
    </xf>
    <xf numFmtId="0" fontId="42" fillId="3" borderId="14" xfId="0" applyFont="1" applyFill="1" applyBorder="1" applyAlignment="1">
      <alignment horizontal="center" wrapText="1"/>
      <protection hidden="1"/>
    </xf>
    <xf numFmtId="0" fontId="42" fillId="3" borderId="9" xfId="0" applyFont="1" applyFill="1" applyBorder="1" applyAlignment="1">
      <alignment horizontal="center" wrapText="1"/>
      <protection hidden="1"/>
    </xf>
    <xf numFmtId="0" fontId="43" fillId="2" borderId="41" xfId="0" applyFont="1" applyFill="1" applyBorder="1">
      <alignment horizontal="left" vertical="center" indent="1"/>
      <protection hidden="1"/>
    </xf>
    <xf numFmtId="0" fontId="43" fillId="2" borderId="42" xfId="0" applyFont="1" applyFill="1" applyBorder="1">
      <alignment horizontal="left" vertical="center" indent="1"/>
      <protection hidden="1"/>
    </xf>
    <xf numFmtId="0" fontId="43" fillId="2" borderId="43" xfId="0" applyFont="1" applyFill="1" applyBorder="1">
      <alignment horizontal="left" vertical="center" indent="1"/>
      <protection hidden="1"/>
    </xf>
    <xf numFmtId="0" fontId="43" fillId="2" borderId="7" xfId="0" applyFont="1" applyFill="1" applyBorder="1">
      <alignment horizontal="left" vertical="center" indent="1"/>
      <protection hidden="1"/>
    </xf>
    <xf numFmtId="0" fontId="43" fillId="2" borderId="2" xfId="0" applyFont="1" applyFill="1" applyBorder="1">
      <alignment horizontal="left" vertical="center" indent="1"/>
      <protection hidden="1"/>
    </xf>
    <xf numFmtId="0" fontId="43" fillId="2" borderId="8" xfId="0" applyFont="1" applyFill="1" applyBorder="1">
      <alignment horizontal="left" vertical="center" indent="1"/>
      <protection hidden="1"/>
    </xf>
    <xf numFmtId="3" fontId="43" fillId="2" borderId="57" xfId="0" applyNumberFormat="1" applyFont="1" applyFill="1" applyBorder="1" applyAlignment="1">
      <alignment horizontal="right" vertical="center" indent="1"/>
      <protection hidden="1"/>
    </xf>
    <xf numFmtId="3" fontId="43" fillId="8" borderId="5" xfId="0" applyNumberFormat="1" applyFont="1" applyFill="1" applyBorder="1" applyAlignment="1" applyProtection="1">
      <alignment horizontal="right" vertical="center" indent="1"/>
    </xf>
    <xf numFmtId="3" fontId="57" fillId="2" borderId="57" xfId="0" applyNumberFormat="1" applyFont="1" applyFill="1" applyBorder="1" applyAlignment="1">
      <alignment horizontal="right" vertical="center" indent="1"/>
      <protection hidden="1"/>
    </xf>
    <xf numFmtId="0" fontId="43" fillId="2" borderId="44" xfId="0" applyFont="1" applyFill="1" applyBorder="1">
      <alignment horizontal="left" vertical="center" indent="1"/>
      <protection hidden="1"/>
    </xf>
    <xf numFmtId="0" fontId="43" fillId="2" borderId="45" xfId="0" applyFont="1" applyFill="1" applyBorder="1">
      <alignment horizontal="left" vertical="center" indent="1"/>
      <protection hidden="1"/>
    </xf>
    <xf numFmtId="0" fontId="43" fillId="2" borderId="46" xfId="0" applyFont="1" applyFill="1" applyBorder="1">
      <alignment horizontal="left" vertical="center" indent="1"/>
      <protection hidden="1"/>
    </xf>
    <xf numFmtId="3" fontId="43" fillId="2" borderId="5" xfId="0" applyNumberFormat="1" applyFont="1" applyFill="1" applyBorder="1" applyAlignment="1">
      <alignment horizontal="right" vertical="center" indent="1"/>
      <protection hidden="1"/>
    </xf>
    <xf numFmtId="0" fontId="43" fillId="6" borderId="7" xfId="0" applyFont="1" applyFill="1" applyBorder="1">
      <alignment horizontal="left" vertical="center" indent="1"/>
      <protection hidden="1"/>
    </xf>
    <xf numFmtId="0" fontId="43" fillId="6" borderId="2" xfId="0" applyFont="1" applyFill="1" applyBorder="1">
      <alignment horizontal="left" vertical="center" indent="1"/>
      <protection hidden="1"/>
    </xf>
    <xf numFmtId="0" fontId="43" fillId="6" borderId="8" xfId="0" applyFont="1" applyFill="1" applyBorder="1">
      <alignment horizontal="left" vertical="center" indent="1"/>
      <protection hidden="1"/>
    </xf>
    <xf numFmtId="0" fontId="43" fillId="2" borderId="32" xfId="0" applyFont="1" applyFill="1" applyBorder="1">
      <alignment horizontal="left" vertical="center" indent="1"/>
      <protection hidden="1"/>
    </xf>
    <xf numFmtId="0" fontId="43" fillId="2" borderId="33" xfId="0" applyFont="1" applyFill="1" applyBorder="1">
      <alignment horizontal="left" vertical="center" indent="1"/>
      <protection hidden="1"/>
    </xf>
    <xf numFmtId="0" fontId="43" fillId="2" borderId="34" xfId="0" applyFont="1" applyFill="1" applyBorder="1">
      <alignment horizontal="left" vertical="center" indent="1"/>
      <protection hidden="1"/>
    </xf>
    <xf numFmtId="0" fontId="43" fillId="2" borderId="48" xfId="0" applyFont="1" applyFill="1" applyBorder="1">
      <alignment horizontal="left" vertical="center" indent="1"/>
      <protection hidden="1"/>
    </xf>
    <xf numFmtId="0" fontId="43" fillId="2" borderId="49" xfId="0" applyFont="1" applyFill="1" applyBorder="1">
      <alignment horizontal="left" vertical="center" indent="1"/>
      <protection hidden="1"/>
    </xf>
    <xf numFmtId="0" fontId="43" fillId="2" borderId="50" xfId="0" applyFont="1" applyFill="1" applyBorder="1">
      <alignment horizontal="left" vertical="center" indent="1"/>
      <protection hidden="1"/>
    </xf>
    <xf numFmtId="3" fontId="43" fillId="2" borderId="51" xfId="0" applyNumberFormat="1" applyFont="1" applyFill="1" applyBorder="1" applyAlignment="1">
      <alignment horizontal="right" vertical="center" indent="1"/>
      <protection hidden="1"/>
    </xf>
    <xf numFmtId="3" fontId="43" fillId="8" borderId="56" xfId="0" applyNumberFormat="1" applyFont="1" applyFill="1" applyBorder="1" applyAlignment="1" applyProtection="1">
      <alignment horizontal="right" vertical="center" indent="1"/>
    </xf>
    <xf numFmtId="0" fontId="43" fillId="8" borderId="7" xfId="0" applyFont="1" applyFill="1" applyBorder="1">
      <alignment horizontal="left" vertical="center" indent="1"/>
      <protection hidden="1"/>
    </xf>
    <xf numFmtId="0" fontId="43" fillId="8" borderId="2" xfId="0" applyFont="1" applyFill="1" applyBorder="1">
      <alignment horizontal="left" vertical="center" indent="1"/>
      <protection hidden="1"/>
    </xf>
    <xf numFmtId="0" fontId="43" fillId="8" borderId="5" xfId="0" applyFont="1" applyFill="1" applyBorder="1" applyAlignment="1">
      <alignment horizontal="right" vertical="center" indent="1"/>
      <protection hidden="1"/>
    </xf>
    <xf numFmtId="0" fontId="46" fillId="2" borderId="0" xfId="0" applyFont="1" applyFill="1" applyAlignment="1">
      <alignment horizontal="center"/>
      <protection hidden="1"/>
    </xf>
    <xf numFmtId="0" fontId="46" fillId="2" borderId="3" xfId="0" applyFont="1" applyFill="1" applyBorder="1" applyAlignment="1">
      <alignment horizontal="center"/>
      <protection hidden="1"/>
    </xf>
    <xf numFmtId="3" fontId="43" fillId="8" borderId="55" xfId="0" applyNumberFormat="1" applyFont="1" applyFill="1" applyBorder="1" applyAlignment="1" applyProtection="1">
      <alignment horizontal="right" vertical="center" indent="1"/>
    </xf>
    <xf numFmtId="0" fontId="43" fillId="2" borderId="38" xfId="0" applyFont="1" applyFill="1" applyBorder="1">
      <alignment horizontal="left" vertical="center" indent="1"/>
      <protection hidden="1"/>
    </xf>
    <xf numFmtId="0" fontId="43" fillId="2" borderId="39" xfId="0" applyFont="1" applyFill="1" applyBorder="1">
      <alignment horizontal="left" vertical="center" indent="1"/>
      <protection hidden="1"/>
    </xf>
    <xf numFmtId="0" fontId="43" fillId="2" borderId="40" xfId="0" applyFont="1" applyFill="1" applyBorder="1">
      <alignment horizontal="left" vertical="center" indent="1"/>
      <protection hidden="1"/>
    </xf>
    <xf numFmtId="0" fontId="48" fillId="11" borderId="7" xfId="0" quotePrefix="1" applyFont="1" applyFill="1" applyBorder="1" applyProtection="1">
      <alignment horizontal="left" vertical="center" indent="1"/>
      <protection locked="0"/>
    </xf>
    <xf numFmtId="0" fontId="48" fillId="11" borderId="2" xfId="0" quotePrefix="1" applyFont="1" applyFill="1" applyBorder="1" applyProtection="1">
      <alignment horizontal="left" vertical="center" indent="1"/>
      <protection locked="0"/>
    </xf>
    <xf numFmtId="0" fontId="48" fillId="11" borderId="8" xfId="0" quotePrefix="1" applyFont="1" applyFill="1" applyBorder="1" applyProtection="1">
      <alignment horizontal="left" vertical="center" indent="1"/>
      <protection locked="0"/>
    </xf>
    <xf numFmtId="0" fontId="61" fillId="2" borderId="52" xfId="0" applyFont="1" applyFill="1" applyBorder="1">
      <alignment horizontal="left" vertical="center" indent="1"/>
      <protection hidden="1"/>
    </xf>
    <xf numFmtId="0" fontId="61" fillId="2" borderId="0" xfId="0" applyFont="1" applyFill="1">
      <alignment horizontal="left" vertical="center" indent="1"/>
      <protection hidden="1"/>
    </xf>
    <xf numFmtId="0" fontId="115" fillId="5" borderId="147" xfId="0" quotePrefix="1" applyFont="1" applyFill="1" applyBorder="1">
      <alignment horizontal="left" vertical="center" indent="1"/>
      <protection hidden="1"/>
    </xf>
    <xf numFmtId="0" fontId="115" fillId="5" borderId="65" xfId="0" quotePrefix="1" applyFont="1" applyFill="1" applyBorder="1">
      <alignment horizontal="left" vertical="center" indent="1"/>
      <protection hidden="1"/>
    </xf>
    <xf numFmtId="0" fontId="115" fillId="5" borderId="148" xfId="0" quotePrefix="1" applyFont="1" applyFill="1" applyBorder="1">
      <alignment horizontal="left" vertical="center" indent="1"/>
      <protection hidden="1"/>
    </xf>
    <xf numFmtId="0" fontId="84" fillId="6" borderId="0" xfId="0" applyFont="1" applyFill="1" applyAlignment="1">
      <alignment horizontal="center" vertical="center"/>
      <protection hidden="1"/>
    </xf>
    <xf numFmtId="0" fontId="85" fillId="5" borderId="0" xfId="0" applyFont="1" applyFill="1" applyAlignment="1">
      <alignment horizontal="center" vertical="center"/>
      <protection hidden="1"/>
    </xf>
    <xf numFmtId="3" fontId="85" fillId="5" borderId="0" xfId="0" applyNumberFormat="1" applyFont="1" applyFill="1" applyAlignment="1">
      <alignment horizontal="right" vertical="center" indent="2"/>
      <protection hidden="1"/>
    </xf>
    <xf numFmtId="0" fontId="85" fillId="5" borderId="0" xfId="0" applyFont="1" applyFill="1" applyAlignment="1">
      <alignment horizontal="right" vertical="center" indent="2"/>
      <protection hidden="1"/>
    </xf>
    <xf numFmtId="0" fontId="55" fillId="5" borderId="6" xfId="11" applyFont="1" applyFill="1" applyBorder="1" applyAlignment="1" applyProtection="1">
      <alignment horizontal="left" vertical="center" wrapText="1" indent="2"/>
      <protection hidden="1"/>
    </xf>
    <xf numFmtId="0" fontId="55" fillId="5" borderId="0" xfId="11" applyFont="1" applyFill="1" applyAlignment="1" applyProtection="1">
      <alignment horizontal="left" vertical="center" wrapText="1" indent="2"/>
      <protection hidden="1"/>
    </xf>
    <xf numFmtId="0" fontId="115" fillId="5" borderId="145" xfId="0" quotePrefix="1" applyFont="1" applyFill="1" applyBorder="1">
      <alignment horizontal="left" vertical="center" indent="1"/>
      <protection hidden="1"/>
    </xf>
    <xf numFmtId="0" fontId="115" fillId="5" borderId="79" xfId="0" quotePrefix="1" applyFont="1" applyFill="1" applyBorder="1">
      <alignment horizontal="left" vertical="center" indent="1"/>
      <protection hidden="1"/>
    </xf>
    <xf numFmtId="0" fontId="115" fillId="5" borderId="146" xfId="0" quotePrefix="1" applyFont="1" applyFill="1" applyBorder="1">
      <alignment horizontal="left" vertical="center" indent="1"/>
      <protection hidden="1"/>
    </xf>
    <xf numFmtId="0" fontId="43" fillId="8" borderId="95" xfId="0" applyFont="1" applyFill="1" applyBorder="1" applyAlignment="1">
      <alignment horizontal="right" vertical="center" indent="1"/>
      <protection hidden="1"/>
    </xf>
    <xf numFmtId="0" fontId="43" fillId="8" borderId="96" xfId="0" applyFont="1" applyFill="1" applyBorder="1" applyAlignment="1">
      <alignment horizontal="right" vertical="center" indent="1"/>
      <protection hidden="1"/>
    </xf>
    <xf numFmtId="0" fontId="43" fillId="8" borderId="82" xfId="0" applyFont="1" applyFill="1" applyBorder="1">
      <alignment horizontal="left" vertical="center" indent="1"/>
      <protection hidden="1"/>
    </xf>
    <xf numFmtId="0" fontId="43" fillId="8" borderId="83" xfId="0" applyFont="1" applyFill="1" applyBorder="1">
      <alignment horizontal="left" vertical="center" indent="1"/>
      <protection hidden="1"/>
    </xf>
    <xf numFmtId="0" fontId="74" fillId="6" borderId="82" xfId="0" applyFont="1" applyFill="1" applyBorder="1">
      <alignment horizontal="left" vertical="center" indent="1"/>
      <protection hidden="1"/>
    </xf>
    <xf numFmtId="0" fontId="43" fillId="6" borderId="83" xfId="0" applyFont="1" applyFill="1" applyBorder="1">
      <alignment horizontal="left" vertical="center" indent="1"/>
      <protection hidden="1"/>
    </xf>
    <xf numFmtId="0" fontId="43" fillId="6" borderId="84" xfId="0" applyFont="1" applyFill="1" applyBorder="1">
      <alignment horizontal="left" vertical="center" indent="1"/>
      <protection hidden="1"/>
    </xf>
    <xf numFmtId="3" fontId="43" fillId="8" borderId="96" xfId="0" applyNumberFormat="1" applyFont="1" applyFill="1" applyBorder="1" applyAlignment="1" applyProtection="1">
      <alignment horizontal="right" vertical="center" indent="1"/>
    </xf>
    <xf numFmtId="3" fontId="43" fillId="8" borderId="97" xfId="0" applyNumberFormat="1" applyFont="1" applyFill="1" applyBorder="1" applyAlignment="1" applyProtection="1">
      <alignment horizontal="right" vertical="center" indent="1"/>
    </xf>
    <xf numFmtId="3" fontId="43" fillId="8" borderId="103" xfId="0" applyNumberFormat="1" applyFont="1" applyFill="1" applyBorder="1" applyAlignment="1">
      <alignment horizontal="right" vertical="center" indent="1"/>
      <protection hidden="1"/>
    </xf>
    <xf numFmtId="3" fontId="43" fillId="8" borderId="54" xfId="0" applyNumberFormat="1" applyFont="1" applyFill="1" applyBorder="1" applyAlignment="1">
      <alignment horizontal="right" vertical="center" indent="1"/>
      <protection hidden="1"/>
    </xf>
    <xf numFmtId="3" fontId="43" fillId="8" borderId="106" xfId="0" applyNumberFormat="1" applyFont="1" applyFill="1" applyBorder="1" applyAlignment="1">
      <alignment horizontal="right" vertical="center" indent="1"/>
      <protection hidden="1"/>
    </xf>
    <xf numFmtId="3" fontId="43" fillId="8" borderId="96" xfId="0" applyNumberFormat="1" applyFont="1" applyFill="1" applyBorder="1" applyAlignment="1">
      <alignment horizontal="right" vertical="center" indent="1"/>
      <protection hidden="1"/>
    </xf>
    <xf numFmtId="0" fontId="43" fillId="2" borderId="92" xfId="0" applyFont="1" applyFill="1" applyBorder="1">
      <alignment horizontal="left" vertical="center" indent="1"/>
      <protection hidden="1"/>
    </xf>
    <xf numFmtId="0" fontId="43" fillId="2" borderId="93" xfId="0" applyFont="1" applyFill="1" applyBorder="1">
      <alignment horizontal="left" vertical="center" indent="1"/>
      <protection hidden="1"/>
    </xf>
    <xf numFmtId="0" fontId="43" fillId="2" borderId="94" xfId="0" applyFont="1" applyFill="1" applyBorder="1">
      <alignment horizontal="left" vertical="center" indent="1"/>
      <protection hidden="1"/>
    </xf>
    <xf numFmtId="0" fontId="43" fillId="2" borderId="71" xfId="0" applyFont="1" applyFill="1" applyBorder="1">
      <alignment horizontal="left" vertical="center" indent="1"/>
      <protection hidden="1"/>
    </xf>
    <xf numFmtId="0" fontId="43" fillId="2" borderId="82" xfId="0" applyFont="1" applyFill="1" applyBorder="1">
      <alignment horizontal="left" vertical="center" indent="1"/>
      <protection hidden="1"/>
    </xf>
    <xf numFmtId="0" fontId="43" fillId="2" borderId="83" xfId="0" applyFont="1" applyFill="1" applyBorder="1">
      <alignment horizontal="left" vertical="center" indent="1"/>
      <protection hidden="1"/>
    </xf>
    <xf numFmtId="0" fontId="43" fillId="2" borderId="98" xfId="0" applyFont="1" applyFill="1" applyBorder="1">
      <alignment horizontal="left" vertical="center" indent="1"/>
      <protection hidden="1"/>
    </xf>
    <xf numFmtId="3" fontId="43" fillId="8" borderId="103" xfId="0" applyNumberFormat="1" applyFont="1" applyFill="1" applyBorder="1" applyAlignment="1" applyProtection="1">
      <alignment horizontal="right" vertical="center" indent="1"/>
    </xf>
    <xf numFmtId="3" fontId="43" fillId="8" borderId="104" xfId="0" applyNumberFormat="1" applyFont="1" applyFill="1" applyBorder="1" applyAlignment="1" applyProtection="1">
      <alignment horizontal="right" vertical="center" indent="1"/>
    </xf>
    <xf numFmtId="0" fontId="43" fillId="2" borderId="73" xfId="0" applyFont="1" applyFill="1" applyBorder="1">
      <alignment horizontal="left" vertical="center" indent="1"/>
      <protection hidden="1"/>
    </xf>
    <xf numFmtId="0" fontId="43" fillId="2" borderId="74" xfId="0" applyFont="1" applyFill="1" applyBorder="1">
      <alignment horizontal="left" vertical="center" indent="1"/>
      <protection hidden="1"/>
    </xf>
    <xf numFmtId="0" fontId="43" fillId="2" borderId="75" xfId="0" applyFont="1" applyFill="1" applyBorder="1">
      <alignment horizontal="left" vertical="center" indent="1"/>
      <protection hidden="1"/>
    </xf>
    <xf numFmtId="3" fontId="43" fillId="8" borderId="106" xfId="0" applyNumberFormat="1" applyFont="1" applyFill="1" applyBorder="1" applyAlignment="1" applyProtection="1">
      <alignment horizontal="right" vertical="center" indent="1"/>
    </xf>
    <xf numFmtId="3" fontId="43" fillId="8" borderId="107" xfId="0" applyNumberFormat="1" applyFont="1" applyFill="1" applyBorder="1" applyAlignment="1" applyProtection="1">
      <alignment horizontal="right" vertical="center" indent="1"/>
    </xf>
    <xf numFmtId="3" fontId="43" fillId="8" borderId="105" xfId="0" applyNumberFormat="1" applyFont="1" applyFill="1" applyBorder="1" applyAlignment="1" applyProtection="1">
      <alignment horizontal="right" vertical="center" indent="1"/>
    </xf>
    <xf numFmtId="0" fontId="43" fillId="2" borderId="99" xfId="0" applyFont="1" applyFill="1" applyBorder="1">
      <alignment horizontal="left" vertical="center" indent="1"/>
      <protection hidden="1"/>
    </xf>
    <xf numFmtId="0" fontId="43" fillId="2" borderId="100" xfId="0" applyFont="1" applyFill="1" applyBorder="1">
      <alignment horizontal="left" vertical="center" indent="1"/>
      <protection hidden="1"/>
    </xf>
    <xf numFmtId="0" fontId="43" fillId="2" borderId="101" xfId="0" applyFont="1" applyFill="1" applyBorder="1">
      <alignment horizontal="left" vertical="center" indent="1"/>
      <protection hidden="1"/>
    </xf>
    <xf numFmtId="3" fontId="43" fillId="8" borderId="76" xfId="0" applyNumberFormat="1" applyFont="1" applyFill="1" applyBorder="1" applyAlignment="1">
      <alignment horizontal="right" vertical="center" indent="1"/>
      <protection hidden="1"/>
    </xf>
    <xf numFmtId="3" fontId="43" fillId="8" borderId="76" xfId="0" applyNumberFormat="1" applyFont="1" applyFill="1" applyBorder="1" applyAlignment="1" applyProtection="1">
      <alignment horizontal="right" vertical="center" indent="1"/>
    </xf>
    <xf numFmtId="3" fontId="43" fillId="8" borderId="77" xfId="0" applyNumberFormat="1" applyFont="1" applyFill="1" applyBorder="1" applyAlignment="1" applyProtection="1">
      <alignment horizontal="right" vertical="center" indent="1"/>
    </xf>
    <xf numFmtId="0" fontId="72" fillId="4" borderId="82" xfId="0" applyFont="1" applyFill="1" applyBorder="1">
      <alignment horizontal="left" vertical="center" indent="1"/>
      <protection hidden="1"/>
    </xf>
    <xf numFmtId="0" fontId="72" fillId="4" borderId="83" xfId="0" applyFont="1" applyFill="1" applyBorder="1">
      <alignment horizontal="left" vertical="center" indent="1"/>
      <protection hidden="1"/>
    </xf>
    <xf numFmtId="0" fontId="72" fillId="4" borderId="85" xfId="0" applyFont="1" applyFill="1" applyBorder="1" applyAlignment="1">
      <alignment horizontal="center" vertical="center"/>
      <protection hidden="1"/>
    </xf>
    <xf numFmtId="0" fontId="72" fillId="4" borderId="83" xfId="0" applyFont="1" applyFill="1" applyBorder="1" applyAlignment="1">
      <alignment horizontal="center" vertical="center"/>
      <protection hidden="1"/>
    </xf>
    <xf numFmtId="0" fontId="72" fillId="4" borderId="84" xfId="0" applyFont="1" applyFill="1" applyBorder="1" applyAlignment="1">
      <alignment horizontal="center" vertical="center"/>
      <protection hidden="1"/>
    </xf>
    <xf numFmtId="0" fontId="43" fillId="2" borderId="86" xfId="0" applyFont="1" applyFill="1" applyBorder="1">
      <alignment horizontal="left" vertical="center" indent="1"/>
      <protection hidden="1"/>
    </xf>
    <xf numFmtId="0" fontId="41" fillId="3" borderId="25" xfId="5" applyFont="1" applyFill="1" applyBorder="1" applyAlignment="1" applyProtection="1">
      <alignment horizontal="left" vertical="center" indent="1"/>
      <protection hidden="1"/>
    </xf>
    <xf numFmtId="0" fontId="41" fillId="3" borderId="69" xfId="5" applyFont="1" applyFill="1" applyBorder="1" applyAlignment="1" applyProtection="1">
      <alignment horizontal="left" vertical="center" indent="1"/>
      <protection hidden="1"/>
    </xf>
    <xf numFmtId="0" fontId="41" fillId="3" borderId="26" xfId="5" applyFont="1" applyFill="1" applyBorder="1" applyAlignment="1" applyProtection="1">
      <alignment horizontal="left" vertical="center" indent="1"/>
      <protection hidden="1"/>
    </xf>
    <xf numFmtId="0" fontId="43" fillId="8" borderId="87" xfId="0" applyFont="1" applyFill="1" applyBorder="1" applyAlignment="1">
      <alignment horizontal="right" vertical="center" indent="1"/>
      <protection hidden="1"/>
    </xf>
    <xf numFmtId="0" fontId="43" fillId="8" borderId="88" xfId="0" applyFont="1" applyFill="1" applyBorder="1" applyAlignment="1">
      <alignment horizontal="right" vertical="center" indent="1"/>
      <protection hidden="1"/>
    </xf>
    <xf numFmtId="3" fontId="43" fillId="8" borderId="88" xfId="0" applyNumberFormat="1" applyFont="1" applyFill="1" applyBorder="1" applyAlignment="1" applyProtection="1">
      <alignment horizontal="right" vertical="center" indent="1"/>
    </xf>
    <xf numFmtId="168" fontId="43" fillId="8" borderId="88" xfId="10" applyNumberFormat="1" applyFont="1" applyFill="1" applyBorder="1" applyAlignment="1" applyProtection="1">
      <alignment horizontal="center" vertical="center"/>
    </xf>
    <xf numFmtId="168" fontId="43" fillId="8" borderId="89" xfId="10" applyNumberFormat="1" applyFont="1" applyFill="1" applyBorder="1" applyAlignment="1" applyProtection="1">
      <alignment horizontal="center" vertical="center"/>
    </xf>
    <xf numFmtId="0" fontId="43" fillId="2" borderId="71" xfId="0" applyFont="1" applyFill="1" applyBorder="1" applyAlignment="1">
      <alignment horizontal="left" vertical="center" indent="4"/>
      <protection hidden="1"/>
    </xf>
    <xf numFmtId="0" fontId="43" fillId="2" borderId="36" xfId="0" applyFont="1" applyFill="1" applyBorder="1" applyAlignment="1">
      <alignment horizontal="left" vertical="center" indent="4"/>
      <protection hidden="1"/>
    </xf>
    <xf numFmtId="0" fontId="43" fillId="2" borderId="37" xfId="0" applyFont="1" applyFill="1" applyBorder="1" applyAlignment="1">
      <alignment horizontal="left" vertical="center" indent="4"/>
      <protection hidden="1"/>
    </xf>
    <xf numFmtId="168" fontId="43" fillId="2" borderId="47" xfId="10" applyNumberFormat="1" applyFont="1" applyFill="1" applyBorder="1" applyAlignment="1" applyProtection="1">
      <alignment horizontal="center" vertical="center"/>
      <protection hidden="1"/>
    </xf>
    <xf numFmtId="168" fontId="43" fillId="2" borderId="72" xfId="10" applyNumberFormat="1" applyFont="1" applyFill="1" applyBorder="1" applyAlignment="1" applyProtection="1">
      <alignment horizontal="center" vertical="center"/>
      <protection hidden="1"/>
    </xf>
    <xf numFmtId="0" fontId="43" fillId="2" borderId="86" xfId="0" applyFont="1" applyFill="1" applyBorder="1" applyAlignment="1">
      <alignment horizontal="left" vertical="center" indent="4"/>
      <protection hidden="1"/>
    </xf>
    <xf numFmtId="0" fontId="43" fillId="2" borderId="39" xfId="0" applyFont="1" applyFill="1" applyBorder="1" applyAlignment="1">
      <alignment horizontal="left" vertical="center" indent="4"/>
      <protection hidden="1"/>
    </xf>
    <xf numFmtId="0" fontId="43" fillId="2" borderId="40" xfId="0" applyFont="1" applyFill="1" applyBorder="1" applyAlignment="1">
      <alignment horizontal="left" vertical="center" indent="4"/>
      <protection hidden="1"/>
    </xf>
    <xf numFmtId="0" fontId="31" fillId="3" borderId="134" xfId="5" applyFont="1" applyFill="1" applyBorder="1" applyAlignment="1" applyProtection="1">
      <alignment horizontal="left" vertical="center" indent="1"/>
      <protection hidden="1"/>
    </xf>
    <xf numFmtId="0" fontId="31" fillId="3" borderId="132" xfId="5" applyFont="1" applyFill="1" applyBorder="1" applyAlignment="1" applyProtection="1">
      <alignment horizontal="left" vertical="center" indent="1"/>
      <protection hidden="1"/>
    </xf>
    <xf numFmtId="0" fontId="31" fillId="3" borderId="135" xfId="5" applyFont="1" applyFill="1" applyBorder="1" applyAlignment="1" applyProtection="1">
      <alignment horizontal="left" vertical="center" indent="1"/>
      <protection hidden="1"/>
    </xf>
    <xf numFmtId="3" fontId="47" fillId="2" borderId="5" xfId="0" applyNumberFormat="1" applyFont="1" applyFill="1" applyBorder="1" applyAlignment="1">
      <alignment horizontal="center" vertical="center"/>
      <protection hidden="1"/>
    </xf>
    <xf numFmtId="0" fontId="41" fillId="3" borderId="7" xfId="5" applyFont="1" applyFill="1" applyBorder="1" applyAlignment="1" applyProtection="1">
      <alignment horizontal="left" vertical="center" indent="1"/>
      <protection hidden="1"/>
    </xf>
    <xf numFmtId="0" fontId="41" fillId="3" borderId="2" xfId="5" applyFont="1" applyFill="1" applyBorder="1" applyAlignment="1" applyProtection="1">
      <alignment horizontal="left" vertical="center" indent="1"/>
      <protection hidden="1"/>
    </xf>
    <xf numFmtId="0" fontId="41" fillId="3" borderId="8" xfId="5" applyFont="1" applyFill="1" applyBorder="1" applyAlignment="1" applyProtection="1">
      <alignment horizontal="left" vertical="center" indent="1"/>
      <protection hidden="1"/>
    </xf>
    <xf numFmtId="168" fontId="43" fillId="8" borderId="54" xfId="10" applyNumberFormat="1" applyFont="1" applyFill="1" applyBorder="1" applyAlignment="1" applyProtection="1">
      <alignment horizontal="center" vertical="center"/>
    </xf>
    <xf numFmtId="168" fontId="43" fillId="8" borderId="105" xfId="10" applyNumberFormat="1" applyFont="1" applyFill="1" applyBorder="1" applyAlignment="1" applyProtection="1">
      <alignment horizontal="center" vertical="center"/>
    </xf>
    <xf numFmtId="0" fontId="43" fillId="2" borderId="28" xfId="0" applyFont="1" applyFill="1" applyBorder="1">
      <alignment horizontal="left" vertical="center" indent="1"/>
      <protection hidden="1"/>
    </xf>
    <xf numFmtId="0" fontId="43" fillId="2" borderId="12" xfId="0" applyFont="1" applyFill="1" applyBorder="1">
      <alignment horizontal="left" vertical="center" indent="1"/>
      <protection hidden="1"/>
    </xf>
    <xf numFmtId="0" fontId="43" fillId="2" borderId="102" xfId="0" applyFont="1" applyFill="1" applyBorder="1">
      <alignment horizontal="left" vertical="center" indent="1"/>
      <protection hidden="1"/>
    </xf>
    <xf numFmtId="168" fontId="43" fillId="8" borderId="106" xfId="10" applyNumberFormat="1" applyFont="1" applyFill="1" applyBorder="1" applyAlignment="1" applyProtection="1">
      <alignment horizontal="center" vertical="center"/>
    </xf>
    <xf numFmtId="168" fontId="43" fillId="8" borderId="107" xfId="10" applyNumberFormat="1" applyFont="1" applyFill="1" applyBorder="1" applyAlignment="1" applyProtection="1">
      <alignment horizontal="center" vertical="center"/>
    </xf>
    <xf numFmtId="0" fontId="43" fillId="2" borderId="90" xfId="0" applyFont="1" applyFill="1" applyBorder="1">
      <alignment horizontal="left" vertical="center" indent="1"/>
      <protection hidden="1"/>
    </xf>
    <xf numFmtId="0" fontId="41" fillId="3" borderId="82" xfId="5" applyFont="1" applyFill="1" applyBorder="1" applyAlignment="1" applyProtection="1">
      <alignment horizontal="center" vertical="center"/>
      <protection hidden="1"/>
    </xf>
    <xf numFmtId="0" fontId="41" fillId="3" borderId="83" xfId="5" applyFont="1" applyFill="1" applyBorder="1" applyAlignment="1" applyProtection="1">
      <alignment horizontal="center" vertical="center"/>
      <protection hidden="1"/>
    </xf>
    <xf numFmtId="0" fontId="41" fillId="3" borderId="84" xfId="5" applyFont="1" applyFill="1" applyBorder="1" applyAlignment="1" applyProtection="1">
      <alignment horizontal="center" vertical="center"/>
      <protection hidden="1"/>
    </xf>
    <xf numFmtId="0" fontId="53" fillId="2" borderId="0" xfId="0" applyFont="1" applyFill="1" applyAlignment="1">
      <alignment horizontal="center" wrapText="1"/>
      <protection hidden="1"/>
    </xf>
    <xf numFmtId="0" fontId="43" fillId="2" borderId="90" xfId="0" applyFont="1" applyFill="1" applyBorder="1" applyAlignment="1">
      <alignment horizontal="left" vertical="center" indent="4"/>
      <protection hidden="1"/>
    </xf>
    <xf numFmtId="0" fontId="43" fillId="2" borderId="60" xfId="0" applyFont="1" applyFill="1" applyBorder="1" applyAlignment="1">
      <alignment horizontal="left" vertical="center" indent="4"/>
      <protection hidden="1"/>
    </xf>
    <xf numFmtId="0" fontId="43" fillId="2" borderId="61" xfId="0" applyFont="1" applyFill="1" applyBorder="1" applyAlignment="1">
      <alignment horizontal="left" vertical="center" indent="4"/>
      <protection hidden="1"/>
    </xf>
    <xf numFmtId="168" fontId="43" fillId="2" borderId="62" xfId="10" applyNumberFormat="1" applyFont="1" applyFill="1" applyBorder="1" applyAlignment="1" applyProtection="1">
      <alignment horizontal="center" vertical="center"/>
      <protection hidden="1"/>
    </xf>
    <xf numFmtId="168" fontId="43" fillId="2" borderId="91" xfId="10" applyNumberFormat="1" applyFont="1" applyFill="1" applyBorder="1" applyAlignment="1" applyProtection="1">
      <alignment horizontal="center" vertical="center"/>
      <protection hidden="1"/>
    </xf>
    <xf numFmtId="0" fontId="72" fillId="4" borderId="84" xfId="0" applyFont="1" applyFill="1" applyBorder="1">
      <alignment horizontal="left" vertical="center" indent="1"/>
      <protection hidden="1"/>
    </xf>
    <xf numFmtId="3" fontId="57" fillId="8" borderId="76" xfId="0" applyNumberFormat="1" applyFont="1" applyFill="1" applyBorder="1" applyAlignment="1">
      <alignment horizontal="right" vertical="center" indent="1"/>
      <protection hidden="1"/>
    </xf>
    <xf numFmtId="3" fontId="43" fillId="8" borderId="111" xfId="0" applyNumberFormat="1" applyFont="1" applyFill="1" applyBorder="1" applyAlignment="1">
      <alignment horizontal="right" vertical="center" indent="1"/>
      <protection hidden="1"/>
    </xf>
    <xf numFmtId="3" fontId="43" fillId="8" borderId="112" xfId="0" applyNumberFormat="1" applyFont="1" applyFill="1" applyBorder="1" applyAlignment="1">
      <alignment horizontal="right" vertical="center" indent="1"/>
      <protection hidden="1"/>
    </xf>
    <xf numFmtId="3" fontId="43" fillId="8" borderId="113" xfId="0" applyNumberFormat="1" applyFont="1" applyFill="1" applyBorder="1" applyAlignment="1">
      <alignment horizontal="right" vertical="center" indent="1"/>
      <protection hidden="1"/>
    </xf>
    <xf numFmtId="3" fontId="43" fillId="8" borderId="114" xfId="0" applyNumberFormat="1" applyFont="1" applyFill="1" applyBorder="1" applyAlignment="1">
      <alignment horizontal="right" vertical="center" indent="1"/>
      <protection hidden="1"/>
    </xf>
    <xf numFmtId="3" fontId="43" fillId="8" borderId="115" xfId="0" applyNumberFormat="1" applyFont="1" applyFill="1" applyBorder="1" applyAlignment="1">
      <alignment horizontal="right" vertical="center" indent="1"/>
      <protection hidden="1"/>
    </xf>
    <xf numFmtId="3" fontId="43" fillId="8" borderId="116" xfId="0" applyNumberFormat="1" applyFont="1" applyFill="1" applyBorder="1" applyAlignment="1">
      <alignment horizontal="right" vertical="center" indent="1"/>
      <protection hidden="1"/>
    </xf>
    <xf numFmtId="3" fontId="43" fillId="8" borderId="110" xfId="0" applyNumberFormat="1" applyFont="1" applyFill="1" applyBorder="1" applyAlignment="1">
      <alignment horizontal="right" vertical="center" indent="1"/>
      <protection hidden="1"/>
    </xf>
    <xf numFmtId="0" fontId="63" fillId="2" borderId="0" xfId="0" applyFont="1" applyFill="1" applyAlignment="1">
      <alignment horizontal="center" vertical="center"/>
      <protection hidden="1"/>
    </xf>
    <xf numFmtId="0" fontId="71" fillId="3" borderId="82" xfId="0" applyFont="1" applyFill="1" applyBorder="1">
      <alignment horizontal="left" vertical="center" indent="1"/>
      <protection hidden="1"/>
    </xf>
    <xf numFmtId="0" fontId="71" fillId="3" borderId="83" xfId="0" applyFont="1" applyFill="1" applyBorder="1">
      <alignment horizontal="left" vertical="center" indent="1"/>
      <protection hidden="1"/>
    </xf>
    <xf numFmtId="0" fontId="71" fillId="3" borderId="85" xfId="0" applyFont="1" applyFill="1" applyBorder="1">
      <alignment horizontal="left" vertical="center" indent="1"/>
      <protection hidden="1"/>
    </xf>
    <xf numFmtId="0" fontId="71" fillId="3" borderId="84" xfId="0" applyFont="1" applyFill="1" applyBorder="1">
      <alignment horizontal="left" vertical="center" indent="1"/>
      <protection hidden="1"/>
    </xf>
    <xf numFmtId="3" fontId="43" fillId="8" borderId="89" xfId="0" applyNumberFormat="1" applyFont="1" applyFill="1" applyBorder="1" applyAlignment="1" applyProtection="1">
      <alignment horizontal="right" vertical="center" indent="1"/>
    </xf>
    <xf numFmtId="0" fontId="43" fillId="2" borderId="78" xfId="0" applyFont="1" applyFill="1" applyBorder="1">
      <alignment horizontal="left" vertical="center" indent="1"/>
      <protection hidden="1"/>
    </xf>
    <xf numFmtId="0" fontId="43" fillId="2" borderId="79" xfId="0" applyFont="1" applyFill="1" applyBorder="1">
      <alignment horizontal="left" vertical="center" indent="1"/>
      <protection hidden="1"/>
    </xf>
    <xf numFmtId="0" fontId="43" fillId="2" borderId="80" xfId="0" applyFont="1" applyFill="1" applyBorder="1">
      <alignment horizontal="left" vertical="center" indent="1"/>
      <protection hidden="1"/>
    </xf>
    <xf numFmtId="168" fontId="43" fillId="8" borderId="103" xfId="10" applyNumberFormat="1" applyFont="1" applyFill="1" applyBorder="1" applyAlignment="1" applyProtection="1">
      <alignment horizontal="center" vertical="center"/>
    </xf>
    <xf numFmtId="168" fontId="43" fillId="8" borderId="104" xfId="10" applyNumberFormat="1" applyFont="1" applyFill="1" applyBorder="1" applyAlignment="1" applyProtection="1">
      <alignment horizontal="center" vertical="center"/>
    </xf>
    <xf numFmtId="0" fontId="31" fillId="3" borderId="25" xfId="5" applyFont="1" applyFill="1" applyBorder="1" applyAlignment="1" applyProtection="1">
      <alignment horizontal="left" vertical="center" indent="1"/>
      <protection hidden="1"/>
    </xf>
    <xf numFmtId="0" fontId="31" fillId="3" borderId="69" xfId="5" applyFont="1" applyFill="1" applyBorder="1" applyAlignment="1" applyProtection="1">
      <alignment horizontal="left" vertical="center" indent="1"/>
      <protection hidden="1"/>
    </xf>
    <xf numFmtId="3" fontId="43" fillId="2" borderId="81" xfId="0" applyNumberFormat="1" applyFont="1" applyFill="1" applyBorder="1" applyAlignment="1">
      <alignment horizontal="right" vertical="center" indent="1"/>
      <protection hidden="1"/>
    </xf>
    <xf numFmtId="3" fontId="43" fillId="2" borderId="91" xfId="0" applyNumberFormat="1" applyFont="1" applyFill="1" applyBorder="1" applyAlignment="1">
      <alignment horizontal="right" vertical="center" indent="1"/>
      <protection hidden="1"/>
    </xf>
    <xf numFmtId="3" fontId="43" fillId="2" borderId="72" xfId="0" applyNumberFormat="1" applyFont="1" applyFill="1" applyBorder="1" applyAlignment="1">
      <alignment horizontal="right" vertical="center" indent="1"/>
      <protection hidden="1"/>
    </xf>
    <xf numFmtId="0" fontId="70" fillId="4" borderId="82" xfId="0" applyFont="1" applyFill="1" applyBorder="1">
      <alignment horizontal="left" vertical="center" indent="1"/>
      <protection hidden="1"/>
    </xf>
    <xf numFmtId="0" fontId="70" fillId="4" borderId="83" xfId="0" applyFont="1" applyFill="1" applyBorder="1">
      <alignment horizontal="left" vertical="center" indent="1"/>
      <protection hidden="1"/>
    </xf>
    <xf numFmtId="0" fontId="70" fillId="4" borderId="85" xfId="0" applyFont="1" applyFill="1" applyBorder="1" applyAlignment="1">
      <alignment horizontal="center" vertical="center"/>
      <protection hidden="1"/>
    </xf>
    <xf numFmtId="0" fontId="70" fillId="4" borderId="83" xfId="0" applyFont="1" applyFill="1" applyBorder="1" applyAlignment="1">
      <alignment horizontal="center" vertical="center"/>
      <protection hidden="1"/>
    </xf>
    <xf numFmtId="0" fontId="70" fillId="4" borderId="84" xfId="0" applyFont="1" applyFill="1" applyBorder="1" applyAlignment="1">
      <alignment horizontal="center" vertical="center"/>
      <protection hidden="1"/>
    </xf>
    <xf numFmtId="0" fontId="42" fillId="3" borderId="82" xfId="0" applyFont="1" applyFill="1" applyBorder="1">
      <alignment horizontal="left" vertical="center" indent="1"/>
      <protection hidden="1"/>
    </xf>
    <xf numFmtId="0" fontId="42" fillId="3" borderId="83" xfId="0" applyFont="1" applyFill="1" applyBorder="1">
      <alignment horizontal="left" vertical="center" indent="1"/>
      <protection hidden="1"/>
    </xf>
    <xf numFmtId="0" fontId="70" fillId="3" borderId="85" xfId="0" applyFont="1" applyFill="1" applyBorder="1">
      <alignment horizontal="left" vertical="center" indent="1"/>
      <protection hidden="1"/>
    </xf>
    <xf numFmtId="0" fontId="70" fillId="3" borderId="83" xfId="0" applyFont="1" applyFill="1" applyBorder="1">
      <alignment horizontal="left" vertical="center" indent="1"/>
      <protection hidden="1"/>
    </xf>
    <xf numFmtId="0" fontId="70" fillId="3" borderId="84" xfId="0" applyFont="1" applyFill="1" applyBorder="1">
      <alignment horizontal="left" vertical="center" indent="1"/>
      <protection hidden="1"/>
    </xf>
    <xf numFmtId="0" fontId="122" fillId="2" borderId="0" xfId="0" applyFont="1" applyFill="1" applyAlignment="1">
      <alignment horizontal="left" vertical="top" wrapText="1" indent="1"/>
      <protection hidden="1"/>
    </xf>
    <xf numFmtId="0" fontId="41" fillId="3" borderId="5" xfId="5" applyFont="1" applyFill="1" applyBorder="1" applyAlignment="1" applyProtection="1">
      <alignment horizontal="left" vertical="center" indent="1"/>
      <protection hidden="1"/>
    </xf>
    <xf numFmtId="0" fontId="19" fillId="2" borderId="4" xfId="0" applyFont="1" applyFill="1" applyBorder="1" applyAlignment="1">
      <alignment horizontal="center" vertical="center"/>
      <protection hidden="1"/>
    </xf>
    <xf numFmtId="0" fontId="31" fillId="3" borderId="0" xfId="0" applyFont="1" applyFill="1" applyAlignment="1">
      <alignment horizontal="left" wrapText="1" indent="1"/>
      <protection hidden="1"/>
    </xf>
    <xf numFmtId="0" fontId="121" fillId="5" borderId="147" xfId="0" quotePrefix="1" applyFont="1" applyFill="1" applyBorder="1">
      <alignment horizontal="left" vertical="center" indent="1"/>
      <protection hidden="1"/>
    </xf>
    <xf numFmtId="0" fontId="121" fillId="5" borderId="65" xfId="0" quotePrefix="1" applyFont="1" applyFill="1" applyBorder="1">
      <alignment horizontal="left" vertical="center" indent="1"/>
      <protection hidden="1"/>
    </xf>
    <xf numFmtId="0" fontId="121" fillId="5" borderId="148" xfId="0" quotePrefix="1" applyFont="1" applyFill="1" applyBorder="1">
      <alignment horizontal="left" vertical="center" indent="1"/>
      <protection hidden="1"/>
    </xf>
    <xf numFmtId="3" fontId="43" fillId="8" borderId="97" xfId="0" applyNumberFormat="1" applyFont="1" applyFill="1" applyBorder="1" applyAlignment="1">
      <alignment horizontal="right" vertical="center" indent="1"/>
      <protection hidden="1"/>
    </xf>
    <xf numFmtId="0" fontId="121" fillId="5" borderId="145" xfId="0" quotePrefix="1" applyFont="1" applyFill="1" applyBorder="1">
      <alignment horizontal="left" vertical="center" indent="1"/>
      <protection hidden="1"/>
    </xf>
    <xf numFmtId="0" fontId="121" fillId="5" borderId="79" xfId="0" quotePrefix="1" applyFont="1" applyFill="1" applyBorder="1">
      <alignment horizontal="left" vertical="center" indent="1"/>
      <protection hidden="1"/>
    </xf>
    <xf numFmtId="0" fontId="121" fillId="5" borderId="146" xfId="0" quotePrefix="1" applyFont="1" applyFill="1" applyBorder="1">
      <alignment horizontal="left" vertical="center" indent="1"/>
      <protection hidden="1"/>
    </xf>
    <xf numFmtId="0" fontId="61" fillId="12" borderId="5" xfId="5" applyFont="1" applyFill="1" applyBorder="1" applyAlignment="1" applyProtection="1">
      <alignment horizontal="right" vertical="center" indent="1"/>
      <protection hidden="1"/>
    </xf>
    <xf numFmtId="3" fontId="77" fillId="2" borderId="5" xfId="0" applyNumberFormat="1" applyFont="1" applyFill="1" applyBorder="1" applyAlignment="1">
      <alignment horizontal="center" vertical="center"/>
      <protection hidden="1"/>
    </xf>
    <xf numFmtId="0" fontId="13" fillId="2" borderId="4" xfId="0" applyFont="1" applyFill="1" applyBorder="1">
      <alignment horizontal="left" vertical="center" indent="1"/>
      <protection hidden="1"/>
    </xf>
    <xf numFmtId="0" fontId="13" fillId="2" borderId="4" xfId="0" applyNumberFormat="1" applyFont="1" applyFill="1" applyBorder="1" applyAlignment="1">
      <alignment horizontal="left" vertical="center" indent="2"/>
      <protection hidden="1"/>
    </xf>
    <xf numFmtId="0" fontId="81" fillId="2" borderId="4" xfId="0" applyFont="1" applyFill="1" applyBorder="1" applyAlignment="1">
      <alignment horizontal="center" wrapText="1"/>
      <protection hidden="1"/>
    </xf>
    <xf numFmtId="0" fontId="81" fillId="2" borderId="3" xfId="0" applyFont="1" applyFill="1" applyBorder="1" applyAlignment="1">
      <alignment horizontal="center" wrapText="1"/>
      <protection hidden="1"/>
    </xf>
    <xf numFmtId="0" fontId="126" fillId="5" borderId="0" xfId="3" applyFont="1" applyFill="1" applyBorder="1" applyAlignment="1" applyProtection="1">
      <alignment horizontal="center" vertical="center"/>
    </xf>
    <xf numFmtId="0" fontId="17" fillId="3" borderId="124" xfId="0" applyFont="1" applyFill="1" applyBorder="1" applyAlignment="1">
      <alignment horizontal="center" vertical="center"/>
      <protection hidden="1"/>
    </xf>
    <xf numFmtId="0" fontId="17" fillId="3" borderId="4" xfId="0" applyFont="1" applyFill="1" applyBorder="1" applyAlignment="1">
      <alignment horizontal="center" vertical="center"/>
      <protection hidden="1"/>
    </xf>
    <xf numFmtId="0" fontId="17" fillId="3" borderId="125" xfId="0" applyFont="1" applyFill="1" applyBorder="1" applyAlignment="1">
      <alignment horizontal="center" vertical="center"/>
      <protection hidden="1"/>
    </xf>
    <xf numFmtId="0" fontId="81" fillId="2" borderId="122" xfId="0" applyFont="1" applyFill="1" applyBorder="1" applyAlignment="1">
      <alignment horizontal="center"/>
      <protection hidden="1"/>
    </xf>
    <xf numFmtId="0" fontId="81" fillId="2" borderId="5" xfId="0" applyFont="1" applyFill="1" applyBorder="1" applyAlignment="1">
      <alignment horizontal="center"/>
      <protection hidden="1"/>
    </xf>
    <xf numFmtId="0" fontId="81" fillId="2" borderId="121" xfId="0" applyFont="1" applyFill="1" applyBorder="1" applyAlignment="1">
      <alignment horizontal="center"/>
      <protection hidden="1"/>
    </xf>
    <xf numFmtId="3" fontId="82" fillId="16" borderId="29" xfId="0" applyNumberFormat="1" applyFont="1" applyFill="1" applyBorder="1" applyAlignment="1">
      <alignment horizontal="right" vertical="center" indent="1"/>
      <protection hidden="1"/>
    </xf>
    <xf numFmtId="3" fontId="82" fillId="16" borderId="15" xfId="0" applyNumberFormat="1" applyFont="1" applyFill="1" applyBorder="1" applyAlignment="1">
      <alignment horizontal="right" vertical="center" indent="1"/>
      <protection hidden="1"/>
    </xf>
    <xf numFmtId="0" fontId="95" fillId="0" borderId="0" xfId="3" applyFont="1" applyFill="1" applyBorder="1" applyAlignment="1" applyProtection="1">
      <alignment horizontal="center"/>
    </xf>
    <xf numFmtId="0" fontId="81" fillId="2" borderId="124" xfId="0" applyFont="1" applyFill="1" applyBorder="1" applyAlignment="1">
      <alignment horizontal="center"/>
      <protection hidden="1"/>
    </xf>
    <xf numFmtId="0" fontId="81" fillId="2" borderId="125" xfId="0" applyFont="1" applyFill="1" applyBorder="1" applyAlignment="1">
      <alignment horizontal="center"/>
      <protection hidden="1"/>
    </xf>
    <xf numFmtId="0" fontId="81" fillId="2" borderId="126" xfId="0" applyFont="1" applyFill="1" applyBorder="1" applyAlignment="1">
      <alignment horizontal="center"/>
      <protection hidden="1"/>
    </xf>
    <xf numFmtId="0" fontId="81" fillId="2" borderId="129" xfId="0" applyFont="1" applyFill="1" applyBorder="1" applyAlignment="1">
      <alignment horizontal="center"/>
      <protection hidden="1"/>
    </xf>
    <xf numFmtId="0" fontId="82" fillId="2" borderId="0" xfId="0" applyNumberFormat="1" applyFont="1" applyFill="1">
      <alignment horizontal="left" vertical="center" indent="1"/>
      <protection hidden="1"/>
    </xf>
    <xf numFmtId="0" fontId="82" fillId="16" borderId="0" xfId="0" applyNumberFormat="1" applyFont="1" applyFill="1">
      <alignment horizontal="left" vertical="center" indent="1"/>
      <protection hidden="1"/>
    </xf>
    <xf numFmtId="0" fontId="81" fillId="2" borderId="4" xfId="0" applyFont="1" applyFill="1" applyBorder="1" applyAlignment="1">
      <alignment horizontal="left" indent="1"/>
      <protection hidden="1"/>
    </xf>
    <xf numFmtId="0" fontId="81" fillId="2" borderId="3" xfId="0" applyFont="1" applyFill="1" applyBorder="1" applyAlignment="1">
      <alignment horizontal="left" indent="1"/>
      <protection hidden="1"/>
    </xf>
    <xf numFmtId="3" fontId="82" fillId="2" borderId="29" xfId="0" applyNumberFormat="1" applyFont="1" applyFill="1" applyBorder="1" applyAlignment="1">
      <alignment horizontal="right" vertical="center" indent="1"/>
      <protection hidden="1"/>
    </xf>
    <xf numFmtId="3" fontId="82" fillId="2" borderId="15" xfId="0" applyNumberFormat="1" applyFont="1" applyFill="1" applyBorder="1" applyAlignment="1">
      <alignment horizontal="right" vertical="center" indent="1"/>
      <protection hidden="1"/>
    </xf>
    <xf numFmtId="3" fontId="82" fillId="2" borderId="6" xfId="0" applyNumberFormat="1" applyFont="1" applyFill="1" applyBorder="1" applyAlignment="1" applyProtection="1">
      <alignment horizontal="right" vertical="center" indent="1"/>
    </xf>
    <xf numFmtId="3" fontId="82" fillId="2" borderId="0" xfId="0" applyNumberFormat="1" applyFont="1" applyFill="1" applyAlignment="1" applyProtection="1">
      <alignment horizontal="right" vertical="center" indent="1"/>
    </xf>
    <xf numFmtId="3" fontId="82" fillId="2" borderId="128" xfId="0" applyNumberFormat="1" applyFont="1" applyFill="1" applyBorder="1" applyAlignment="1" applyProtection="1">
      <alignment horizontal="right" vertical="center" indent="1"/>
    </xf>
    <xf numFmtId="3" fontId="82" fillId="2" borderId="10" xfId="0" applyNumberFormat="1" applyFont="1" applyFill="1" applyBorder="1" applyAlignment="1" applyProtection="1">
      <alignment horizontal="right" vertical="center" indent="1"/>
    </xf>
    <xf numFmtId="3" fontId="82" fillId="2" borderId="3" xfId="0" applyNumberFormat="1" applyFont="1" applyFill="1" applyBorder="1" applyAlignment="1" applyProtection="1">
      <alignment horizontal="right" vertical="center" indent="1"/>
    </xf>
    <xf numFmtId="3" fontId="82" fillId="2" borderId="129" xfId="0" applyNumberFormat="1" applyFont="1" applyFill="1" applyBorder="1" applyAlignment="1" applyProtection="1">
      <alignment horizontal="right" vertical="center" indent="1"/>
    </xf>
    <xf numFmtId="165" fontId="82" fillId="2" borderId="27" xfId="8" applyFont="1" applyFill="1" applyBorder="1" applyProtection="1">
      <alignment horizontal="center" vertical="center"/>
      <protection hidden="1"/>
    </xf>
    <xf numFmtId="165" fontId="82" fillId="2" borderId="128" xfId="8" applyFont="1" applyFill="1" applyBorder="1" applyProtection="1">
      <alignment horizontal="center" vertical="center"/>
      <protection hidden="1"/>
    </xf>
    <xf numFmtId="4" fontId="82" fillId="2" borderId="126" xfId="0" applyNumberFormat="1" applyFont="1" applyFill="1" applyBorder="1" applyAlignment="1">
      <alignment horizontal="right" vertical="center" indent="1"/>
      <protection hidden="1"/>
    </xf>
    <xf numFmtId="4" fontId="82" fillId="2" borderId="3" xfId="0" applyNumberFormat="1" applyFont="1" applyFill="1" applyBorder="1" applyAlignment="1">
      <alignment horizontal="right" vertical="center" indent="1"/>
      <protection hidden="1"/>
    </xf>
    <xf numFmtId="4" fontId="82" fillId="2" borderId="129" xfId="0" applyNumberFormat="1" applyFont="1" applyFill="1" applyBorder="1" applyAlignment="1">
      <alignment horizontal="right" vertical="center" indent="1"/>
      <protection hidden="1"/>
    </xf>
    <xf numFmtId="3" fontId="82" fillId="16" borderId="6" xfId="0" applyNumberFormat="1" applyFont="1" applyFill="1" applyBorder="1" applyAlignment="1" applyProtection="1">
      <alignment horizontal="right" vertical="center" indent="1"/>
    </xf>
    <xf numFmtId="3" fontId="82" fillId="16" borderId="0" xfId="0" applyNumberFormat="1" applyFont="1" applyFill="1" applyAlignment="1" applyProtection="1">
      <alignment horizontal="right" vertical="center" indent="1"/>
    </xf>
    <xf numFmtId="3" fontId="82" fillId="16" borderId="128" xfId="0" applyNumberFormat="1" applyFont="1" applyFill="1" applyBorder="1" applyAlignment="1" applyProtection="1">
      <alignment horizontal="right" vertical="center" indent="1"/>
    </xf>
    <xf numFmtId="165" fontId="82" fillId="16" borderId="27" xfId="8" applyFont="1" applyFill="1" applyBorder="1" applyProtection="1">
      <alignment horizontal="center" vertical="center"/>
      <protection hidden="1"/>
    </xf>
    <xf numFmtId="165" fontId="82" fillId="16" borderId="128" xfId="8" applyFont="1" applyFill="1" applyBorder="1" applyProtection="1">
      <alignment horizontal="center" vertical="center"/>
      <protection hidden="1"/>
    </xf>
    <xf numFmtId="4" fontId="82" fillId="16" borderId="27" xfId="0" applyNumberFormat="1" applyFont="1" applyFill="1" applyBorder="1" applyAlignment="1">
      <alignment horizontal="right" vertical="center" indent="1"/>
      <protection hidden="1"/>
    </xf>
    <xf numFmtId="4" fontId="82" fillId="16" borderId="0" xfId="0" applyNumberFormat="1" applyFont="1" applyFill="1" applyAlignment="1">
      <alignment horizontal="right" vertical="center" indent="1"/>
      <protection hidden="1"/>
    </xf>
    <xf numFmtId="4" fontId="82" fillId="16" borderId="128" xfId="0" applyNumberFormat="1" applyFont="1" applyFill="1" applyBorder="1" applyAlignment="1">
      <alignment horizontal="right" vertical="center" indent="1"/>
      <protection hidden="1"/>
    </xf>
    <xf numFmtId="4" fontId="82" fillId="2" borderId="27" xfId="0" applyNumberFormat="1" applyFont="1" applyFill="1" applyBorder="1" applyAlignment="1">
      <alignment horizontal="right" vertical="center" indent="1"/>
      <protection hidden="1"/>
    </xf>
    <xf numFmtId="4" fontId="82" fillId="2" borderId="0" xfId="0" applyNumberFormat="1" applyFont="1" applyFill="1" applyAlignment="1">
      <alignment horizontal="right" vertical="center" indent="1"/>
      <protection hidden="1"/>
    </xf>
    <xf numFmtId="4" fontId="82" fillId="2" borderId="128" xfId="0" applyNumberFormat="1" applyFont="1" applyFill="1" applyBorder="1" applyAlignment="1">
      <alignment horizontal="right" vertical="center" indent="1"/>
      <protection hidden="1"/>
    </xf>
    <xf numFmtId="3" fontId="82" fillId="16" borderId="15" xfId="0" applyNumberFormat="1" applyFont="1" applyFill="1" applyBorder="1" applyAlignment="1" applyProtection="1">
      <alignment horizontal="right" vertical="center" indent="1"/>
    </xf>
    <xf numFmtId="3" fontId="82" fillId="16" borderId="23" xfId="0" applyNumberFormat="1" applyFont="1" applyFill="1" applyBorder="1" applyAlignment="1" applyProtection="1">
      <alignment horizontal="right" vertical="center" indent="1"/>
    </xf>
    <xf numFmtId="3" fontId="81" fillId="8" borderId="122" xfId="0" applyNumberFormat="1" applyFont="1" applyFill="1" applyBorder="1" applyAlignment="1" applyProtection="1">
      <alignment horizontal="right" vertical="center" indent="1"/>
    </xf>
    <xf numFmtId="3" fontId="81" fillId="8" borderId="5" xfId="0" applyNumberFormat="1" applyFont="1" applyFill="1" applyBorder="1" applyAlignment="1" applyProtection="1">
      <alignment horizontal="right" vertical="center" indent="1"/>
    </xf>
    <xf numFmtId="3" fontId="81" fillId="8" borderId="121" xfId="0" applyNumberFormat="1" applyFont="1" applyFill="1" applyBorder="1" applyAlignment="1" applyProtection="1">
      <alignment horizontal="right" vertical="center" indent="1"/>
    </xf>
    <xf numFmtId="38" fontId="81" fillId="8" borderId="2" xfId="0" applyNumberFormat="1" applyFont="1" applyFill="1" applyBorder="1">
      <alignment horizontal="left" vertical="center" indent="1"/>
      <protection hidden="1"/>
    </xf>
    <xf numFmtId="38" fontId="81" fillId="8" borderId="120" xfId="0" applyNumberFormat="1" applyFont="1" applyFill="1" applyBorder="1" applyAlignment="1" applyProtection="1">
      <alignment horizontal="center" vertical="center"/>
    </xf>
    <xf numFmtId="38" fontId="81" fillId="8" borderId="127" xfId="0" applyNumberFormat="1" applyFont="1" applyFill="1" applyBorder="1" applyAlignment="1" applyProtection="1">
      <alignment horizontal="center" vertical="center"/>
    </xf>
    <xf numFmtId="4" fontId="81" fillId="8" borderId="2" xfId="0" applyNumberFormat="1" applyFont="1" applyFill="1" applyBorder="1" applyAlignment="1" applyProtection="1">
      <alignment horizontal="right" vertical="center" indent="1"/>
    </xf>
    <xf numFmtId="3" fontId="82" fillId="16" borderId="10" xfId="0" applyNumberFormat="1" applyFont="1" applyFill="1" applyBorder="1" applyAlignment="1" applyProtection="1">
      <alignment horizontal="right" vertical="center" indent="1"/>
    </xf>
    <xf numFmtId="3" fontId="82" fillId="16" borderId="3" xfId="0" applyNumberFormat="1" applyFont="1" applyFill="1" applyBorder="1" applyAlignment="1" applyProtection="1">
      <alignment horizontal="right" vertical="center" indent="1"/>
    </xf>
    <xf numFmtId="3" fontId="82" fillId="16" borderId="129" xfId="0" applyNumberFormat="1" applyFont="1" applyFill="1" applyBorder="1" applyAlignment="1" applyProtection="1">
      <alignment horizontal="right" vertical="center" indent="1"/>
    </xf>
    <xf numFmtId="4" fontId="82" fillId="16" borderId="126" xfId="0" applyNumberFormat="1" applyFont="1" applyFill="1" applyBorder="1" applyAlignment="1">
      <alignment horizontal="right" vertical="center" indent="1"/>
      <protection hidden="1"/>
    </xf>
    <xf numFmtId="4" fontId="82" fillId="16" borderId="3" xfId="0" applyNumberFormat="1" applyFont="1" applyFill="1" applyBorder="1" applyAlignment="1">
      <alignment horizontal="right" vertical="center" indent="1"/>
      <protection hidden="1"/>
    </xf>
    <xf numFmtId="4" fontId="82" fillId="16" borderId="129" xfId="0" applyNumberFormat="1" applyFont="1" applyFill="1" applyBorder="1" applyAlignment="1">
      <alignment horizontal="right" vertical="center" indent="1"/>
      <protection hidden="1"/>
    </xf>
    <xf numFmtId="0" fontId="61" fillId="2" borderId="0" xfId="0" applyFont="1" applyFill="1" applyAlignment="1">
      <alignment horizontal="right" vertical="center" indent="1"/>
      <protection hidden="1"/>
    </xf>
    <xf numFmtId="0" fontId="31" fillId="3" borderId="0" xfId="0" applyFont="1" applyFill="1">
      <alignment horizontal="left" vertical="center" indent="1"/>
      <protection hidden="1"/>
    </xf>
    <xf numFmtId="3" fontId="82" fillId="16" borderId="27" xfId="0" applyNumberFormat="1" applyFont="1" applyFill="1" applyBorder="1" applyAlignment="1">
      <alignment horizontal="right" vertical="center" indent="1"/>
      <protection hidden="1"/>
    </xf>
    <xf numFmtId="3" fontId="82" fillId="16" borderId="0" xfId="0" applyNumberFormat="1" applyFont="1" applyFill="1" applyAlignment="1">
      <alignment horizontal="right" vertical="center" indent="1"/>
      <protection hidden="1"/>
    </xf>
    <xf numFmtId="3" fontId="82" fillId="16" borderId="9" xfId="0" applyNumberFormat="1" applyFont="1" applyFill="1" applyBorder="1" applyAlignment="1">
      <alignment horizontal="right" vertical="center" indent="1"/>
      <protection hidden="1"/>
    </xf>
    <xf numFmtId="3" fontId="82" fillId="2" borderId="27" xfId="0" applyNumberFormat="1" applyFont="1" applyFill="1" applyBorder="1" applyAlignment="1">
      <alignment horizontal="right" vertical="center" indent="1"/>
      <protection hidden="1"/>
    </xf>
    <xf numFmtId="3" fontId="82" fillId="2" borderId="0" xfId="0" applyNumberFormat="1" applyFont="1" applyFill="1" applyAlignment="1">
      <alignment horizontal="right" vertical="center" indent="1"/>
      <protection hidden="1"/>
    </xf>
    <xf numFmtId="3" fontId="82" fillId="2" borderId="9" xfId="0" applyNumberFormat="1" applyFont="1" applyFill="1" applyBorder="1" applyAlignment="1">
      <alignment horizontal="right" vertical="center" indent="1"/>
      <protection hidden="1"/>
    </xf>
    <xf numFmtId="0" fontId="17" fillId="3" borderId="124" xfId="0" applyFont="1" applyFill="1" applyBorder="1" applyAlignment="1" applyProtection="1">
      <alignment horizontal="center" vertical="center"/>
    </xf>
    <xf numFmtId="0" fontId="17" fillId="3" borderId="4" xfId="0" applyFont="1" applyFill="1" applyBorder="1" applyAlignment="1" applyProtection="1">
      <alignment horizontal="center" vertical="center"/>
    </xf>
    <xf numFmtId="0" fontId="17" fillId="3" borderId="125" xfId="0" applyFont="1" applyFill="1" applyBorder="1" applyAlignment="1" applyProtection="1">
      <alignment horizontal="center" vertical="center"/>
    </xf>
    <xf numFmtId="0" fontId="81" fillId="2" borderId="122" xfId="0" applyFont="1" applyFill="1" applyBorder="1" applyAlignment="1" applyProtection="1">
      <alignment horizontal="center"/>
    </xf>
    <xf numFmtId="0" fontId="81" fillId="2" borderId="5" xfId="0" applyFont="1" applyFill="1" applyBorder="1" applyAlignment="1" applyProtection="1">
      <alignment horizontal="center"/>
    </xf>
    <xf numFmtId="0" fontId="81" fillId="2" borderId="121" xfId="0" applyFont="1" applyFill="1" applyBorder="1" applyAlignment="1" applyProtection="1">
      <alignment horizontal="center"/>
    </xf>
    <xf numFmtId="3" fontId="82" fillId="2" borderId="126" xfId="0" applyNumberFormat="1" applyFont="1" applyFill="1" applyBorder="1" applyAlignment="1">
      <alignment horizontal="right" vertical="center" indent="1"/>
      <protection hidden="1"/>
    </xf>
    <xf numFmtId="3" fontId="82" fillId="2" borderId="3" xfId="0" applyNumberFormat="1" applyFont="1" applyFill="1" applyBorder="1" applyAlignment="1">
      <alignment horizontal="right" vertical="center" indent="1"/>
      <protection hidden="1"/>
    </xf>
    <xf numFmtId="3" fontId="82" fillId="2" borderId="11" xfId="0" applyNumberFormat="1" applyFont="1" applyFill="1" applyBorder="1" applyAlignment="1">
      <alignment horizontal="right" vertical="center" indent="1"/>
      <protection hidden="1"/>
    </xf>
    <xf numFmtId="0" fontId="9" fillId="2" borderId="0" xfId="0" applyNumberFormat="1" applyFont="1" applyFill="1" applyProtection="1">
      <alignment horizontal="left" vertical="center" indent="1"/>
    </xf>
    <xf numFmtId="3" fontId="82" fillId="16" borderId="29" xfId="0" quotePrefix="1" applyNumberFormat="1" applyFont="1" applyFill="1" applyBorder="1" applyAlignment="1">
      <alignment horizontal="right" vertical="center" wrapText="1" indent="1"/>
      <protection hidden="1"/>
    </xf>
    <xf numFmtId="165" fontId="82" fillId="2" borderId="27" xfId="8" applyFont="1" applyFill="1" applyBorder="1" applyProtection="1">
      <alignment horizontal="center" vertical="center"/>
    </xf>
    <xf numFmtId="165" fontId="82" fillId="2" borderId="128" xfId="8" applyFont="1" applyFill="1" applyBorder="1" applyProtection="1">
      <alignment horizontal="center" vertical="center"/>
    </xf>
    <xf numFmtId="3" fontId="82" fillId="16" borderId="126" xfId="0" applyNumberFormat="1" applyFont="1" applyFill="1" applyBorder="1" applyAlignment="1">
      <alignment horizontal="right" vertical="center" indent="1"/>
      <protection hidden="1"/>
    </xf>
    <xf numFmtId="3" fontId="82" fillId="16" borderId="3" xfId="0" applyNumberFormat="1" applyFont="1" applyFill="1" applyBorder="1" applyAlignment="1">
      <alignment horizontal="right" vertical="center" indent="1"/>
      <protection hidden="1"/>
    </xf>
    <xf numFmtId="3" fontId="82" fillId="16" borderId="11" xfId="0" applyNumberFormat="1" applyFont="1" applyFill="1" applyBorder="1" applyAlignment="1">
      <alignment horizontal="right" vertical="center" indent="1"/>
      <protection hidden="1"/>
    </xf>
    <xf numFmtId="0" fontId="82" fillId="2" borderId="6" xfId="0" applyNumberFormat="1" applyFont="1" applyFill="1" applyBorder="1" applyAlignment="1" applyProtection="1">
      <alignment horizontal="left" vertical="center" indent="2"/>
    </xf>
    <xf numFmtId="0" fontId="82" fillId="2" borderId="0" xfId="0" applyNumberFormat="1" applyFont="1" applyFill="1" applyAlignment="1" applyProtection="1">
      <alignment horizontal="left" vertical="center" indent="2"/>
    </xf>
    <xf numFmtId="165" fontId="82" fillId="16" borderId="27" xfId="8" applyFont="1" applyFill="1" applyBorder="1" applyProtection="1">
      <alignment horizontal="center" vertical="center"/>
    </xf>
    <xf numFmtId="165" fontId="82" fillId="16" borderId="128" xfId="8" applyFont="1" applyFill="1" applyBorder="1" applyProtection="1">
      <alignment horizontal="center" vertical="center"/>
    </xf>
    <xf numFmtId="0" fontId="64" fillId="3" borderId="7" xfId="0" applyFont="1" applyFill="1" applyBorder="1" applyProtection="1">
      <alignment horizontal="left" vertical="center" indent="1"/>
    </xf>
    <xf numFmtId="0" fontId="64" fillId="3" borderId="2" xfId="0" applyFont="1" applyFill="1" applyBorder="1" applyProtection="1">
      <alignment horizontal="left" vertical="center" indent="1"/>
    </xf>
    <xf numFmtId="0" fontId="64" fillId="3" borderId="8" xfId="0" applyFont="1" applyFill="1" applyBorder="1" applyProtection="1">
      <alignment horizontal="left" vertical="center" indent="1"/>
    </xf>
    <xf numFmtId="0" fontId="64" fillId="3" borderId="0" xfId="0" applyFont="1" applyFill="1" applyProtection="1">
      <alignment horizontal="left" vertical="center" indent="1"/>
    </xf>
    <xf numFmtId="38" fontId="81" fillId="8" borderId="7" xfId="0" applyNumberFormat="1" applyFont="1" applyFill="1" applyBorder="1" applyProtection="1">
      <alignment horizontal="left" vertical="center" indent="1"/>
    </xf>
    <xf numFmtId="38" fontId="81" fillId="8" borderId="2" xfId="0" applyNumberFormat="1" applyFont="1" applyFill="1" applyBorder="1" applyProtection="1">
      <alignment horizontal="left" vertical="center" indent="1"/>
    </xf>
    <xf numFmtId="0" fontId="82" fillId="16" borderId="6" xfId="0" applyNumberFormat="1" applyFont="1" applyFill="1" applyBorder="1" applyAlignment="1" applyProtection="1">
      <alignment horizontal="left" vertical="center" indent="2"/>
    </xf>
    <xf numFmtId="0" fontId="82" fillId="16" borderId="0" xfId="0" applyNumberFormat="1" applyFont="1" applyFill="1" applyAlignment="1" applyProtection="1">
      <alignment horizontal="left" vertical="center" indent="2"/>
    </xf>
    <xf numFmtId="0" fontId="17" fillId="3" borderId="124" xfId="0" applyFont="1" applyFill="1" applyBorder="1" applyAlignment="1" applyProtection="1">
      <alignment horizontal="center" vertical="center" wrapText="1"/>
    </xf>
    <xf numFmtId="0" fontId="81" fillId="2" borderId="13" xfId="0" applyFont="1" applyFill="1" applyBorder="1" applyAlignment="1" applyProtection="1">
      <alignment horizontal="left" indent="1"/>
    </xf>
    <xf numFmtId="0" fontId="81" fillId="2" borderId="4" xfId="0" applyFont="1" applyFill="1" applyBorder="1" applyAlignment="1" applyProtection="1">
      <alignment horizontal="left" indent="1"/>
    </xf>
    <xf numFmtId="0" fontId="81" fillId="2" borderId="10" xfId="0" applyFont="1" applyFill="1" applyBorder="1" applyAlignment="1" applyProtection="1">
      <alignment horizontal="left" indent="1"/>
    </xf>
    <xf numFmtId="0" fontId="81" fillId="2" borderId="3" xfId="0" applyFont="1" applyFill="1" applyBorder="1" applyAlignment="1" applyProtection="1">
      <alignment horizontal="left" indent="1"/>
    </xf>
    <xf numFmtId="0" fontId="81" fillId="2" borderId="124" xfId="0" applyFont="1" applyFill="1" applyBorder="1" applyAlignment="1" applyProtection="1">
      <alignment horizontal="center"/>
    </xf>
    <xf numFmtId="0" fontId="81" fillId="2" borderId="125" xfId="0" applyFont="1" applyFill="1" applyBorder="1" applyAlignment="1" applyProtection="1">
      <alignment horizontal="center"/>
    </xf>
    <xf numFmtId="0" fontId="81" fillId="2" borderId="126" xfId="0" applyFont="1" applyFill="1" applyBorder="1" applyAlignment="1" applyProtection="1">
      <alignment horizontal="center"/>
    </xf>
    <xf numFmtId="0" fontId="81" fillId="2" borderId="129" xfId="0" applyFont="1" applyFill="1" applyBorder="1" applyAlignment="1" applyProtection="1">
      <alignment horizontal="center"/>
    </xf>
    <xf numFmtId="0" fontId="81" fillId="2" borderId="4" xfId="0" applyFont="1" applyFill="1" applyBorder="1" applyAlignment="1" applyProtection="1">
      <alignment horizontal="center" wrapText="1"/>
    </xf>
    <xf numFmtId="0" fontId="81" fillId="2" borderId="3" xfId="0" applyFont="1" applyFill="1" applyBorder="1" applyAlignment="1" applyProtection="1">
      <alignment horizontal="center" wrapText="1"/>
    </xf>
    <xf numFmtId="0" fontId="82" fillId="2" borderId="6" xfId="0" applyNumberFormat="1" applyFont="1" applyFill="1" applyBorder="1" applyProtection="1">
      <alignment horizontal="left" vertical="center" indent="1"/>
    </xf>
    <xf numFmtId="0" fontId="82" fillId="2" borderId="0" xfId="0" applyNumberFormat="1" applyFont="1" applyFill="1" applyProtection="1">
      <alignment horizontal="left" vertical="center" indent="1"/>
    </xf>
    <xf numFmtId="0" fontId="82" fillId="16" borderId="6" xfId="0" applyNumberFormat="1" applyFont="1" applyFill="1" applyBorder="1" applyProtection="1">
      <alignment horizontal="left" vertical="center" indent="1"/>
    </xf>
    <xf numFmtId="0" fontId="82" fillId="16" borderId="0" xfId="0" applyNumberFormat="1" applyFont="1" applyFill="1" applyProtection="1">
      <alignment horizontal="left" vertical="center" indent="1"/>
    </xf>
    <xf numFmtId="0" fontId="17" fillId="3" borderId="14" xfId="0" applyFont="1" applyFill="1" applyBorder="1" applyAlignment="1" applyProtection="1">
      <alignment horizontal="center" vertical="center"/>
    </xf>
    <xf numFmtId="3" fontId="82" fillId="16" borderId="9" xfId="0" applyNumberFormat="1" applyFont="1" applyFill="1" applyBorder="1" applyAlignment="1" applyProtection="1">
      <alignment horizontal="right" vertical="center" indent="1"/>
    </xf>
    <xf numFmtId="3" fontId="82" fillId="2" borderId="11" xfId="0" applyNumberFormat="1" applyFont="1" applyFill="1" applyBorder="1" applyAlignment="1" applyProtection="1">
      <alignment horizontal="right" vertical="center" indent="1"/>
    </xf>
    <xf numFmtId="3" fontId="82" fillId="2" borderId="9" xfId="0" applyNumberFormat="1" applyFont="1" applyFill="1" applyBorder="1" applyAlignment="1" applyProtection="1">
      <alignment horizontal="right" vertical="center" indent="1"/>
    </xf>
    <xf numFmtId="0" fontId="76" fillId="26" borderId="3" xfId="0" applyFont="1" applyFill="1" applyBorder="1">
      <alignment horizontal="left" vertical="center" indent="1"/>
      <protection hidden="1"/>
    </xf>
    <xf numFmtId="0" fontId="76" fillId="26" borderId="11" xfId="0" applyFont="1" applyFill="1" applyBorder="1">
      <alignment horizontal="left" vertical="center" indent="1"/>
      <protection hidden="1"/>
    </xf>
    <xf numFmtId="0" fontId="76" fillId="26" borderId="10" xfId="0" applyFont="1" applyFill="1" applyBorder="1">
      <alignment horizontal="left" vertical="center" indent="1"/>
      <protection hidden="1"/>
    </xf>
    <xf numFmtId="0" fontId="76" fillId="26" borderId="3" xfId="0" applyNumberFormat="1" applyFont="1" applyFill="1" applyBorder="1">
      <alignment horizontal="left" vertical="center" indent="1"/>
      <protection hidden="1"/>
    </xf>
    <xf numFmtId="166" fontId="76" fillId="26" borderId="3" xfId="0" applyNumberFormat="1" applyFont="1" applyFill="1" applyBorder="1">
      <alignment horizontal="left" vertical="center" indent="1"/>
      <protection hidden="1"/>
    </xf>
    <xf numFmtId="0" fontId="76" fillId="26" borderId="0" xfId="0" applyFont="1" applyFill="1">
      <alignment horizontal="left" vertical="center" indent="1"/>
      <protection hidden="1"/>
    </xf>
    <xf numFmtId="0" fontId="76" fillId="26" borderId="9" xfId="0" applyFont="1" applyFill="1" applyBorder="1">
      <alignment horizontal="left" vertical="center" indent="1"/>
      <protection hidden="1"/>
    </xf>
    <xf numFmtId="0" fontId="76" fillId="24" borderId="6" xfId="0" applyFont="1" applyFill="1" applyBorder="1">
      <alignment horizontal="left" vertical="center" indent="1"/>
      <protection hidden="1"/>
    </xf>
    <xf numFmtId="0" fontId="76" fillId="24" borderId="0" xfId="0" applyFont="1" applyFill="1">
      <alignment horizontal="left" vertical="center" indent="1"/>
      <protection hidden="1"/>
    </xf>
    <xf numFmtId="0" fontId="76" fillId="24" borderId="0" xfId="0" applyNumberFormat="1" applyFont="1" applyFill="1">
      <alignment horizontal="left" vertical="center" indent="1"/>
      <protection hidden="1"/>
    </xf>
    <xf numFmtId="166" fontId="76" fillId="24" borderId="0" xfId="0" applyNumberFormat="1" applyFont="1" applyFill="1">
      <alignment horizontal="left" vertical="center" indent="1"/>
      <protection hidden="1"/>
    </xf>
    <xf numFmtId="0" fontId="76" fillId="24" borderId="9" xfId="0" applyFont="1" applyFill="1" applyBorder="1">
      <alignment horizontal="left" vertical="center" indent="1"/>
      <protection hidden="1"/>
    </xf>
    <xf numFmtId="0" fontId="76" fillId="26" borderId="6" xfId="0" applyFont="1" applyFill="1" applyBorder="1">
      <alignment horizontal="left" vertical="center" indent="1"/>
      <protection hidden="1"/>
    </xf>
    <xf numFmtId="0" fontId="76" fillId="26" borderId="0" xfId="0" applyNumberFormat="1" applyFont="1" applyFill="1">
      <alignment horizontal="left" vertical="center" indent="1"/>
      <protection hidden="1"/>
    </xf>
    <xf numFmtId="166" fontId="76" fillId="26" borderId="0" xfId="0" applyNumberFormat="1" applyFont="1" applyFill="1">
      <alignment horizontal="left" vertical="center" indent="1"/>
      <protection hidden="1"/>
    </xf>
    <xf numFmtId="0" fontId="114" fillId="0" borderId="123" xfId="0" applyFont="1" applyBorder="1" applyAlignment="1">
      <alignment horizontal="left" indent="1"/>
      <protection hidden="1"/>
    </xf>
    <xf numFmtId="0" fontId="114" fillId="0" borderId="100" xfId="0" applyFont="1" applyBorder="1" applyAlignment="1">
      <alignment horizontal="left" indent="1"/>
      <protection hidden="1"/>
    </xf>
    <xf numFmtId="0" fontId="114" fillId="0" borderId="101" xfId="0" applyFont="1" applyBorder="1" applyAlignment="1">
      <alignment horizontal="left" indent="1"/>
      <protection hidden="1"/>
    </xf>
    <xf numFmtId="0" fontId="68" fillId="5" borderId="10" xfId="7" applyFont="1" applyFill="1" applyBorder="1" applyAlignment="1" applyProtection="1">
      <alignment horizontal="left" vertical="center" wrapText="1" indent="1"/>
    </xf>
    <xf numFmtId="0" fontId="68" fillId="5" borderId="3" xfId="7" applyFont="1" applyFill="1" applyBorder="1" applyAlignment="1" applyProtection="1">
      <alignment horizontal="left" vertical="center" wrapText="1" indent="1"/>
    </xf>
    <xf numFmtId="0" fontId="32" fillId="2" borderId="13" xfId="0" applyFont="1" applyFill="1" applyBorder="1" applyAlignment="1" applyProtection="1">
      <alignment horizontal="left" vertical="center" wrapText="1" indent="1"/>
    </xf>
    <xf numFmtId="0" fontId="32" fillId="2" borderId="4" xfId="0" applyFont="1" applyFill="1" applyBorder="1" applyAlignment="1" applyProtection="1">
      <alignment horizontal="left" vertical="center" wrapText="1" indent="1"/>
    </xf>
    <xf numFmtId="0" fontId="32" fillId="5" borderId="13" xfId="0" applyFont="1" applyFill="1" applyBorder="1" applyAlignment="1" applyProtection="1">
      <alignment horizontal="left" vertical="center" wrapText="1" indent="1"/>
    </xf>
    <xf numFmtId="0" fontId="32" fillId="5" borderId="4" xfId="0" applyFont="1" applyFill="1" applyBorder="1" applyAlignment="1" applyProtection="1">
      <alignment horizontal="left" vertical="center" wrapText="1" indent="1"/>
    </xf>
    <xf numFmtId="0" fontId="69" fillId="5" borderId="3" xfId="0" applyFont="1" applyFill="1" applyBorder="1" applyAlignment="1" applyProtection="1">
      <alignment horizontal="left" vertical="center" wrapText="1" indent="1"/>
    </xf>
    <xf numFmtId="0" fontId="68" fillId="2" borderId="10" xfId="7" applyFont="1" applyFill="1" applyBorder="1" applyAlignment="1" applyProtection="1">
      <alignment horizontal="left" vertical="center" wrapText="1" indent="1"/>
    </xf>
    <xf numFmtId="0" fontId="69" fillId="2" borderId="3" xfId="0" applyFont="1" applyFill="1" applyBorder="1" applyAlignment="1" applyProtection="1">
      <alignment horizontal="left" vertical="center" wrapText="1" indent="1"/>
    </xf>
    <xf numFmtId="0" fontId="31" fillId="3" borderId="2" xfId="0" applyFont="1" applyFill="1" applyBorder="1" applyAlignment="1" applyProtection="1">
      <alignment horizontal="center" vertical="center" wrapText="1"/>
    </xf>
    <xf numFmtId="0" fontId="31" fillId="3" borderId="8" xfId="0" applyFont="1" applyFill="1" applyBorder="1" applyAlignment="1" applyProtection="1">
      <alignment horizontal="center" vertical="center" wrapText="1"/>
    </xf>
    <xf numFmtId="0" fontId="33" fillId="2" borderId="67" xfId="0" applyFont="1" applyFill="1" applyBorder="1" applyAlignment="1">
      <alignment horizontal="left" vertical="center" indent="2"/>
      <protection hidden="1"/>
    </xf>
    <xf numFmtId="0" fontId="33" fillId="2" borderId="68" xfId="0" applyFont="1" applyFill="1" applyBorder="1" applyAlignment="1">
      <alignment horizontal="left" vertical="center" indent="2"/>
      <protection hidden="1"/>
    </xf>
    <xf numFmtId="0" fontId="33" fillId="2" borderId="67" xfId="0" applyFont="1" applyFill="1" applyBorder="1" applyAlignment="1">
      <alignment horizontal="center"/>
      <protection hidden="1"/>
    </xf>
    <xf numFmtId="0" fontId="33" fillId="2" borderId="68" xfId="0" applyFont="1" applyFill="1" applyBorder="1" applyAlignment="1">
      <alignment horizontal="center"/>
      <protection hidden="1"/>
    </xf>
    <xf numFmtId="0" fontId="31" fillId="3" borderId="6" xfId="5" applyFont="1" applyFill="1" applyBorder="1" applyAlignment="1" applyProtection="1">
      <alignment horizontal="center"/>
      <protection hidden="1"/>
    </xf>
    <xf numFmtId="0" fontId="31" fillId="3" borderId="0" xfId="5" applyFont="1" applyFill="1" applyBorder="1" applyAlignment="1" applyProtection="1">
      <alignment horizontal="center"/>
      <protection hidden="1"/>
    </xf>
    <xf numFmtId="0" fontId="67" fillId="4" borderId="6" xfId="5" applyFont="1" applyFill="1" applyBorder="1" applyAlignment="1" applyProtection="1">
      <alignment horizontal="center"/>
      <protection hidden="1"/>
    </xf>
    <xf numFmtId="0" fontId="67" fillId="4" borderId="0" xfId="5" applyFont="1" applyFill="1" applyBorder="1" applyAlignment="1" applyProtection="1">
      <alignment horizontal="center"/>
      <protection hidden="1"/>
    </xf>
    <xf numFmtId="0" fontId="67" fillId="4" borderId="0" xfId="5" applyFont="1" applyFill="1" applyBorder="1" applyAlignment="1" applyProtection="1">
      <alignment horizontal="left" indent="1"/>
      <protection hidden="1"/>
    </xf>
    <xf numFmtId="0" fontId="33" fillId="2" borderId="58" xfId="0" applyFont="1" applyFill="1" applyBorder="1" applyAlignment="1">
      <alignment horizontal="left" vertical="center" indent="2"/>
      <protection hidden="1"/>
    </xf>
    <xf numFmtId="0" fontId="55" fillId="2" borderId="8" xfId="0" applyFont="1" applyFill="1" applyBorder="1" applyAlignment="1" applyProtection="1">
      <alignment horizontal="left" vertical="center" wrapText="1" indent="1"/>
    </xf>
    <xf numFmtId="0" fontId="64" fillId="3" borderId="13" xfId="0" applyFont="1" applyFill="1" applyBorder="1" applyAlignment="1" applyProtection="1">
      <alignment horizontal="center" vertical="center" wrapText="1"/>
    </xf>
    <xf numFmtId="0" fontId="64" fillId="3" borderId="4" xfId="0" applyFont="1" applyFill="1" applyBorder="1" applyAlignment="1" applyProtection="1">
      <alignment horizontal="center" vertical="center" wrapText="1"/>
    </xf>
    <xf numFmtId="0" fontId="64" fillId="3" borderId="14" xfId="0" applyFont="1" applyFill="1" applyBorder="1" applyAlignment="1" applyProtection="1">
      <alignment horizontal="center" vertical="center" wrapText="1"/>
    </xf>
    <xf numFmtId="0" fontId="64" fillId="3" borderId="10" xfId="0" applyFont="1" applyFill="1" applyBorder="1" applyAlignment="1" applyProtection="1">
      <alignment horizontal="center" vertical="center" wrapText="1"/>
    </xf>
    <xf numFmtId="0" fontId="64" fillId="3" borderId="3" xfId="0" applyFont="1" applyFill="1" applyBorder="1" applyAlignment="1" applyProtection="1">
      <alignment horizontal="center" vertical="center" wrapText="1"/>
    </xf>
    <xf numFmtId="0" fontId="64" fillId="3" borderId="11" xfId="0" applyFont="1" applyFill="1" applyBorder="1" applyAlignment="1" applyProtection="1">
      <alignment horizontal="center" vertical="center" wrapText="1"/>
    </xf>
    <xf numFmtId="0" fontId="63" fillId="2" borderId="13" xfId="0" applyFont="1" applyFill="1" applyBorder="1" applyAlignment="1" applyProtection="1">
      <alignment horizontal="left" vertical="center" wrapText="1" indent="1"/>
    </xf>
    <xf numFmtId="0" fontId="63" fillId="2" borderId="4" xfId="0" applyFont="1" applyFill="1" applyBorder="1" applyAlignment="1" applyProtection="1">
      <alignment horizontal="left" vertical="center" wrapText="1" indent="1"/>
    </xf>
    <xf numFmtId="0" fontId="63" fillId="2" borderId="14" xfId="0" applyFont="1" applyFill="1" applyBorder="1" applyAlignment="1" applyProtection="1">
      <alignment horizontal="left" vertical="center" wrapText="1" indent="1"/>
    </xf>
    <xf numFmtId="0" fontId="63" fillId="2" borderId="10" xfId="0" applyFont="1" applyFill="1" applyBorder="1" applyAlignment="1" applyProtection="1">
      <alignment horizontal="left" vertical="center" wrapText="1" indent="1"/>
    </xf>
    <xf numFmtId="0" fontId="63" fillId="2" borderId="3" xfId="0" applyFont="1" applyFill="1" applyBorder="1" applyAlignment="1" applyProtection="1">
      <alignment horizontal="left" vertical="center" wrapText="1" indent="1"/>
    </xf>
    <xf numFmtId="0" fontId="63" fillId="2" borderId="11" xfId="0" applyFont="1" applyFill="1" applyBorder="1" applyAlignment="1" applyProtection="1">
      <alignment horizontal="left" vertical="center" wrapText="1" indent="1"/>
    </xf>
    <xf numFmtId="0" fontId="33" fillId="2" borderId="58" xfId="0" applyFont="1" applyFill="1" applyBorder="1" applyAlignment="1">
      <alignment horizontal="center"/>
      <protection hidden="1"/>
    </xf>
    <xf numFmtId="0" fontId="32" fillId="2" borderId="7" xfId="0" applyFont="1" applyFill="1" applyBorder="1" applyAlignment="1" applyProtection="1">
      <alignment horizontal="left" vertical="center" wrapText="1" indent="1"/>
    </xf>
    <xf numFmtId="0" fontId="32" fillId="2" borderId="2" xfId="0" applyFont="1" applyFill="1" applyBorder="1" applyAlignment="1" applyProtection="1">
      <alignment horizontal="left" vertical="center" wrapText="1" indent="1"/>
    </xf>
    <xf numFmtId="0" fontId="55" fillId="2" borderId="7" xfId="0" applyFont="1" applyFill="1" applyBorder="1" applyAlignment="1" applyProtection="1">
      <alignment horizontal="left" vertical="center" wrapText="1" indent="1"/>
    </xf>
    <xf numFmtId="0" fontId="55" fillId="2" borderId="2" xfId="0" applyFont="1" applyFill="1" applyBorder="1" applyAlignment="1" applyProtection="1">
      <alignment horizontal="left" vertical="center" wrapText="1" indent="1"/>
    </xf>
    <xf numFmtId="0" fontId="61" fillId="12" borderId="13" xfId="0" applyFont="1" applyFill="1" applyBorder="1" applyAlignment="1" applyProtection="1">
      <alignment horizontal="left" vertical="center" wrapText="1" indent="1"/>
    </xf>
    <xf numFmtId="0" fontId="61" fillId="12" borderId="4" xfId="0" applyFont="1" applyFill="1" applyBorder="1" applyAlignment="1" applyProtection="1">
      <alignment horizontal="left" vertical="center" wrapText="1" indent="1"/>
    </xf>
    <xf numFmtId="0" fontId="61" fillId="12" borderId="14" xfId="0" applyFont="1" applyFill="1" applyBorder="1" applyAlignment="1" applyProtection="1">
      <alignment horizontal="left" vertical="center" wrapText="1" indent="1"/>
    </xf>
    <xf numFmtId="0" fontId="61" fillId="12" borderId="10" xfId="0" applyFont="1" applyFill="1" applyBorder="1" applyAlignment="1" applyProtection="1">
      <alignment horizontal="left" vertical="center" wrapText="1" indent="1"/>
    </xf>
    <xf numFmtId="0" fontId="61" fillId="12" borderId="3" xfId="0" applyFont="1" applyFill="1" applyBorder="1" applyAlignment="1" applyProtection="1">
      <alignment horizontal="left" vertical="center" wrapText="1" indent="1"/>
    </xf>
    <xf numFmtId="0" fontId="61" fillId="12" borderId="11" xfId="0" applyFont="1" applyFill="1" applyBorder="1" applyAlignment="1" applyProtection="1">
      <alignment horizontal="left" vertical="center" wrapText="1" indent="1"/>
    </xf>
    <xf numFmtId="0" fontId="32" fillId="5" borderId="7" xfId="0" applyFont="1" applyFill="1" applyBorder="1" applyAlignment="1" applyProtection="1">
      <alignment horizontal="left" vertical="center" wrapText="1" indent="1"/>
    </xf>
    <xf numFmtId="0" fontId="32" fillId="5" borderId="2" xfId="0" applyFont="1" applyFill="1" applyBorder="1" applyAlignment="1" applyProtection="1">
      <alignment horizontal="left" vertical="center" wrapText="1" indent="1"/>
    </xf>
    <xf numFmtId="0" fontId="55" fillId="5" borderId="8" xfId="0" applyFont="1" applyFill="1" applyBorder="1" applyAlignment="1" applyProtection="1">
      <alignment horizontal="left" vertical="center" wrapText="1" indent="1"/>
    </xf>
    <xf numFmtId="0" fontId="55" fillId="5" borderId="7" xfId="0" applyFont="1" applyFill="1" applyBorder="1" applyAlignment="1" applyProtection="1">
      <alignment horizontal="left" vertical="center" wrapText="1" indent="1"/>
    </xf>
    <xf numFmtId="0" fontId="55" fillId="5" borderId="2" xfId="0" applyFont="1" applyFill="1" applyBorder="1" applyAlignment="1" applyProtection="1">
      <alignment horizontal="left" vertical="center" wrapText="1" indent="1"/>
    </xf>
    <xf numFmtId="0" fontId="61" fillId="12" borderId="7" xfId="0" applyFont="1" applyFill="1" applyBorder="1" applyAlignment="1" applyProtection="1">
      <alignment horizontal="left" vertical="center" wrapText="1" indent="1"/>
    </xf>
    <xf numFmtId="0" fontId="61" fillId="12" borderId="2" xfId="0" applyFont="1" applyFill="1" applyBorder="1" applyAlignment="1" applyProtection="1">
      <alignment horizontal="left" vertical="center" wrapText="1" indent="1"/>
    </xf>
    <xf numFmtId="0" fontId="61" fillId="12" borderId="8" xfId="0" applyFont="1" applyFill="1" applyBorder="1" applyAlignment="1" applyProtection="1">
      <alignment horizontal="left" vertical="center" wrapText="1" indent="1"/>
    </xf>
    <xf numFmtId="0" fontId="55" fillId="2" borderId="13" xfId="0" applyFont="1" applyFill="1" applyBorder="1" applyAlignment="1" applyProtection="1">
      <alignment horizontal="left" vertical="center" wrapText="1" indent="1"/>
    </xf>
    <xf numFmtId="0" fontId="55" fillId="2" borderId="4" xfId="0" applyFont="1" applyFill="1" applyBorder="1" applyAlignment="1" applyProtection="1">
      <alignment horizontal="left" vertical="center" wrapText="1" indent="1"/>
    </xf>
    <xf numFmtId="0" fontId="55" fillId="2" borderId="6" xfId="0" applyFont="1" applyFill="1" applyBorder="1" applyAlignment="1" applyProtection="1">
      <alignment horizontal="left" vertical="center" wrapText="1" indent="1"/>
    </xf>
    <xf numFmtId="0" fontId="55" fillId="2" borderId="0" xfId="0" applyFont="1" applyFill="1" applyAlignment="1" applyProtection="1">
      <alignment horizontal="left" vertical="center" wrapText="1" indent="1"/>
    </xf>
    <xf numFmtId="0" fontId="55" fillId="2" borderId="10" xfId="0" applyFont="1" applyFill="1" applyBorder="1" applyAlignment="1" applyProtection="1">
      <alignment horizontal="left" vertical="center" wrapText="1" indent="1"/>
    </xf>
    <xf numFmtId="0" fontId="55" fillId="2" borderId="3" xfId="0" applyFont="1" applyFill="1" applyBorder="1" applyAlignment="1" applyProtection="1">
      <alignment horizontal="left" vertical="center" wrapText="1" indent="1"/>
    </xf>
    <xf numFmtId="0" fontId="31" fillId="4" borderId="7" xfId="0" applyFont="1" applyFill="1" applyBorder="1" applyAlignment="1" applyProtection="1">
      <alignment horizontal="center" vertical="center" wrapText="1"/>
    </xf>
    <xf numFmtId="0" fontId="31" fillId="4" borderId="2" xfId="0" applyFont="1" applyFill="1" applyBorder="1" applyAlignment="1" applyProtection="1">
      <alignment horizontal="center" vertical="center" wrapText="1"/>
    </xf>
    <xf numFmtId="0" fontId="31" fillId="4" borderId="8" xfId="0" applyFont="1" applyFill="1" applyBorder="1" applyAlignment="1" applyProtection="1">
      <alignment horizontal="center" vertical="center" wrapText="1"/>
    </xf>
    <xf numFmtId="0" fontId="32" fillId="5" borderId="8" xfId="0" applyFont="1" applyFill="1" applyBorder="1" applyAlignment="1" applyProtection="1">
      <alignment horizontal="left" vertical="center" wrapText="1" indent="1"/>
    </xf>
    <xf numFmtId="0" fontId="100" fillId="0" borderId="0" xfId="3" applyFont="1" applyFill="1" applyAlignment="1" applyProtection="1">
      <alignment horizontal="center" vertical="center"/>
      <protection hidden="1"/>
    </xf>
    <xf numFmtId="0" fontId="25" fillId="3" borderId="0" xfId="0" applyFont="1" applyFill="1" applyAlignment="1">
      <alignment horizontal="center" vertical="center"/>
      <protection hidden="1"/>
    </xf>
    <xf numFmtId="0" fontId="28" fillId="2" borderId="0" xfId="0" applyFont="1" applyFill="1" applyAlignment="1">
      <alignment horizontal="center" vertical="center"/>
      <protection hidden="1"/>
    </xf>
    <xf numFmtId="0" fontId="14" fillId="3" borderId="13" xfId="0" applyFont="1" applyFill="1" applyBorder="1" applyAlignment="1">
      <alignment horizontal="center" vertical="center"/>
      <protection hidden="1"/>
    </xf>
    <xf numFmtId="0" fontId="14" fillId="3" borderId="4" xfId="0" applyFont="1" applyFill="1" applyBorder="1" applyAlignment="1">
      <alignment horizontal="center" vertical="center"/>
      <protection hidden="1"/>
    </xf>
    <xf numFmtId="0" fontId="14" fillId="3" borderId="7" xfId="0" applyFont="1" applyFill="1" applyBorder="1" applyAlignment="1">
      <alignment horizontal="center"/>
      <protection hidden="1"/>
    </xf>
    <xf numFmtId="0" fontId="14" fillId="3" borderId="8" xfId="0" applyFont="1" applyFill="1" applyBorder="1" applyAlignment="1">
      <alignment horizontal="center"/>
      <protection hidden="1"/>
    </xf>
    <xf numFmtId="0" fontId="14" fillId="4" borderId="13" xfId="0" applyFont="1" applyFill="1" applyBorder="1" applyAlignment="1">
      <alignment horizontal="center"/>
      <protection hidden="1"/>
    </xf>
    <xf numFmtId="0" fontId="14" fillId="4" borderId="14" xfId="0" applyFont="1" applyFill="1" applyBorder="1" applyAlignment="1">
      <alignment horizontal="center"/>
      <protection hidden="1"/>
    </xf>
    <xf numFmtId="0" fontId="14" fillId="4" borderId="13" xfId="0" applyFont="1" applyFill="1" applyBorder="1" applyAlignment="1">
      <alignment horizontal="center" vertical="center"/>
      <protection hidden="1"/>
    </xf>
    <xf numFmtId="0" fontId="14" fillId="4" borderId="14" xfId="0" applyFont="1" applyFill="1" applyBorder="1" applyAlignment="1">
      <alignment horizontal="center" vertical="center"/>
      <protection hidden="1"/>
    </xf>
    <xf numFmtId="0" fontId="14" fillId="3" borderId="13" xfId="0" applyFont="1" applyFill="1" applyBorder="1" applyAlignment="1">
      <alignment horizontal="center"/>
      <protection hidden="1"/>
    </xf>
    <xf numFmtId="0" fontId="14" fillId="3" borderId="4" xfId="0" applyFont="1" applyFill="1" applyBorder="1" applyAlignment="1">
      <alignment horizontal="center"/>
      <protection hidden="1"/>
    </xf>
    <xf numFmtId="0" fontId="14" fillId="3" borderId="17" xfId="0" applyFont="1" applyFill="1" applyBorder="1" applyAlignment="1">
      <alignment horizontal="center"/>
      <protection hidden="1"/>
    </xf>
    <xf numFmtId="0" fontId="99" fillId="5" borderId="0" xfId="0" applyFont="1" applyFill="1" applyAlignment="1">
      <alignment horizontal="center" vertical="center"/>
      <protection hidden="1"/>
    </xf>
    <xf numFmtId="0" fontId="34" fillId="2" borderId="0" xfId="0" applyFont="1" applyFill="1" applyAlignment="1">
      <alignment horizontal="right" vertical="center"/>
      <protection hidden="1"/>
    </xf>
    <xf numFmtId="0" fontId="55" fillId="2" borderId="108" xfId="0" applyFont="1" applyFill="1" applyBorder="1" applyAlignment="1" applyProtection="1">
      <alignment horizontal="left" vertical="center"/>
    </xf>
    <xf numFmtId="0" fontId="55" fillId="2" borderId="65" xfId="0" applyFont="1" applyFill="1" applyBorder="1" applyAlignment="1" applyProtection="1">
      <alignment horizontal="left" vertical="center"/>
    </xf>
    <xf numFmtId="167" fontId="32" fillId="8" borderId="2" xfId="0" applyNumberFormat="1" applyFont="1" applyFill="1" applyBorder="1" applyAlignment="1" applyProtection="1">
      <alignment horizontal="right" vertical="center" indent="1"/>
    </xf>
    <xf numFmtId="0" fontId="55" fillId="2" borderId="133" xfId="0" applyFont="1" applyFill="1" applyBorder="1" applyAlignment="1" applyProtection="1">
      <alignment horizontal="left" vertical="top" wrapText="1"/>
    </xf>
    <xf numFmtId="0" fontId="55" fillId="2" borderId="0" xfId="0" applyFont="1" applyFill="1" applyAlignment="1" applyProtection="1">
      <alignment horizontal="left" vertical="top" wrapText="1"/>
    </xf>
    <xf numFmtId="0" fontId="55" fillId="2" borderId="79" xfId="0" applyFont="1" applyFill="1" applyBorder="1" applyAlignment="1" applyProtection="1">
      <alignment horizontal="left" vertical="top" wrapText="1"/>
    </xf>
    <xf numFmtId="0" fontId="32" fillId="2" borderId="0" xfId="0" applyFont="1" applyFill="1" applyAlignment="1">
      <alignment horizontal="right" vertical="center" indent="1"/>
      <protection hidden="1"/>
    </xf>
    <xf numFmtId="164" fontId="93" fillId="5" borderId="0" xfId="0" applyNumberFormat="1" applyFont="1" applyFill="1" applyAlignment="1" applyProtection="1">
      <alignment horizontal="center" vertical="center"/>
    </xf>
    <xf numFmtId="167" fontId="76" fillId="2" borderId="0" xfId="0" applyNumberFormat="1" applyFont="1" applyFill="1" applyAlignment="1">
      <alignment horizontal="right" vertical="center" indent="1"/>
      <protection hidden="1"/>
    </xf>
    <xf numFmtId="167" fontId="76" fillId="16" borderId="0" xfId="0" applyNumberFormat="1" applyFont="1" applyFill="1" applyAlignment="1">
      <alignment horizontal="right" vertical="center" indent="1"/>
      <protection hidden="1"/>
    </xf>
    <xf numFmtId="0" fontId="98" fillId="2" borderId="0" xfId="3" applyFont="1" applyFill="1" applyAlignment="1" applyProtection="1">
      <alignment horizontal="center" vertical="center"/>
    </xf>
    <xf numFmtId="165" fontId="80" fillId="2" borderId="2" xfId="8" applyFont="1" applyFill="1" applyBorder="1" applyAlignment="1">
      <alignment horizontal="right" wrapText="1" indent="2"/>
      <protection hidden="1"/>
    </xf>
    <xf numFmtId="0" fontId="80" fillId="2" borderId="2" xfId="0" applyFont="1" applyFill="1" applyBorder="1" applyAlignment="1">
      <alignment horizontal="right" wrapText="1" indent="2"/>
      <protection hidden="1"/>
    </xf>
    <xf numFmtId="165" fontId="76" fillId="2" borderId="0" xfId="8" applyFont="1" applyFill="1" applyBorder="1">
      <alignment horizontal="center" vertical="center"/>
      <protection hidden="1"/>
    </xf>
    <xf numFmtId="165" fontId="76" fillId="16" borderId="0" xfId="8" applyFont="1" applyFill="1" applyBorder="1">
      <alignment horizontal="center" vertical="center"/>
      <protection hidden="1"/>
    </xf>
    <xf numFmtId="1" fontId="80" fillId="8" borderId="2" xfId="0" applyNumberFormat="1" applyFont="1" applyFill="1" applyBorder="1" applyAlignment="1" applyProtection="1">
      <alignment horizontal="center" vertical="center"/>
    </xf>
    <xf numFmtId="165" fontId="80" fillId="2" borderId="2" xfId="8" applyFont="1" applyFill="1" applyBorder="1" applyAlignment="1">
      <alignment horizontal="center" wrapText="1"/>
      <protection hidden="1"/>
    </xf>
    <xf numFmtId="0" fontId="76" fillId="2" borderId="0" xfId="0" applyFont="1" applyFill="1">
      <alignment horizontal="left" vertical="center" indent="1"/>
      <protection hidden="1"/>
    </xf>
    <xf numFmtId="0" fontId="76" fillId="16" borderId="0" xfId="0" applyFont="1" applyFill="1">
      <alignment horizontal="left" vertical="center" indent="1"/>
      <protection hidden="1"/>
    </xf>
    <xf numFmtId="170" fontId="76" fillId="2" borderId="0" xfId="0" applyNumberFormat="1" applyFont="1" applyFill="1">
      <alignment horizontal="left" vertical="center" indent="1"/>
      <protection hidden="1"/>
    </xf>
    <xf numFmtId="169" fontId="76" fillId="2" borderId="0" xfId="0" applyNumberFormat="1" applyFont="1" applyFill="1">
      <alignment horizontal="left" vertical="center" indent="1"/>
      <protection hidden="1"/>
    </xf>
    <xf numFmtId="169" fontId="76" fillId="16" borderId="0" xfId="0" applyNumberFormat="1" applyFont="1" applyFill="1">
      <alignment horizontal="left" vertical="center" indent="1"/>
      <protection hidden="1"/>
    </xf>
    <xf numFmtId="0" fontId="118" fillId="3" borderId="6" xfId="0" applyFont="1" applyFill="1" applyBorder="1" applyAlignment="1" applyProtection="1">
      <alignment horizontal="center" vertical="center"/>
    </xf>
    <xf numFmtId="0" fontId="118" fillId="3" borderId="0" xfId="0" applyFont="1" applyFill="1" applyAlignment="1" applyProtection="1">
      <alignment horizontal="center" vertical="center"/>
    </xf>
    <xf numFmtId="0" fontId="80" fillId="2" borderId="2" xfId="0" applyFont="1" applyFill="1" applyBorder="1" applyAlignment="1">
      <alignment horizontal="left" wrapText="1" indent="1"/>
      <protection hidden="1"/>
    </xf>
    <xf numFmtId="170" fontId="76" fillId="16" borderId="0" xfId="0" applyNumberFormat="1" applyFont="1" applyFill="1">
      <alignment horizontal="left" vertical="center" indent="1"/>
      <protection hidden="1"/>
    </xf>
    <xf numFmtId="0" fontId="10" fillId="3" borderId="0" xfId="0" applyFont="1" applyFill="1" applyAlignment="1">
      <alignment horizontal="center" vertical="center"/>
      <protection hidden="1"/>
    </xf>
    <xf numFmtId="0" fontId="40" fillId="13" borderId="0" xfId="0" applyFont="1" applyFill="1" applyAlignment="1">
      <alignment horizontal="center" vertical="center"/>
      <protection hidden="1"/>
    </xf>
    <xf numFmtId="0" fontId="10" fillId="4" borderId="0" xfId="0" applyFont="1" applyFill="1" applyAlignment="1">
      <alignment horizontal="center" vertical="center"/>
      <protection hidden="1"/>
    </xf>
    <xf numFmtId="0" fontId="38" fillId="15" borderId="0" xfId="0" applyFont="1" applyFill="1" applyAlignment="1">
      <alignment horizontal="center" vertical="center"/>
      <protection hidden="1"/>
    </xf>
    <xf numFmtId="0" fontId="40" fillId="12" borderId="0" xfId="0" applyFont="1" applyFill="1" applyAlignment="1">
      <alignment horizontal="center" vertical="center"/>
      <protection hidden="1"/>
    </xf>
    <xf numFmtId="0" fontId="41" fillId="3" borderId="0" xfId="0" applyFont="1" applyFill="1">
      <alignment horizontal="left" vertical="center" indent="1"/>
      <protection hidden="1"/>
    </xf>
    <xf numFmtId="0" fontId="37" fillId="2" borderId="0" xfId="0" applyFont="1" applyFill="1" applyAlignment="1">
      <alignment horizontal="center"/>
      <protection hidden="1"/>
    </xf>
    <xf numFmtId="0" fontId="9" fillId="2" borderId="108" xfId="0" applyFont="1" applyFill="1" applyBorder="1">
      <alignment horizontal="left" vertical="center" indent="1"/>
      <protection hidden="1"/>
    </xf>
    <xf numFmtId="0" fontId="9" fillId="2" borderId="65" xfId="0" applyFont="1" applyFill="1" applyBorder="1">
      <alignment horizontal="left" vertical="center" indent="1"/>
      <protection hidden="1"/>
    </xf>
    <xf numFmtId="0" fontId="9" fillId="2" borderId="133" xfId="0" applyFont="1" applyFill="1" applyBorder="1" applyAlignment="1">
      <alignment horizontal="left" vertical="center" wrapText="1"/>
      <protection hidden="1"/>
    </xf>
    <xf numFmtId="0" fontId="31" fillId="3" borderId="10" xfId="0" applyFont="1" applyFill="1" applyBorder="1">
      <alignment horizontal="left" vertical="center" indent="1"/>
      <protection hidden="1"/>
    </xf>
    <xf numFmtId="0" fontId="31" fillId="3" borderId="3" xfId="0" applyFont="1" applyFill="1" applyBorder="1">
      <alignment horizontal="left" vertical="center" indent="1"/>
      <protection hidden="1"/>
    </xf>
    <xf numFmtId="0" fontId="95" fillId="2" borderId="0" xfId="0" applyFont="1" applyFill="1" applyAlignment="1">
      <alignment horizontal="center"/>
      <protection hidden="1"/>
    </xf>
    <xf numFmtId="0" fontId="31" fillId="3" borderId="7" xfId="0" applyFont="1" applyFill="1" applyBorder="1" applyAlignment="1">
      <alignment horizontal="center" vertical="center"/>
      <protection hidden="1"/>
    </xf>
    <xf numFmtId="0" fontId="31" fillId="3" borderId="2" xfId="0" applyFont="1" applyFill="1" applyBorder="1" applyAlignment="1">
      <alignment horizontal="center" vertical="center"/>
      <protection hidden="1"/>
    </xf>
    <xf numFmtId="0" fontId="31" fillId="3" borderId="8" xfId="0" applyFont="1" applyFill="1" applyBorder="1" applyAlignment="1">
      <alignment horizontal="center" vertical="center"/>
      <protection hidden="1"/>
    </xf>
    <xf numFmtId="0" fontId="96" fillId="5" borderId="0" xfId="3" applyFont="1" applyFill="1" applyBorder="1" applyAlignment="1" applyProtection="1">
      <alignment horizontal="center" vertical="center"/>
      <protection hidden="1"/>
    </xf>
    <xf numFmtId="164" fontId="59" fillId="2" borderId="0" xfId="0" applyNumberFormat="1" applyFont="1" applyFill="1" applyAlignment="1">
      <alignment horizontal="right" vertical="center" indent="1"/>
      <protection hidden="1"/>
    </xf>
    <xf numFmtId="0" fontId="0" fillId="3" borderId="0" xfId="0" applyFill="1" applyAlignment="1">
      <alignment horizontal="left" indent="1"/>
      <protection hidden="1"/>
    </xf>
  </cellXfs>
  <cellStyles count="34">
    <cellStyle name="Accent1" xfId="9" builtinId="29"/>
    <cellStyle name="Accent1 2" xfId="28" xr:uid="{A0691C49-5D98-4215-B45C-9CAB8CAB7505}"/>
    <cellStyle name="Accent1 3" xfId="33" xr:uid="{78EFC2CE-FE15-4D7C-8718-3B6F2AC9266D}"/>
    <cellStyle name="Bad 2" xfId="15" xr:uid="{79D0ACB4-CF6B-4E84-8506-3A5827612480}"/>
    <cellStyle name="Calculation 2" xfId="18" xr:uid="{F067EC87-A1E6-40F2-A7E1-B376CFE7CAC9}"/>
    <cellStyle name="Check Cell 2" xfId="19" xr:uid="{3D44ABD8-5C67-4C4E-A93E-2BE69355E5C5}"/>
    <cellStyle name="Comma" xfId="1" builtinId="3"/>
    <cellStyle name="Currency" xfId="2" builtinId="4"/>
    <cellStyle name="Currency 2" xfId="25" xr:uid="{3A2923E2-4A33-4791-8B8C-2FC26983750B}"/>
    <cellStyle name="Explanatory Text 2" xfId="20" xr:uid="{C45280D0-CD8C-4040-939F-E0BB91E58C08}"/>
    <cellStyle name="FICE" xfId="8" xr:uid="{AAC049F4-0FC6-4D83-BE77-3369591375D1}"/>
    <cellStyle name="FICE 2" xfId="32" xr:uid="{490C9D03-0B2B-465D-B3BA-8C0F6FC13C76}"/>
    <cellStyle name="Followed Hyperlink 2" xfId="13" xr:uid="{88E360F4-FFEF-43C4-83DC-60F0F7CBDA38}"/>
    <cellStyle name="Good 2" xfId="14" xr:uid="{01DF0D93-0A3F-467B-B41C-14B3FA2D47B6}"/>
    <cellStyle name="Heading 1" xfId="4" builtinId="16" customBuiltin="1"/>
    <cellStyle name="Heading 2" xfId="5" builtinId="17"/>
    <cellStyle name="Heading 2 2" xfId="24" xr:uid="{55965438-3ADB-471D-A0A1-0C7477325D39}"/>
    <cellStyle name="Heading 3 2" xfId="26" xr:uid="{CC1C10A5-F99E-47DE-9D1E-47C023308EBC}"/>
    <cellStyle name="Heading 4 2" xfId="23" xr:uid="{83F82A8B-E6DA-4032-8168-3AC6853F160D}"/>
    <cellStyle name="Hyperlink" xfId="7" builtinId="8"/>
    <cellStyle name="Hyperlink 2" xfId="12" xr:uid="{C0336427-80D5-4320-AF15-675FD2BAAA76}"/>
    <cellStyle name="Input 2" xfId="17" xr:uid="{DFC8F697-75F0-424F-8007-5761A7A6D8CE}"/>
    <cellStyle name="Neutral 2" xfId="16" xr:uid="{491C1DCB-09E8-4CD2-A4F4-C6D85243123C}"/>
    <cellStyle name="Normal" xfId="0" builtinId="0" customBuiltin="1"/>
    <cellStyle name="Normal 2" xfId="22" xr:uid="{9EB84443-8027-411D-A514-98A109956499}"/>
    <cellStyle name="Normal 3" xfId="11" xr:uid="{8D164985-1A90-4A65-B725-8FC113DB4AC4}"/>
    <cellStyle name="Normal 4" xfId="31" xr:uid="{2C16A278-C606-43D7-8842-1B418393BFB1}"/>
    <cellStyle name="Note 2" xfId="27" xr:uid="{561CBBD1-AC38-4784-AE84-544D2E59372E}"/>
    <cellStyle name="Percent" xfId="10" builtinId="5"/>
    <cellStyle name="Percent 2" xfId="29" xr:uid="{5DF9B2DA-188D-4C6B-9711-FB1E26296E2B}"/>
    <cellStyle name="Section Heading" xfId="30" xr:uid="{DDD7EBCD-8D14-4ED0-8203-49B40169228D}"/>
    <cellStyle name="Title" xfId="3" builtinId="15" customBuiltin="1"/>
    <cellStyle name="Title 2" xfId="21" xr:uid="{1D2D0809-5E26-4E4B-815E-B1997C2579E0}"/>
    <cellStyle name="Total" xfId="6" builtinId="25" customBuiltin="1"/>
  </cellStyles>
  <dxfs count="686">
    <dxf>
      <font>
        <b/>
        <i val="0"/>
        <color theme="0"/>
      </font>
      <fill>
        <patternFill>
          <bgColor rgb="FFC00000"/>
        </patternFill>
      </fill>
      <border>
        <left style="thin">
          <color rgb="FFAF211A"/>
        </left>
        <right style="thin">
          <color rgb="FFAF211A"/>
        </right>
        <top style="thin">
          <color rgb="FFAF211A"/>
        </top>
        <bottom style="thin">
          <color rgb="FFAF211A"/>
        </bottom>
      </border>
    </dxf>
    <dxf>
      <font>
        <b/>
        <i val="0"/>
        <color theme="0"/>
      </font>
      <fill>
        <patternFill>
          <bgColor rgb="FFC00000"/>
        </patternFill>
      </fill>
      <border>
        <left style="thin">
          <color rgb="FFAF211A"/>
        </left>
        <right style="thin">
          <color rgb="FFAF211A"/>
        </right>
        <top style="thin">
          <color rgb="FFAF211A"/>
        </top>
        <bottom style="thin">
          <color rgb="FFAF211A"/>
        </bottom>
      </border>
    </dxf>
    <dxf>
      <font>
        <b/>
        <i val="0"/>
        <color theme="0"/>
      </font>
      <fill>
        <patternFill>
          <bgColor rgb="FFC00000"/>
        </patternFill>
      </fill>
    </dxf>
    <dxf>
      <font>
        <b/>
        <i val="0"/>
        <color theme="0"/>
      </font>
      <fill>
        <patternFill>
          <bgColor rgb="FFAF211A"/>
        </patternFill>
      </fill>
      <border>
        <left style="thin">
          <color rgb="FFAF211A"/>
        </left>
        <right style="thin">
          <color rgb="FFAF211A"/>
        </right>
        <top style="thin">
          <color rgb="FFAF211A"/>
        </top>
        <bottom style="thin">
          <color rgb="FFAF211A"/>
        </bottom>
      </border>
    </dxf>
    <dxf>
      <font>
        <b/>
        <i val="0"/>
        <color theme="0"/>
      </font>
      <fill>
        <patternFill>
          <bgColor rgb="FFAF211A"/>
        </patternFill>
      </fill>
      <border>
        <left style="thin">
          <color rgb="FFAF211A"/>
        </left>
        <right style="thin">
          <color rgb="FFAF211A"/>
        </right>
        <top style="thin">
          <color rgb="FFAF211A"/>
        </top>
        <bottom style="thin">
          <color rgb="FFAF211A"/>
        </bottom>
      </border>
    </dxf>
    <dxf>
      <font>
        <b/>
        <i val="0"/>
        <color theme="0"/>
      </font>
      <fill>
        <patternFill>
          <bgColor rgb="FFAF211A"/>
        </patternFill>
      </fill>
      <border>
        <left style="thin">
          <color rgb="FFAF211A"/>
        </left>
        <right style="thin">
          <color rgb="FFAF211A"/>
        </right>
        <top style="thin">
          <color rgb="FFAF211A"/>
        </top>
        <bottom style="thin">
          <color rgb="FFAF211A"/>
        </bottom>
      </border>
    </dxf>
    <dxf>
      <font>
        <b/>
        <i val="0"/>
        <color theme="0"/>
      </font>
      <fill>
        <patternFill>
          <bgColor rgb="FFAF211A"/>
        </patternFill>
      </fill>
      <border>
        <left style="thin">
          <color rgb="FFAF211A"/>
        </left>
        <right style="thin">
          <color rgb="FFAF211A"/>
        </right>
        <top style="thin">
          <color rgb="FFAF211A"/>
        </top>
        <bottom style="thin">
          <color rgb="FFAF211A"/>
        </bottom>
      </border>
    </dxf>
    <dxf>
      <font>
        <b/>
        <i val="0"/>
        <strike val="0"/>
        <condense val="0"/>
        <extend val="0"/>
        <outline val="0"/>
        <shadow val="0"/>
        <u val="none"/>
        <vertAlign val="baseline"/>
        <sz val="12"/>
        <color theme="1"/>
        <name val="Overpass"/>
        <scheme val="minor"/>
      </font>
      <numFmt numFmtId="3" formatCode="#,##0"/>
      <fill>
        <patternFill patternType="none">
          <fgColor indexed="64"/>
          <bgColor indexed="65"/>
        </patternFill>
      </fill>
      <alignment horizontal="center" vertical="center" textRotation="0" wrapText="0" indent="0" justifyLastLine="0" shrinkToFit="0" readingOrder="0"/>
      <protection locked="1" hidden="0"/>
    </dxf>
    <dxf>
      <font>
        <strike val="0"/>
        <outline val="0"/>
        <shadow val="0"/>
        <u val="none"/>
        <vertAlign val="baseline"/>
        <color theme="4"/>
        <name val="Overpass"/>
        <scheme val="minor"/>
      </font>
      <numFmt numFmtId="3" formatCode="#,##0"/>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Overpass"/>
        <scheme val="minor"/>
      </font>
      <numFmt numFmtId="4" formatCode="#,##0.00"/>
      <fill>
        <patternFill patternType="none">
          <fgColor indexed="64"/>
          <bgColor indexed="65"/>
        </patternFill>
      </fill>
      <alignment horizontal="center" vertical="center" textRotation="0" wrapText="0" indent="0" justifyLastLine="0" shrinkToFit="0" readingOrder="0"/>
      <protection locked="1" hidden="0"/>
    </dxf>
    <dxf>
      <font>
        <strike val="0"/>
        <outline val="0"/>
        <shadow val="0"/>
        <u val="none"/>
        <vertAlign val="baseline"/>
        <color theme="4"/>
        <name val="Overpass"/>
        <scheme val="minor"/>
      </font>
      <numFmt numFmtId="3" formatCode="#,##0"/>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Overpass"/>
        <scheme val="minor"/>
      </font>
      <numFmt numFmtId="3" formatCode="#,##0"/>
      <fill>
        <patternFill patternType="none">
          <fgColor indexed="64"/>
          <bgColor indexed="65"/>
        </patternFill>
      </fill>
      <alignment horizontal="center" vertical="center" textRotation="0" wrapText="0" indent="0" justifyLastLine="0" shrinkToFit="0" readingOrder="0"/>
      <protection locked="1" hidden="0"/>
    </dxf>
    <dxf>
      <font>
        <strike val="0"/>
        <outline val="0"/>
        <shadow val="0"/>
        <u val="none"/>
        <vertAlign val="baseline"/>
        <color theme="4"/>
        <name val="Overpass"/>
        <scheme val="minor"/>
      </font>
      <numFmt numFmtId="3" formatCode="#,##0"/>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Overpass"/>
        <scheme val="minor"/>
      </font>
      <numFmt numFmtId="4" formatCode="#,##0.00"/>
      <fill>
        <patternFill patternType="none">
          <fgColor indexed="64"/>
          <bgColor indexed="65"/>
        </patternFill>
      </fill>
      <alignment horizontal="center" vertical="center" textRotation="0" wrapText="0" indent="0" justifyLastLine="0" shrinkToFit="0" readingOrder="0"/>
      <protection locked="1" hidden="0"/>
    </dxf>
    <dxf>
      <font>
        <strike val="0"/>
        <outline val="0"/>
        <shadow val="0"/>
        <u val="none"/>
        <vertAlign val="baseline"/>
        <color theme="4"/>
        <name val="Overpass"/>
        <scheme val="minor"/>
      </font>
      <numFmt numFmtId="3" formatCode="#,##0"/>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Overpass"/>
        <scheme val="minor"/>
      </font>
      <numFmt numFmtId="3" formatCode="#,##0"/>
      <fill>
        <patternFill patternType="none">
          <fgColor indexed="64"/>
          <bgColor indexed="65"/>
        </patternFill>
      </fill>
      <alignment horizontal="center" vertical="center" textRotation="0" wrapText="0" indent="0" justifyLastLine="0" shrinkToFit="0" readingOrder="0"/>
      <protection locked="1" hidden="0"/>
    </dxf>
    <dxf>
      <font>
        <strike val="0"/>
        <outline val="0"/>
        <shadow val="0"/>
        <u val="none"/>
        <vertAlign val="baseline"/>
        <color theme="4"/>
        <name val="Overpass"/>
        <scheme val="minor"/>
      </font>
      <numFmt numFmtId="3" formatCode="#,##0"/>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Overpass"/>
        <scheme val="minor"/>
      </font>
      <numFmt numFmtId="3" formatCode="#,##0"/>
      <fill>
        <patternFill patternType="none">
          <fgColor indexed="64"/>
          <bgColor indexed="65"/>
        </patternFill>
      </fill>
      <alignment horizontal="center" vertical="center" textRotation="0" wrapText="0" indent="0" justifyLastLine="0" shrinkToFit="0" readingOrder="0"/>
      <protection locked="1" hidden="0"/>
    </dxf>
    <dxf>
      <font>
        <strike val="0"/>
        <outline val="0"/>
        <shadow val="0"/>
        <u val="none"/>
        <vertAlign val="baseline"/>
        <color theme="4"/>
        <name val="Overpass"/>
        <scheme val="minor"/>
      </font>
      <numFmt numFmtId="3" formatCode="#,##0"/>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Overpass"/>
        <scheme val="minor"/>
      </font>
      <numFmt numFmtId="3" formatCode="#,##0"/>
      <fill>
        <patternFill patternType="none">
          <fgColor indexed="64"/>
          <bgColor indexed="65"/>
        </patternFill>
      </fill>
      <alignment horizontal="center" vertical="center" textRotation="0" wrapText="0" indent="0" justifyLastLine="0" shrinkToFit="0" readingOrder="0"/>
      <protection locked="1" hidden="0"/>
    </dxf>
    <dxf>
      <font>
        <strike val="0"/>
        <outline val="0"/>
        <shadow val="0"/>
        <u val="none"/>
        <vertAlign val="baseline"/>
        <color theme="4"/>
        <name val="Overpass"/>
        <scheme val="minor"/>
      </font>
      <numFmt numFmtId="3" formatCode="#,##0"/>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Overpass"/>
        <scheme val="minor"/>
      </font>
      <numFmt numFmtId="3" formatCode="#,##0"/>
      <fill>
        <patternFill patternType="none">
          <fgColor indexed="64"/>
          <bgColor indexed="65"/>
        </patternFill>
      </fill>
      <alignment horizontal="center" vertical="center" textRotation="0" wrapText="0" indent="0" justifyLastLine="0" shrinkToFit="0" readingOrder="0"/>
      <protection locked="1" hidden="0"/>
    </dxf>
    <dxf>
      <font>
        <strike val="0"/>
        <outline val="0"/>
        <shadow val="0"/>
        <u val="none"/>
        <vertAlign val="baseline"/>
        <color theme="4"/>
        <name val="Overpass"/>
        <scheme val="minor"/>
      </font>
      <numFmt numFmtId="3" formatCode="#,##0"/>
      <fill>
        <patternFill patternType="none">
          <fgColor indexed="64"/>
          <bgColor indexed="65"/>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1"/>
        <color theme="4"/>
        <name val="Overpass"/>
        <scheme val="minor"/>
      </font>
      <numFmt numFmtId="165" formatCode="000000"/>
      <fill>
        <patternFill patternType="none">
          <fgColor indexed="64"/>
          <bgColor indexed="65"/>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1"/>
        <color theme="4"/>
        <name val="Overpass"/>
        <scheme val="minor"/>
      </font>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1"/>
        <color theme="4"/>
        <name val="Overpass"/>
        <scheme val="minor"/>
      </font>
      <fill>
        <patternFill patternType="none">
          <fgColor indexed="64"/>
          <bgColor indexed="65"/>
        </patternFill>
      </fill>
      <alignment horizontal="left" vertical="center" textRotation="0" wrapText="0" indent="0" justifyLastLine="0" shrinkToFit="0" readingOrder="0"/>
      <protection locked="1" hidden="0"/>
    </dxf>
    <dxf>
      <font>
        <strike val="0"/>
        <outline val="0"/>
        <shadow val="0"/>
        <u val="none"/>
        <vertAlign val="baseline"/>
        <color theme="4"/>
        <name val="Overpass"/>
        <scheme val="minor"/>
      </font>
      <fill>
        <patternFill patternType="none">
          <fgColor indexed="64"/>
          <bgColor auto="1"/>
        </patternFill>
      </fill>
      <alignment horizontal="left" vertical="center" textRotation="0" wrapText="0" relativeIndent="1" justifyLastLine="0" shrinkToFit="0" readingOrder="0"/>
      <protection locked="1" hidden="0"/>
    </dxf>
    <dxf>
      <border>
        <top style="medium">
          <color theme="4"/>
        </top>
      </border>
    </dxf>
    <dxf>
      <font>
        <strike val="0"/>
        <outline val="0"/>
        <shadow val="0"/>
        <u val="none"/>
        <name val="Overpass"/>
        <scheme val="minor"/>
      </font>
    </dxf>
    <dxf>
      <border outline="0">
        <top style="thin">
          <color theme="4"/>
        </top>
      </border>
    </dxf>
    <dxf>
      <font>
        <strike val="0"/>
        <outline val="0"/>
        <shadow val="0"/>
        <u val="none"/>
        <vertAlign val="baseline"/>
        <color theme="4"/>
        <name val="Overpass"/>
        <scheme val="minor"/>
      </font>
      <fill>
        <patternFill patternType="none">
          <fgColor indexed="64"/>
          <bgColor auto="1"/>
        </patternFill>
      </fill>
      <alignment horizontal="right" vertical="bottom" textRotation="0" wrapText="0" indent="1" justifyLastLine="0" shrinkToFit="0" readingOrder="0"/>
      <protection locked="1" hidden="0"/>
    </dxf>
    <dxf>
      <border>
        <bottom style="medium">
          <color theme="4"/>
        </bottom>
      </border>
    </dxf>
    <dxf>
      <font>
        <b/>
        <i val="0"/>
        <strike val="0"/>
        <condense val="0"/>
        <extend val="0"/>
        <outline val="0"/>
        <shadow val="0"/>
        <u val="none"/>
        <vertAlign val="baseline"/>
        <sz val="12"/>
        <color theme="4"/>
        <name val="Overpass"/>
        <scheme val="minor"/>
      </font>
      <fill>
        <patternFill patternType="none">
          <fgColor indexed="64"/>
          <bgColor auto="1"/>
        </patternFill>
      </fill>
      <alignment horizontal="center" vertical="bottom" textRotation="0" wrapText="1" indent="0" justifyLastLine="0" shrinkToFit="0" readingOrder="0"/>
      <protection locked="1" hidden="0"/>
    </dxf>
    <dxf>
      <font>
        <b/>
        <i val="0"/>
        <strike val="0"/>
        <condense val="0"/>
        <extend val="0"/>
        <outline val="0"/>
        <shadow val="0"/>
        <u val="none"/>
        <vertAlign val="baseline"/>
        <sz val="12"/>
        <color theme="1"/>
        <name val="Overpass"/>
        <scheme val="minor"/>
      </font>
      <numFmt numFmtId="3" formatCode="#,##0"/>
      <fill>
        <patternFill patternType="none">
          <fgColor indexed="64"/>
          <bgColor indexed="65"/>
        </patternFill>
      </fill>
      <alignment horizontal="center" vertical="bottom" textRotation="0" wrapText="0" indent="0" justifyLastLine="0" shrinkToFit="0" readingOrder="0"/>
      <protection locked="1" hidden="0"/>
    </dxf>
    <dxf>
      <font>
        <strike val="0"/>
        <outline val="0"/>
        <shadow val="0"/>
        <u val="none"/>
        <vertAlign val="baseline"/>
        <sz val="12"/>
        <color theme="4"/>
        <name val="Overpass"/>
        <scheme val="minor"/>
      </font>
      <numFmt numFmtId="3" formatCode="#,##0"/>
      <fill>
        <patternFill patternType="none">
          <fgColor indexed="64"/>
          <bgColor auto="1"/>
        </patternFill>
      </fill>
      <alignment horizontal="center" vertical="bottom" textRotation="0" wrapText="0" indent="0" justifyLastLine="0" shrinkToFit="0" readingOrder="0"/>
      <protection locked="1" hidden="0"/>
    </dxf>
    <dxf>
      <font>
        <b/>
        <i val="0"/>
        <strike val="0"/>
        <condense val="0"/>
        <extend val="0"/>
        <outline val="0"/>
        <shadow val="0"/>
        <u val="none"/>
        <vertAlign val="baseline"/>
        <sz val="12"/>
        <color theme="1"/>
        <name val="Overpass"/>
        <scheme val="minor"/>
      </font>
      <numFmt numFmtId="4" formatCode="#,##0.00"/>
      <fill>
        <patternFill patternType="none">
          <fgColor indexed="64"/>
          <bgColor indexed="65"/>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2"/>
        <color auto="1"/>
        <name val="Overpass"/>
        <scheme val="minor"/>
      </font>
      <numFmt numFmtId="4" formatCode="#,##0.00"/>
      <fill>
        <patternFill patternType="none">
          <fgColor indexed="64"/>
          <bgColor auto="1"/>
        </patternFill>
      </fill>
      <alignment horizontal="center" vertical="bottom" textRotation="0" wrapText="0" indent="0" justifyLastLine="0" shrinkToFit="0" readingOrder="0"/>
      <protection locked="1" hidden="0"/>
    </dxf>
    <dxf>
      <font>
        <b/>
        <i val="0"/>
        <strike val="0"/>
        <condense val="0"/>
        <extend val="0"/>
        <outline val="0"/>
        <shadow val="0"/>
        <u val="none"/>
        <vertAlign val="baseline"/>
        <sz val="12"/>
        <color theme="1"/>
        <name val="Overpass"/>
        <scheme val="minor"/>
      </font>
      <numFmt numFmtId="4" formatCode="#,##0.00"/>
      <fill>
        <patternFill patternType="none">
          <fgColor indexed="64"/>
          <bgColor indexed="65"/>
        </patternFill>
      </fill>
      <alignment horizontal="center" vertical="bottom" textRotation="0" wrapText="0" indent="0" justifyLastLine="0" shrinkToFit="0" readingOrder="0"/>
      <protection locked="1" hidden="0"/>
    </dxf>
    <dxf>
      <font>
        <strike val="0"/>
        <outline val="0"/>
        <shadow val="0"/>
        <u val="none"/>
        <vertAlign val="baseline"/>
        <sz val="12"/>
        <color auto="1"/>
        <name val="Overpass"/>
        <scheme val="minor"/>
      </font>
      <numFmt numFmtId="4" formatCode="#,##0.00"/>
      <fill>
        <patternFill patternType="none">
          <fgColor indexed="64"/>
          <bgColor auto="1"/>
        </patternFill>
      </fill>
      <alignment horizontal="center" vertical="bottom" textRotation="0" wrapText="0" indent="0" justifyLastLine="0" shrinkToFit="0" readingOrder="0"/>
      <protection locked="1" hidden="0"/>
    </dxf>
    <dxf>
      <font>
        <b/>
        <i val="0"/>
        <strike val="0"/>
        <condense val="0"/>
        <extend val="0"/>
        <outline val="0"/>
        <shadow val="0"/>
        <u val="none"/>
        <vertAlign val="baseline"/>
        <sz val="12"/>
        <color theme="1"/>
        <name val="Overpass"/>
        <scheme val="minor"/>
      </font>
      <numFmt numFmtId="3" formatCode="#,##0"/>
      <fill>
        <patternFill patternType="none">
          <fgColor indexed="64"/>
          <bgColor indexed="65"/>
        </patternFill>
      </fill>
      <alignment horizontal="center" vertical="bottom" textRotation="0" wrapText="0" indent="0" justifyLastLine="0" shrinkToFit="0" readingOrder="0"/>
      <protection locked="1" hidden="0"/>
    </dxf>
    <dxf>
      <font>
        <strike val="0"/>
        <outline val="0"/>
        <shadow val="0"/>
        <u val="none"/>
        <vertAlign val="baseline"/>
        <sz val="12"/>
        <color auto="1"/>
        <name val="Overpass"/>
        <scheme val="minor"/>
      </font>
      <numFmt numFmtId="3" formatCode="#,##0"/>
      <fill>
        <patternFill patternType="none">
          <fgColor indexed="64"/>
          <bgColor auto="1"/>
        </patternFill>
      </fill>
      <alignment horizontal="center" vertical="bottom" textRotation="0" wrapText="0" indent="0" justifyLastLine="0" shrinkToFit="0" readingOrder="0"/>
      <protection locked="1" hidden="0"/>
    </dxf>
    <dxf>
      <font>
        <b/>
        <i val="0"/>
        <strike val="0"/>
        <condense val="0"/>
        <extend val="0"/>
        <outline val="0"/>
        <shadow val="0"/>
        <u val="none"/>
        <vertAlign val="baseline"/>
        <sz val="12"/>
        <color theme="1"/>
        <name val="Overpass"/>
        <scheme val="minor"/>
      </font>
      <numFmt numFmtId="3" formatCode="#,##0"/>
      <fill>
        <patternFill patternType="none">
          <fgColor indexed="64"/>
          <bgColor indexed="65"/>
        </patternFill>
      </fill>
      <alignment horizontal="center" vertical="bottom" textRotation="0" wrapText="0" indent="0" justifyLastLine="0" shrinkToFit="0" readingOrder="0"/>
      <protection locked="1" hidden="0"/>
    </dxf>
    <dxf>
      <font>
        <strike val="0"/>
        <outline val="0"/>
        <shadow val="0"/>
        <u val="none"/>
        <vertAlign val="baseline"/>
        <sz val="12"/>
        <color auto="1"/>
        <name val="Overpass"/>
        <scheme val="minor"/>
      </font>
      <numFmt numFmtId="3" formatCode="#,##0"/>
      <fill>
        <patternFill patternType="none">
          <fgColor indexed="64"/>
          <bgColor auto="1"/>
        </patternFill>
      </fill>
      <alignment horizontal="center" vertical="bottom" textRotation="0" wrapText="0" indent="0" justifyLastLine="0" shrinkToFit="0" readingOrder="0"/>
      <protection locked="1" hidden="0"/>
    </dxf>
    <dxf>
      <font>
        <b/>
        <i val="0"/>
        <strike val="0"/>
        <condense val="0"/>
        <extend val="0"/>
        <outline val="0"/>
        <shadow val="0"/>
        <u val="none"/>
        <vertAlign val="baseline"/>
        <sz val="12"/>
        <color theme="1"/>
        <name val="Overpass"/>
        <scheme val="minor"/>
      </font>
      <numFmt numFmtId="3" formatCode="#,##0"/>
      <fill>
        <patternFill patternType="none">
          <fgColor indexed="64"/>
          <bgColor indexed="65"/>
        </patternFill>
      </fill>
      <alignment horizontal="center" vertical="bottom" textRotation="0" wrapText="0" indent="0" justifyLastLine="0" shrinkToFit="0" readingOrder="0"/>
      <protection locked="1" hidden="0"/>
    </dxf>
    <dxf>
      <font>
        <strike val="0"/>
        <outline val="0"/>
        <shadow val="0"/>
        <u val="none"/>
        <vertAlign val="baseline"/>
        <sz val="12"/>
        <color auto="1"/>
        <name val="Overpass"/>
        <scheme val="minor"/>
      </font>
      <numFmt numFmtId="3" formatCode="#,##0"/>
      <fill>
        <patternFill patternType="none">
          <fgColor indexed="64"/>
          <bgColor auto="1"/>
        </patternFill>
      </fill>
      <alignment horizontal="center" vertical="bottom" textRotation="0" wrapText="0" indent="0" justifyLastLine="0" shrinkToFit="0" readingOrder="0"/>
      <protection locked="1" hidden="0"/>
    </dxf>
    <dxf>
      <font>
        <b/>
        <i val="0"/>
        <strike val="0"/>
        <condense val="0"/>
        <extend val="0"/>
        <outline val="0"/>
        <shadow val="0"/>
        <u val="none"/>
        <vertAlign val="baseline"/>
        <sz val="12"/>
        <color theme="1"/>
        <name val="Overpass"/>
        <scheme val="minor"/>
      </font>
      <numFmt numFmtId="3" formatCode="#,##0"/>
      <fill>
        <patternFill patternType="none">
          <fgColor indexed="64"/>
          <bgColor indexed="65"/>
        </patternFill>
      </fill>
      <alignment horizontal="center" vertical="bottom" textRotation="0" wrapText="0" indent="0" justifyLastLine="0" shrinkToFit="0" readingOrder="0"/>
      <protection locked="1" hidden="0"/>
    </dxf>
    <dxf>
      <font>
        <strike val="0"/>
        <outline val="0"/>
        <shadow val="0"/>
        <u val="none"/>
        <vertAlign val="baseline"/>
        <sz val="12"/>
        <color auto="1"/>
        <name val="Overpass"/>
        <scheme val="minor"/>
      </font>
      <numFmt numFmtId="3" formatCode="#,##0"/>
      <fill>
        <patternFill patternType="none">
          <fgColor indexed="64"/>
          <bgColor auto="1"/>
        </patternFill>
      </fill>
      <alignment horizontal="center" vertical="bottom" textRotation="0" wrapText="0" indent="0" justifyLastLine="0" shrinkToFit="0" readingOrder="0"/>
      <protection locked="1" hidden="0"/>
    </dxf>
    <dxf>
      <font>
        <b/>
        <i val="0"/>
        <strike val="0"/>
        <condense val="0"/>
        <extend val="0"/>
        <outline val="0"/>
        <shadow val="0"/>
        <u val="none"/>
        <vertAlign val="baseline"/>
        <sz val="12"/>
        <color theme="1"/>
        <name val="Overpass"/>
        <scheme val="minor"/>
      </font>
      <numFmt numFmtId="0" formatCode="General"/>
      <fill>
        <patternFill patternType="none">
          <fgColor indexed="64"/>
          <bgColor indexed="65"/>
        </patternFill>
      </fill>
      <alignment horizontal="center" vertical="center" textRotation="0" wrapText="0" indent="0" justifyLastLine="0" shrinkToFit="0" readingOrder="0"/>
    </dxf>
    <dxf>
      <font>
        <strike val="0"/>
        <outline val="0"/>
        <shadow val="0"/>
        <u val="none"/>
        <vertAlign val="baseline"/>
        <sz val="12"/>
        <color theme="4"/>
        <name val="Overpass"/>
        <scheme val="minor"/>
      </font>
      <numFmt numFmtId="1" formatCode="0"/>
      <fill>
        <patternFill patternType="none">
          <fgColor indexed="64"/>
          <bgColor auto="1"/>
        </patternFill>
      </fill>
      <alignment horizontal="center" vertical="center" textRotation="0" wrapText="0" indent="0" justifyLastLine="0" shrinkToFit="0" readingOrder="0"/>
      <protection locked="1" hidden="1"/>
    </dxf>
    <dxf>
      <font>
        <b/>
        <i val="0"/>
        <strike val="0"/>
        <condense val="0"/>
        <extend val="0"/>
        <outline val="0"/>
        <shadow val="0"/>
        <u val="none"/>
        <vertAlign val="baseline"/>
        <sz val="12"/>
        <color theme="1"/>
        <name val="Overpass"/>
        <scheme val="minor"/>
      </font>
      <numFmt numFmtId="6" formatCode="#,##0_);[Red]\(#,##0\)"/>
      <fill>
        <patternFill patternType="none">
          <fgColor indexed="64"/>
          <bgColor indexed="65"/>
        </patternFill>
      </fill>
    </dxf>
    <dxf>
      <font>
        <strike val="0"/>
        <outline val="0"/>
        <shadow val="0"/>
        <u val="none"/>
        <vertAlign val="baseline"/>
        <sz val="12"/>
        <color theme="4"/>
        <name val="Overpass"/>
        <scheme val="minor"/>
      </font>
      <fill>
        <patternFill patternType="none">
          <fgColor indexed="64"/>
          <bgColor auto="1"/>
        </patternFill>
      </fill>
      <alignment horizontal="left" vertical="center" textRotation="0" wrapText="0" relativeIndent="1" justifyLastLine="0" shrinkToFit="0" readingOrder="0"/>
      <protection locked="1" hidden="1"/>
    </dxf>
    <dxf>
      <border>
        <top style="medium">
          <color theme="4"/>
        </top>
      </border>
    </dxf>
    <dxf>
      <font>
        <strike val="0"/>
        <outline val="0"/>
        <shadow val="0"/>
        <u val="none"/>
        <sz val="12"/>
        <name val="Overpass"/>
        <scheme val="minor"/>
      </font>
      <fill>
        <patternFill patternType="none">
          <fgColor indexed="64"/>
          <bgColor auto="1"/>
        </patternFill>
      </fill>
      <protection locked="1" hidden="1"/>
    </dxf>
    <dxf>
      <font>
        <strike val="0"/>
        <outline val="0"/>
        <shadow val="0"/>
        <u val="none"/>
        <sz val="12"/>
        <color theme="4"/>
        <name val="Overpass"/>
        <scheme val="minor"/>
      </font>
      <fill>
        <patternFill patternType="none">
          <fgColor indexed="64"/>
          <bgColor auto="1"/>
        </patternFill>
      </fill>
      <protection locked="1" hidden="1"/>
    </dxf>
    <dxf>
      <border>
        <bottom style="medium">
          <color theme="4"/>
        </bottom>
      </border>
    </dxf>
    <dxf>
      <font>
        <b val="0"/>
        <i val="0"/>
        <strike val="0"/>
        <condense val="0"/>
        <extend val="0"/>
        <outline val="0"/>
        <shadow val="0"/>
        <u val="none"/>
        <vertAlign val="baseline"/>
        <sz val="12"/>
        <color theme="4"/>
        <name val="Overpass"/>
        <scheme val="minor"/>
      </font>
      <fill>
        <patternFill patternType="none">
          <fgColor indexed="64"/>
          <bgColor auto="1"/>
        </patternFill>
      </fill>
      <alignment horizontal="center" vertical="bottom" textRotation="0" wrapText="1" indent="0" justifyLastLine="0" shrinkToFit="0" readingOrder="0"/>
      <protection locked="1" hidden="1"/>
    </dxf>
    <dxf>
      <font>
        <b/>
        <i val="0"/>
        <strike val="0"/>
        <condense val="0"/>
        <extend val="0"/>
        <outline val="0"/>
        <shadow val="0"/>
        <u val="none"/>
        <vertAlign val="baseline"/>
        <sz val="12"/>
        <color theme="1"/>
        <name val="Overpass"/>
        <scheme val="minor"/>
      </font>
      <numFmt numFmtId="6" formatCode="#,##0_);[Red]\(#,##0\)"/>
      <fill>
        <patternFill patternType="none">
          <fgColor indexed="64"/>
          <bgColor indexed="65"/>
        </patternFill>
      </fill>
      <alignment horizontal="center" vertical="center" textRotation="0" wrapText="0" indent="0" justifyLastLine="0" shrinkToFit="0" readingOrder="0"/>
      <protection locked="1" hidden="0"/>
    </dxf>
    <dxf>
      <font>
        <b/>
        <strike val="0"/>
        <outline val="0"/>
        <shadow val="0"/>
        <u val="none"/>
        <vertAlign val="baseline"/>
        <sz val="12"/>
        <color theme="0"/>
        <name val="Overpass"/>
        <scheme val="minor"/>
      </font>
      <numFmt numFmtId="3" formatCode="#,##0"/>
      <fill>
        <patternFill patternType="solid">
          <fgColor indexed="64"/>
          <bgColor theme="4"/>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Overpass"/>
        <scheme val="minor"/>
      </font>
      <numFmt numFmtId="4" formatCode="#,##0.00"/>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0"/>
        <name val="Overpass"/>
        <scheme val="minor"/>
      </font>
      <numFmt numFmtId="4" formatCode="#,##0.00"/>
      <fill>
        <patternFill patternType="solid">
          <fgColor indexed="64"/>
          <bgColor theme="4"/>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Overpass"/>
        <scheme val="minor"/>
      </font>
      <numFmt numFmtId="4" formatCode="#,##0.00"/>
      <fill>
        <patternFill patternType="none">
          <fgColor indexed="64"/>
          <bgColor indexed="65"/>
        </patternFill>
      </fill>
      <alignment horizontal="center" vertical="center" textRotation="0" wrapText="0" indent="0" justifyLastLine="0" shrinkToFit="0" readingOrder="0"/>
      <protection locked="1" hidden="0"/>
    </dxf>
    <dxf>
      <font>
        <b/>
        <strike val="0"/>
        <outline val="0"/>
        <shadow val="0"/>
        <u val="none"/>
        <vertAlign val="baseline"/>
        <sz val="12"/>
        <color theme="0"/>
        <name val="Overpass"/>
        <scheme val="minor"/>
      </font>
      <numFmt numFmtId="4" formatCode="#,##0.00"/>
      <fill>
        <patternFill patternType="solid">
          <fgColor indexed="64"/>
          <bgColor theme="4"/>
        </patternFill>
      </fill>
      <alignment horizontal="center" vertical="center" textRotation="0" wrapText="0" indent="0" justifyLastLine="0" shrinkToFit="0" readingOrder="0"/>
      <protection locked="1" hidden="1"/>
    </dxf>
    <dxf>
      <font>
        <b/>
        <i val="0"/>
        <strike val="0"/>
        <condense val="0"/>
        <extend val="0"/>
        <outline val="0"/>
        <shadow val="0"/>
        <u val="none"/>
        <vertAlign val="baseline"/>
        <sz val="12"/>
        <color theme="1"/>
        <name val="Overpass"/>
        <scheme val="minor"/>
      </font>
      <numFmt numFmtId="3" formatCode="#,##0"/>
      <fill>
        <patternFill patternType="none">
          <fgColor indexed="64"/>
          <bgColor indexed="65"/>
        </patternFill>
      </fill>
      <alignment horizontal="center" vertical="center" textRotation="0" wrapText="0" indent="0" justifyLastLine="0" shrinkToFit="0" readingOrder="0"/>
      <protection locked="1" hidden="0"/>
    </dxf>
    <dxf>
      <font>
        <b/>
        <strike val="0"/>
        <outline val="0"/>
        <shadow val="0"/>
        <u val="none"/>
        <vertAlign val="baseline"/>
        <sz val="12"/>
        <color theme="0"/>
        <name val="Overpass"/>
        <scheme val="minor"/>
      </font>
      <numFmt numFmtId="3" formatCode="#,##0"/>
      <fill>
        <patternFill patternType="solid">
          <fgColor indexed="64"/>
          <bgColor theme="4"/>
        </patternFill>
      </fill>
      <alignment horizontal="center" vertical="center" textRotation="0" wrapText="0" indent="0" justifyLastLine="0" shrinkToFit="0" readingOrder="0"/>
      <protection locked="1" hidden="1"/>
    </dxf>
    <dxf>
      <font>
        <b/>
        <i val="0"/>
        <strike val="0"/>
        <condense val="0"/>
        <extend val="0"/>
        <outline val="0"/>
        <shadow val="0"/>
        <u val="none"/>
        <vertAlign val="baseline"/>
        <sz val="12"/>
        <color theme="1"/>
        <name val="Overpass"/>
        <scheme val="minor"/>
      </font>
      <numFmt numFmtId="3" formatCode="#,##0"/>
      <fill>
        <patternFill patternType="none">
          <fgColor indexed="64"/>
          <bgColor indexed="65"/>
        </patternFill>
      </fill>
      <alignment horizontal="center" vertical="center" textRotation="0" wrapText="0" indent="0" justifyLastLine="0" shrinkToFit="0" readingOrder="0"/>
      <protection locked="1" hidden="0"/>
    </dxf>
    <dxf>
      <font>
        <b val="0"/>
        <strike val="0"/>
        <outline val="0"/>
        <shadow val="0"/>
        <u val="none"/>
        <vertAlign val="baseline"/>
        <sz val="12"/>
        <color theme="4"/>
        <name val="Overpass"/>
        <scheme val="minor"/>
      </font>
      <numFmt numFmtId="3" formatCode="#,##0"/>
      <fill>
        <patternFill patternType="none">
          <fgColor indexed="64"/>
          <bgColor auto="1"/>
        </patternFill>
      </fill>
      <alignment horizontal="center" vertical="center" textRotation="0" wrapText="0" indent="0" justifyLastLine="0" shrinkToFit="0" readingOrder="0"/>
      <protection locked="1" hidden="1"/>
    </dxf>
    <dxf>
      <font>
        <b/>
        <i val="0"/>
        <strike val="0"/>
        <condense val="0"/>
        <extend val="0"/>
        <outline val="0"/>
        <shadow val="0"/>
        <u val="none"/>
        <vertAlign val="baseline"/>
        <sz val="12"/>
        <color theme="1"/>
        <name val="Overpass"/>
        <scheme val="minor"/>
      </font>
      <numFmt numFmtId="3" formatCode="#,##0"/>
      <fill>
        <patternFill patternType="none">
          <fgColor indexed="64"/>
          <bgColor indexed="65"/>
        </patternFill>
      </fill>
      <alignment horizontal="center" vertical="center" textRotation="0" wrapText="0" indent="0" justifyLastLine="0" shrinkToFit="0" readingOrder="0"/>
      <protection locked="1" hidden="0"/>
    </dxf>
    <dxf>
      <font>
        <b val="0"/>
        <strike val="0"/>
        <outline val="0"/>
        <shadow val="0"/>
        <u val="none"/>
        <vertAlign val="baseline"/>
        <sz val="12"/>
        <color theme="4"/>
        <name val="Overpass"/>
        <scheme val="minor"/>
      </font>
      <numFmt numFmtId="3" formatCode="#,##0"/>
      <fill>
        <patternFill patternType="none">
          <fgColor indexed="64"/>
          <bgColor auto="1"/>
        </patternFill>
      </fill>
      <alignment horizontal="center" vertical="center" textRotation="0" wrapText="0" indent="0" justifyLastLine="0" shrinkToFit="0" readingOrder="0"/>
      <protection locked="1" hidden="1"/>
    </dxf>
    <dxf>
      <font>
        <b/>
        <i val="0"/>
        <strike val="0"/>
        <condense val="0"/>
        <extend val="0"/>
        <outline val="0"/>
        <shadow val="0"/>
        <u val="none"/>
        <vertAlign val="baseline"/>
        <sz val="12"/>
        <color theme="1"/>
        <name val="Overpass"/>
        <scheme val="minor"/>
      </font>
      <numFmt numFmtId="3" formatCode="#,##0"/>
      <fill>
        <patternFill patternType="none">
          <fgColor indexed="64"/>
          <bgColor indexed="65"/>
        </patternFill>
      </fill>
      <alignment horizontal="center" vertical="center" textRotation="0" wrapText="0" indent="0" justifyLastLine="0" shrinkToFit="0" readingOrder="0"/>
      <protection locked="1" hidden="0"/>
    </dxf>
    <dxf>
      <font>
        <b val="0"/>
        <strike val="0"/>
        <outline val="0"/>
        <shadow val="0"/>
        <u val="none"/>
        <vertAlign val="baseline"/>
        <sz val="12"/>
        <color theme="4"/>
        <name val="Overpass"/>
        <scheme val="minor"/>
      </font>
      <numFmt numFmtId="3" formatCode="#,##0"/>
      <fill>
        <patternFill patternType="none">
          <fgColor indexed="64"/>
          <bgColor auto="1"/>
        </patternFill>
      </fill>
      <alignment horizontal="center" vertical="center" textRotation="0" wrapText="0" indent="0" justifyLastLine="0" shrinkToFit="0" readingOrder="0"/>
      <protection locked="1" hidden="1"/>
    </dxf>
    <dxf>
      <font>
        <b/>
        <i val="0"/>
        <strike val="0"/>
        <condense val="0"/>
        <extend val="0"/>
        <outline val="0"/>
        <shadow val="0"/>
        <u val="none"/>
        <vertAlign val="baseline"/>
        <sz val="12"/>
        <color theme="1"/>
        <name val="Overpass"/>
        <scheme val="minor"/>
      </font>
      <numFmt numFmtId="3" formatCode="#,##0"/>
      <fill>
        <patternFill patternType="none">
          <fgColor indexed="64"/>
          <bgColor indexed="65"/>
        </patternFill>
      </fill>
      <alignment horizontal="center" vertical="center" textRotation="0" wrapText="0" indent="0" justifyLastLine="0" shrinkToFit="0" readingOrder="0"/>
      <protection locked="1" hidden="0"/>
    </dxf>
    <dxf>
      <font>
        <b val="0"/>
        <strike val="0"/>
        <outline val="0"/>
        <shadow val="0"/>
        <u val="none"/>
        <vertAlign val="baseline"/>
        <sz val="12"/>
        <color theme="4"/>
        <name val="Overpass"/>
        <scheme val="minor"/>
      </font>
      <numFmt numFmtId="3" formatCode="#,##0"/>
      <fill>
        <patternFill patternType="none">
          <fgColor indexed="64"/>
          <bgColor auto="1"/>
        </patternFill>
      </fill>
      <alignment horizontal="center" vertical="center" textRotation="0" wrapText="0" indent="0" justifyLastLine="0" shrinkToFit="0" readingOrder="0"/>
      <protection locked="1" hidden="1"/>
    </dxf>
    <dxf>
      <font>
        <b/>
        <i val="0"/>
        <strike val="0"/>
        <condense val="0"/>
        <extend val="0"/>
        <outline val="0"/>
        <shadow val="0"/>
        <u val="none"/>
        <vertAlign val="baseline"/>
        <sz val="12"/>
        <color theme="1"/>
        <name val="Overpass"/>
        <scheme val="minor"/>
      </font>
      <numFmt numFmtId="6" formatCode="#,##0_);[Red]\(#,##0\)"/>
      <fill>
        <patternFill patternType="none">
          <fgColor indexed="64"/>
          <bgColor indexed="65"/>
        </patternFill>
      </fill>
      <alignment horizontal="right" vertical="center" textRotation="0" wrapText="0" indent="0" justifyLastLine="0" shrinkToFit="0" readingOrder="0"/>
    </dxf>
    <dxf>
      <font>
        <b val="0"/>
        <strike val="0"/>
        <outline val="0"/>
        <shadow val="0"/>
        <u val="none"/>
        <vertAlign val="baseline"/>
        <sz val="12"/>
        <color theme="4"/>
        <name val="Overpass"/>
        <scheme val="minor"/>
      </font>
      <numFmt numFmtId="165" formatCode="000000"/>
      <fill>
        <patternFill patternType="none">
          <fgColor indexed="64"/>
          <bgColor auto="1"/>
        </patternFill>
      </fill>
      <alignment horizontal="center" vertical="center" textRotation="0" wrapText="0" indent="0" justifyLastLine="0" shrinkToFit="0" readingOrder="0"/>
      <protection locked="1" hidden="1"/>
    </dxf>
    <dxf>
      <font>
        <b/>
        <i val="0"/>
        <strike val="0"/>
        <condense val="0"/>
        <extend val="0"/>
        <outline val="0"/>
        <shadow val="0"/>
        <u val="none"/>
        <vertAlign val="baseline"/>
        <sz val="12"/>
        <color theme="1"/>
        <name val="Overpass"/>
        <scheme val="minor"/>
      </font>
      <numFmt numFmtId="6" formatCode="#,##0_);[Red]\(#,##0\)"/>
      <fill>
        <patternFill patternType="none">
          <fgColor indexed="64"/>
          <bgColor indexed="65"/>
        </patternFill>
      </fill>
      <alignment horizontal="right" vertical="center" textRotation="0" wrapText="0" indent="0" justifyLastLine="0" shrinkToFit="0" readingOrder="0"/>
    </dxf>
    <dxf>
      <font>
        <b val="0"/>
        <strike val="0"/>
        <outline val="0"/>
        <shadow val="0"/>
        <u val="none"/>
        <vertAlign val="baseline"/>
        <sz val="12"/>
        <color theme="4"/>
        <name val="Overpass"/>
        <scheme val="minor"/>
      </font>
      <fill>
        <patternFill patternType="none">
          <fgColor indexed="64"/>
          <bgColor auto="1"/>
        </patternFill>
      </fill>
      <alignment horizontal="left" vertical="center" textRotation="0" wrapText="0" relativeIndent="1" justifyLastLine="0" shrinkToFit="0" readingOrder="0"/>
      <protection locked="1" hidden="1"/>
    </dxf>
    <dxf>
      <border>
        <top style="medium">
          <color theme="4"/>
        </top>
      </border>
    </dxf>
    <dxf>
      <font>
        <strike val="0"/>
        <outline val="0"/>
        <shadow val="0"/>
        <u val="none"/>
        <vertAlign val="baseline"/>
        <sz val="12"/>
        <name val="Overpass"/>
        <scheme val="minor"/>
      </font>
      <protection locked="1" hidden="1"/>
    </dxf>
    <dxf>
      <font>
        <b val="0"/>
        <strike val="0"/>
        <outline val="0"/>
        <shadow val="0"/>
        <u val="none"/>
        <vertAlign val="baseline"/>
        <sz val="12"/>
        <color theme="4"/>
        <name val="Overpass"/>
        <scheme val="minor"/>
      </font>
      <fill>
        <patternFill patternType="none">
          <fgColor indexed="64"/>
          <bgColor auto="1"/>
        </patternFill>
      </fill>
      <protection locked="1" hidden="1"/>
    </dxf>
    <dxf>
      <border>
        <bottom style="medium">
          <color theme="4"/>
        </bottom>
      </border>
    </dxf>
    <dxf>
      <font>
        <b val="0"/>
        <i val="0"/>
        <strike val="0"/>
        <condense val="0"/>
        <extend val="0"/>
        <outline val="0"/>
        <shadow val="0"/>
        <u val="none"/>
        <vertAlign val="baseline"/>
        <sz val="12"/>
        <color theme="4"/>
        <name val="Overpass"/>
        <scheme val="minor"/>
      </font>
      <fill>
        <patternFill patternType="none">
          <fgColor indexed="64"/>
          <bgColor auto="1"/>
        </patternFill>
      </fill>
      <alignment horizontal="center" vertical="bottom" textRotation="0" wrapText="1" indent="0"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0"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0"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0"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0"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0"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0"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0"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0"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b val="0"/>
        <i val="0"/>
        <strike val="0"/>
        <condense val="0"/>
        <extend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center" vertical="center" textRotation="0" wrapText="0" indent="0" justifyLastLine="0" shrinkToFit="0" readingOrder="0"/>
      <protection locked="1" hidden="1"/>
    </dxf>
    <dxf>
      <font>
        <strike val="0"/>
        <outline val="0"/>
        <shadow val="0"/>
        <u val="none"/>
        <vertAlign val="baseline"/>
        <sz val="11"/>
        <color theme="1"/>
        <name val="Overpass"/>
        <scheme val="minor"/>
      </font>
      <numFmt numFmtId="4" formatCode="#,##0.00"/>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11"/>
        <color theme="1"/>
        <name val="Overpass"/>
        <scheme val="minor"/>
      </font>
      <numFmt numFmtId="0" formatCode="General"/>
      <fill>
        <patternFill patternType="none">
          <fgColor indexed="64"/>
          <bgColor indexed="65"/>
        </patternFill>
      </fill>
      <alignment horizontal="left" vertical="center" textRotation="0" wrapText="0" indent="1" justifyLastLine="0" shrinkToFit="0" readingOrder="0"/>
      <protection locked="1" hidden="1"/>
    </dxf>
    <dxf>
      <font>
        <b val="0"/>
        <i val="0"/>
        <strike val="0"/>
        <condense val="0"/>
        <extend val="0"/>
        <outline val="0"/>
        <shadow val="0"/>
        <u val="none"/>
        <vertAlign val="baseline"/>
        <sz val="11"/>
        <color theme="1"/>
        <name val="Overpass"/>
        <scheme val="minor"/>
      </font>
      <numFmt numFmtId="166" formatCode="[&lt;=9999999]###\-####;\(###\)\ ###\-####"/>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11"/>
        <color theme="1"/>
        <name val="Overpass"/>
        <scheme val="minor"/>
      </font>
      <numFmt numFmtId="0" formatCode="General"/>
      <fill>
        <patternFill patternType="none">
          <fgColor indexed="64"/>
          <bgColor indexed="65"/>
        </patternFill>
      </fill>
      <alignment horizontal="left" vertical="center" textRotation="0" wrapText="0" indent="1" justifyLastLine="0" shrinkToFit="0" readingOrder="0"/>
      <protection locked="1" hidden="1"/>
    </dxf>
    <dxf>
      <font>
        <strike val="0"/>
        <outline val="0"/>
        <shadow val="0"/>
        <u val="none"/>
        <vertAlign val="baseline"/>
        <sz val="11"/>
        <color theme="1"/>
        <name val="Overpass"/>
        <scheme val="minor"/>
      </font>
      <numFmt numFmtId="0" formatCode="General"/>
      <fill>
        <patternFill patternType="none">
          <fgColor indexed="64"/>
          <bgColor indexed="65"/>
        </patternFill>
      </fill>
      <alignment horizontal="left" vertical="center" textRotation="0" wrapText="0" indent="1" justifyLastLine="0" shrinkToFit="0" readingOrder="0"/>
      <protection locked="1" hidden="1"/>
    </dxf>
    <dxf>
      <font>
        <strike val="0"/>
        <outline val="0"/>
        <shadow val="0"/>
        <u val="none"/>
        <vertAlign val="baseline"/>
        <sz val="11"/>
        <color theme="1"/>
        <name val="Overpass"/>
        <scheme val="minor"/>
      </font>
      <numFmt numFmtId="166" formatCode="[&lt;=9999999]###\-####;\(###\)\ ###\-####"/>
      <fill>
        <patternFill patternType="none">
          <fgColor indexed="64"/>
          <bgColor indexed="65"/>
        </patternFill>
      </fill>
      <alignment horizontal="center" vertical="center" textRotation="0" wrapText="0" indent="0" justifyLastLine="0" shrinkToFit="0" readingOrder="0"/>
      <protection locked="1" hidden="1"/>
    </dxf>
    <dxf>
      <font>
        <strike val="0"/>
        <outline val="0"/>
        <shadow val="0"/>
        <u val="none"/>
        <vertAlign val="baseline"/>
        <sz val="11"/>
        <color theme="1"/>
        <name val="Overpass"/>
        <scheme val="minor"/>
      </font>
      <numFmt numFmtId="0" formatCode="General"/>
      <fill>
        <patternFill patternType="none">
          <fgColor indexed="64"/>
          <bgColor indexed="65"/>
        </patternFill>
      </fill>
      <alignment horizontal="left" vertical="center" textRotation="0" wrapText="0" relative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b val="0"/>
        <i val="0"/>
        <strike val="0"/>
        <condense val="0"/>
        <extend val="0"/>
        <outline val="0"/>
        <shadow val="0"/>
        <u val="none"/>
        <vertAlign val="baseline"/>
        <sz val="11"/>
        <color theme="1"/>
        <name val="Overpass"/>
        <scheme val="minor"/>
      </font>
      <numFmt numFmtId="3" formatCode="#,##0"/>
      <fill>
        <patternFill patternType="none">
          <fgColor indexed="64"/>
          <bgColor auto="1"/>
        </patternFill>
      </fill>
      <alignment horizontal="right" vertical="center" textRotation="0" wrapText="0" indent="1" justifyLastLine="0" shrinkToFit="0" readingOrder="0"/>
      <protection locked="1" hidden="1"/>
    </dxf>
    <dxf>
      <font>
        <b val="0"/>
        <i val="0"/>
        <strike val="0"/>
        <condense val="0"/>
        <extend val="0"/>
        <outline val="0"/>
        <shadow val="0"/>
        <u val="none"/>
        <vertAlign val="baseline"/>
        <sz val="11"/>
        <color theme="1"/>
        <name val="Overpass"/>
        <scheme val="minor"/>
      </font>
      <numFmt numFmtId="3" formatCode="#,##0"/>
      <fill>
        <patternFill patternType="none">
          <fgColor indexed="64"/>
          <bgColor auto="1"/>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b val="0"/>
        <i val="0"/>
        <strike val="0"/>
        <condense val="0"/>
        <extend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numFmt numFmtId="3" formatCode="#,##0"/>
      <fill>
        <patternFill patternType="none">
          <fgColor indexed="64"/>
          <bgColor indexed="65"/>
        </patternFill>
      </fill>
      <alignment horizontal="right" vertical="center" textRotation="0" wrapText="0" indent="1" justifyLastLine="0" shrinkToFit="0" readingOrder="0"/>
      <protection locked="1" hidden="1"/>
    </dxf>
    <dxf>
      <font>
        <strike val="0"/>
        <outline val="0"/>
        <shadow val="0"/>
        <u val="none"/>
        <vertAlign val="baseline"/>
        <sz val="11"/>
        <color theme="1"/>
        <name val="Overpass"/>
        <scheme val="minor"/>
      </font>
      <fill>
        <patternFill patternType="none">
          <fgColor indexed="64"/>
          <bgColor indexed="65"/>
        </patternFill>
      </fill>
      <alignment horizontal="center" vertical="center" textRotation="0" wrapText="0" indent="0" justifyLastLine="0" shrinkToFit="0" readingOrder="0"/>
      <protection locked="1" hidden="1"/>
    </dxf>
    <dxf>
      <font>
        <strike val="0"/>
        <outline val="0"/>
        <shadow val="0"/>
        <u val="none"/>
        <vertAlign val="baseline"/>
        <sz val="11"/>
        <color theme="1"/>
        <name val="Overpass"/>
        <scheme val="minor"/>
      </font>
      <numFmt numFmtId="0" formatCode="General"/>
      <fill>
        <patternFill patternType="none">
          <fgColor indexed="64"/>
          <bgColor indexed="65"/>
        </patternFill>
      </fill>
      <alignment horizontal="center" vertical="center" textRotation="0" wrapText="0" indent="0" justifyLastLine="0" shrinkToFit="0" readingOrder="0"/>
      <protection locked="1" hidden="1"/>
    </dxf>
    <dxf>
      <font>
        <strike val="0"/>
        <outline val="0"/>
        <shadow val="0"/>
        <u val="none"/>
        <vertAlign val="baseline"/>
        <sz val="11"/>
        <color theme="1"/>
        <name val="Overpass"/>
        <scheme val="minor"/>
      </font>
      <numFmt numFmtId="0" formatCode="General"/>
      <fill>
        <patternFill patternType="none">
          <fgColor indexed="64"/>
          <bgColor indexed="65"/>
        </patternFill>
      </fill>
      <alignment horizontal="center" vertical="center" textRotation="0" wrapText="0" indent="0" justifyLastLine="0" shrinkToFit="0" readingOrder="0"/>
      <protection locked="1" hidden="1"/>
    </dxf>
    <dxf>
      <font>
        <strike val="0"/>
        <outline val="0"/>
        <shadow val="0"/>
        <u val="none"/>
        <vertAlign val="baseline"/>
        <sz val="11"/>
        <color theme="1"/>
        <name val="Overpass"/>
        <scheme val="minor"/>
      </font>
      <numFmt numFmtId="0" formatCode="General"/>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11"/>
        <color theme="1"/>
        <name val="Overpass"/>
        <scheme val="minor"/>
      </font>
      <numFmt numFmtId="0" formatCode="General"/>
      <fill>
        <patternFill patternType="none">
          <fgColor indexed="64"/>
          <bgColor indexed="65"/>
        </patternFill>
      </fill>
      <alignment horizontal="center" vertical="center" textRotation="0" wrapText="0" indent="0" justifyLastLine="0" shrinkToFit="0" readingOrder="0"/>
      <protection locked="1" hidden="1"/>
    </dxf>
    <dxf>
      <font>
        <strike val="0"/>
        <outline val="0"/>
        <shadow val="0"/>
        <u val="none"/>
        <vertAlign val="baseline"/>
        <sz val="11"/>
        <color theme="1"/>
        <name val="Overpass"/>
        <scheme val="minor"/>
      </font>
      <numFmt numFmtId="0" formatCode="General"/>
      <fill>
        <patternFill patternType="none">
          <fgColor indexed="64"/>
          <bgColor indexed="65"/>
        </patternFill>
      </fill>
      <alignment horizontal="left" vertical="center" textRotation="0" wrapText="0" relativeIndent="1" justifyLastLine="0" shrinkToFit="0" readingOrder="0"/>
      <protection locked="1" hidden="1"/>
    </dxf>
    <dxf>
      <font>
        <strike val="0"/>
        <outline val="0"/>
        <shadow val="0"/>
        <u val="none"/>
        <vertAlign val="baseline"/>
        <sz val="11"/>
        <color theme="1"/>
        <name val="Overpass"/>
        <scheme val="minor"/>
      </font>
      <fill>
        <patternFill patternType="none">
          <fgColor indexed="64"/>
          <bgColor indexed="65"/>
        </patternFill>
      </fill>
      <alignment vertical="center" textRotation="0" indent="0" justifyLastLine="0" shrinkToFit="0" readingOrder="0"/>
      <protection locked="1" hidden="1"/>
    </dxf>
    <dxf>
      <font>
        <strike val="0"/>
        <outline val="0"/>
        <shadow val="0"/>
        <u val="none"/>
        <vertAlign val="baseline"/>
        <sz val="11"/>
        <color theme="1"/>
        <name val="Overpass"/>
        <scheme val="minor"/>
      </font>
      <fill>
        <patternFill patternType="none">
          <fgColor indexed="64"/>
          <bgColor indexed="65"/>
        </patternFill>
      </fill>
      <alignment horizontal="center" vertical="bottom" textRotation="0" wrapText="1" indent="0" justifyLastLine="0" shrinkToFit="0" readingOrder="0"/>
      <protection locked="1" hidden="1"/>
    </dxf>
    <dxf>
      <fill>
        <patternFill patternType="solid">
          <fgColor theme="4" tint="0.79998168889431442"/>
          <bgColor theme="4" tint="0.79998168889431442"/>
        </patternFill>
      </fill>
    </dxf>
    <dxf>
      <fill>
        <patternFill>
          <bgColor theme="4" tint="0.89996032593768116"/>
        </patternFill>
      </fill>
    </dxf>
    <dxf>
      <fill>
        <patternFill patternType="solid">
          <fgColor theme="4" tint="0.79995117038483843"/>
          <bgColor theme="0"/>
        </patternFill>
      </fill>
    </dxf>
    <dxf>
      <font>
        <b/>
        <color theme="1"/>
      </font>
    </dxf>
    <dxf>
      <font>
        <b/>
        <color theme="1"/>
      </font>
    </dxf>
    <dxf>
      <font>
        <b/>
        <i val="0"/>
        <color theme="4"/>
      </font>
      <fill>
        <patternFill>
          <bgColor theme="8"/>
        </patternFill>
      </fill>
      <border diagonalUp="0" diagonalDown="0">
        <left/>
        <right/>
        <top style="double">
          <color theme="4"/>
        </top>
        <bottom style="thin">
          <color theme="4"/>
        </bottom>
        <vertical/>
        <horizontal/>
      </border>
    </dxf>
    <dxf>
      <font>
        <b/>
        <i val="0"/>
        <color theme="0"/>
      </font>
      <fill>
        <patternFill patternType="solid">
          <fgColor theme="4"/>
          <bgColor theme="4"/>
        </patternFill>
      </fill>
    </dxf>
    <dxf>
      <font>
        <color theme="1"/>
      </font>
      <border diagonalUp="0" diagonalDown="0">
        <left/>
        <right/>
        <top/>
        <bottom/>
        <vertical/>
        <horizontal/>
      </border>
    </dxf>
    <dxf>
      <fill>
        <patternFill>
          <bgColor theme="0"/>
        </patternFill>
      </fill>
      <border diagonalUp="0" diagonalDown="0">
        <left/>
        <right/>
        <top/>
        <bottom/>
        <vertical/>
        <horizontal/>
      </border>
    </dxf>
    <dxf>
      <fill>
        <patternFill>
          <bgColor theme="5" tint="0.79998168889431442"/>
        </patternFill>
      </fill>
      <border diagonalUp="0" diagonalDown="0">
        <left/>
        <right/>
        <top/>
        <bottom/>
        <vertical/>
        <horizontal/>
      </border>
    </dxf>
    <dxf>
      <font>
        <b/>
        <i val="0"/>
      </font>
      <fill>
        <patternFill>
          <bgColor theme="8"/>
        </patternFill>
      </fill>
      <border>
        <left/>
        <right/>
        <top style="double">
          <color theme="4"/>
        </top>
        <bottom style="thin">
          <color theme="4"/>
        </bottom>
        <vertical/>
        <horizontal/>
      </border>
    </dxf>
    <dxf>
      <font>
        <b/>
        <i val="0"/>
      </font>
      <fill>
        <patternFill>
          <bgColor theme="0"/>
        </patternFill>
      </fill>
      <border diagonalUp="0" diagonalDown="0">
        <left/>
        <right/>
        <top style="thin">
          <color theme="4"/>
        </top>
        <bottom style="thin">
          <color theme="4"/>
        </bottom>
        <vertical/>
        <horizontal/>
      </border>
    </dxf>
  </dxfs>
  <tableStyles count="2" defaultTableStyle="Standard" defaultPivotStyle="PivotStyleLight16">
    <tableStyle name="Standard" pivot="0" count="4" xr9:uid="{1E5946E2-DA14-42AE-8DA5-217D711E76E5}">
      <tableStyleElement type="headerRow" dxfId="685"/>
      <tableStyleElement type="totalRow" dxfId="684"/>
      <tableStyleElement type="firstRowStripe" dxfId="683"/>
      <tableStyleElement type="secondRowStripe" dxfId="682"/>
    </tableStyle>
    <tableStyle name="Default" pivot="0" count="8" xr9:uid="{1CB0C631-8154-42DE-96BB-B7BD900926E4}">
      <tableStyleElement type="wholeTable" dxfId="681"/>
      <tableStyleElement type="headerRow" dxfId="680"/>
      <tableStyleElement type="totalRow" dxfId="679"/>
      <tableStyleElement type="firstColumn" dxfId="678"/>
      <tableStyleElement type="lastColumn" dxfId="677"/>
      <tableStyleElement type="firstRowStripe" dxfId="676"/>
      <tableStyleElement type="secondRowStripe" dxfId="675"/>
      <tableStyleElement type="firstColumnStripe" dxfId="674"/>
    </tableStyle>
  </tableStyles>
  <colors>
    <mruColors>
      <color rgb="FFAF211A"/>
      <color rgb="FFF9F9F9"/>
      <color rgb="FFFFFFCC"/>
      <color rgb="FFD2F4FF"/>
      <color rgb="FFCCCCFF"/>
      <color rgb="FFC9A6E4"/>
      <color rgb="FFF8D17B"/>
      <color rgb="FFFF0066"/>
      <color rgb="FFB9EEFF"/>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249336432692528"/>
          <c:y val="0.1963686961075452"/>
          <c:w val="0.56233931474947152"/>
          <c:h val="0.7129416702490684"/>
        </c:manualLayout>
      </c:layout>
      <c:pieChart>
        <c:varyColors val="1"/>
        <c:ser>
          <c:idx val="0"/>
          <c:order val="0"/>
          <c:spPr>
            <a:ln>
              <a:noFill/>
            </a:ln>
            <a:effectLst/>
          </c:spPr>
          <c:dPt>
            <c:idx val="0"/>
            <c:bubble3D val="0"/>
            <c:spPr>
              <a:solidFill>
                <a:schemeClr val="accent1"/>
              </a:solidFill>
              <a:ln>
                <a:noFill/>
              </a:ln>
              <a:effectLst/>
            </c:spPr>
            <c:extLst>
              <c:ext xmlns:c16="http://schemas.microsoft.com/office/drawing/2014/chart" uri="{C3380CC4-5D6E-409C-BE32-E72D297353CC}">
                <c16:uniqueId val="{00000001-857A-4F04-B248-2AA4040D1194}"/>
              </c:ext>
            </c:extLst>
          </c:dPt>
          <c:dPt>
            <c:idx val="1"/>
            <c:bubble3D val="0"/>
            <c:spPr>
              <a:solidFill>
                <a:schemeClr val="accent2"/>
              </a:solidFill>
              <a:ln>
                <a:noFill/>
              </a:ln>
              <a:effectLst/>
            </c:spPr>
            <c:extLst>
              <c:ext xmlns:c16="http://schemas.microsoft.com/office/drawing/2014/chart" uri="{C3380CC4-5D6E-409C-BE32-E72D297353CC}">
                <c16:uniqueId val="{00000003-857A-4F04-B248-2AA4040D1194}"/>
              </c:ext>
            </c:extLst>
          </c:dPt>
          <c:dPt>
            <c:idx val="2"/>
            <c:bubble3D val="0"/>
            <c:spPr>
              <a:solidFill>
                <a:schemeClr val="accent3"/>
              </a:solidFill>
              <a:ln>
                <a:noFill/>
              </a:ln>
              <a:effectLst/>
            </c:spPr>
            <c:extLst>
              <c:ext xmlns:c16="http://schemas.microsoft.com/office/drawing/2014/chart" uri="{C3380CC4-5D6E-409C-BE32-E72D297353CC}">
                <c16:uniqueId val="{00000003-DB99-4F6A-B1E1-D6ED9EEDE9C6}"/>
              </c:ext>
            </c:extLst>
          </c:dPt>
          <c:dPt>
            <c:idx val="3"/>
            <c:bubble3D val="0"/>
            <c:spPr>
              <a:solidFill>
                <a:schemeClr val="accent4"/>
              </a:solidFill>
              <a:ln>
                <a:noFill/>
              </a:ln>
              <a:effectLst/>
            </c:spPr>
            <c:extLst>
              <c:ext xmlns:c16="http://schemas.microsoft.com/office/drawing/2014/chart" uri="{C3380CC4-5D6E-409C-BE32-E72D297353CC}">
                <c16:uniqueId val="{00000007-857A-4F04-B248-2AA4040D1194}"/>
              </c:ext>
            </c:extLst>
          </c:dPt>
          <c:dLbls>
            <c:numFmt formatCode="0.0%" sourceLinked="0"/>
            <c:spPr>
              <a:noFill/>
              <a:ln>
                <a:noFill/>
              </a:ln>
              <a:effectLst/>
            </c:spPr>
            <c:txPr>
              <a:bodyPr rot="0" spcFirstLastPara="1" vertOverflow="ellipsis" vert="horz" wrap="square" anchor="ctr" anchorCtr="1"/>
              <a:lstStyle/>
              <a:p>
                <a:pPr>
                  <a:defRPr sz="1400" b="1" i="0" u="none" strike="noStrike" kern="1200" baseline="0">
                    <a:solidFill>
                      <a:sysClr val="windowText" lastClr="000000"/>
                    </a:solidFill>
                    <a:effectLst/>
                    <a:latin typeface="+mn-lt"/>
                    <a:ea typeface="+mn-ea"/>
                    <a:cs typeface="+mn-cs"/>
                  </a:defRPr>
                </a:pPr>
                <a:endParaRPr lang="en-US"/>
              </a:p>
            </c:txPr>
            <c:dLblPos val="outEnd"/>
            <c:showLegendKey val="0"/>
            <c:showVal val="0"/>
            <c:showCatName val="0"/>
            <c:showSerName val="0"/>
            <c:showPercent val="1"/>
            <c:showBubbleSize val="0"/>
            <c:showLeaderLines val="0"/>
            <c:extLst>
              <c:ext xmlns:c15="http://schemas.microsoft.com/office/drawing/2012/chart" uri="{CE6537A1-D6FC-4f65-9D91-7224C49458BB}"/>
            </c:extLst>
          </c:dLbls>
          <c:cat>
            <c:strRef>
              <c:f>'Summary (by Institution)'!$P$10:$P$13</c:f>
              <c:strCache>
                <c:ptCount val="4"/>
                <c:pt idx="0">
                  <c:v>State of Texas</c:v>
                </c:pt>
                <c:pt idx="1">
                  <c:v>Student &amp; Parent</c:v>
                </c:pt>
                <c:pt idx="2">
                  <c:v>Federal </c:v>
                </c:pt>
                <c:pt idx="3">
                  <c:v>Institutional</c:v>
                </c:pt>
              </c:strCache>
            </c:strRef>
          </c:cat>
          <c:val>
            <c:numRef>
              <c:f>'Summary (by Institution)'!$W$10:$W$13</c:f>
              <c:numCache>
                <c:formatCode>#,##0</c:formatCode>
                <c:ptCount val="4"/>
                <c:pt idx="0">
                  <c:v>0</c:v>
                </c:pt>
                <c:pt idx="1">
                  <c:v>0</c:v>
                </c:pt>
                <c:pt idx="2">
                  <c:v>0</c:v>
                </c:pt>
                <c:pt idx="3">
                  <c:v>0</c:v>
                </c:pt>
              </c:numCache>
            </c:numRef>
          </c:val>
          <c:extLst>
            <c:ext xmlns:c16="http://schemas.microsoft.com/office/drawing/2014/chart" uri="{C3380CC4-5D6E-409C-BE32-E72D297353CC}">
              <c16:uniqueId val="{00000000-DB99-4F6A-B1E1-D6ED9EEDE9C6}"/>
            </c:ext>
          </c:extLst>
        </c:ser>
        <c:dLbls>
          <c:dLblPos val="ctr"/>
          <c:showLegendKey val="0"/>
          <c:showVal val="0"/>
          <c:showCatName val="0"/>
          <c:showSerName val="0"/>
          <c:showPercent val="1"/>
          <c:showBubbleSize val="0"/>
          <c:showLeaderLines val="0"/>
        </c:dLbls>
        <c:firstSliceAng val="0"/>
      </c:pieChart>
      <c:spPr>
        <a:noFill/>
        <a:ln>
          <a:noFill/>
        </a:ln>
        <a:effectLst>
          <a:softEdge rad="1041400"/>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solidFill>
            <a:schemeClr val="accent1"/>
          </a:solidFill>
          <a:effectLst/>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973821768044856"/>
          <c:y val="2.1718132513518649E-2"/>
          <c:w val="0.64499371414377304"/>
          <c:h val="0.88389139655384097"/>
        </c:manualLayout>
      </c:layout>
      <c:pieChart>
        <c:varyColors val="1"/>
        <c:ser>
          <c:idx val="0"/>
          <c:order val="0"/>
          <c:spPr>
            <a:ln>
              <a:noFill/>
            </a:ln>
            <a:effectLst/>
          </c:spPr>
          <c:dPt>
            <c:idx val="0"/>
            <c:bubble3D val="0"/>
            <c:spPr>
              <a:solidFill>
                <a:schemeClr val="accent1"/>
              </a:solidFill>
              <a:ln>
                <a:noFill/>
              </a:ln>
              <a:effectLst/>
            </c:spPr>
            <c:extLst>
              <c:ext xmlns:c16="http://schemas.microsoft.com/office/drawing/2014/chart" uri="{C3380CC4-5D6E-409C-BE32-E72D297353CC}">
                <c16:uniqueId val="{00000001-571A-4FEA-AE84-B157FA564A71}"/>
              </c:ext>
            </c:extLst>
          </c:dPt>
          <c:dPt>
            <c:idx val="1"/>
            <c:bubble3D val="0"/>
            <c:spPr>
              <a:solidFill>
                <a:schemeClr val="accent2"/>
              </a:solidFill>
              <a:ln>
                <a:noFill/>
              </a:ln>
              <a:effectLst/>
            </c:spPr>
            <c:extLst>
              <c:ext xmlns:c16="http://schemas.microsoft.com/office/drawing/2014/chart" uri="{C3380CC4-5D6E-409C-BE32-E72D297353CC}">
                <c16:uniqueId val="{00000003-571A-4FEA-AE84-B157FA564A71}"/>
              </c:ext>
            </c:extLst>
          </c:dPt>
          <c:dPt>
            <c:idx val="2"/>
            <c:bubble3D val="0"/>
            <c:spPr>
              <a:solidFill>
                <a:schemeClr val="accent3"/>
              </a:solidFill>
              <a:ln>
                <a:noFill/>
              </a:ln>
              <a:effectLst/>
            </c:spPr>
            <c:extLst>
              <c:ext xmlns:c16="http://schemas.microsoft.com/office/drawing/2014/chart" uri="{C3380CC4-5D6E-409C-BE32-E72D297353CC}">
                <c16:uniqueId val="{00000005-571A-4FEA-AE84-B157FA564A71}"/>
              </c:ext>
            </c:extLst>
          </c:dPt>
          <c:dPt>
            <c:idx val="3"/>
            <c:bubble3D val="0"/>
            <c:spPr>
              <a:solidFill>
                <a:schemeClr val="accent4"/>
              </a:solidFill>
              <a:ln>
                <a:noFill/>
              </a:ln>
              <a:effectLst/>
            </c:spPr>
            <c:extLst>
              <c:ext xmlns:c16="http://schemas.microsoft.com/office/drawing/2014/chart" uri="{C3380CC4-5D6E-409C-BE32-E72D297353CC}">
                <c16:uniqueId val="{00000007-571A-4FEA-AE84-B157FA564A71}"/>
              </c:ext>
            </c:extLst>
          </c:dPt>
          <c:dLbls>
            <c:numFmt formatCode="0.0%" sourceLinked="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effectLst/>
                    <a:latin typeface="+mn-lt"/>
                    <a:ea typeface="+mn-ea"/>
                    <a:cs typeface="+mn-cs"/>
                  </a:defRPr>
                </a:pPr>
                <a:endParaRPr lang="en-US"/>
              </a:p>
            </c:txPr>
            <c:dLblPos val="outEnd"/>
            <c:showLegendKey val="0"/>
            <c:showVal val="0"/>
            <c:showCatName val="0"/>
            <c:showSerName val="0"/>
            <c:showPercent val="1"/>
            <c:showBubbleSize val="0"/>
            <c:showLeaderLines val="0"/>
            <c:extLst>
              <c:ext xmlns:c15="http://schemas.microsoft.com/office/drawing/2012/chart" uri="{CE6537A1-D6FC-4f65-9D91-7224C49458BB}"/>
            </c:extLst>
          </c:dLbls>
          <c:cat>
            <c:strRef>
              <c:f>'Summary (by Institution Type)'!$P$10:$P$13</c:f>
              <c:strCache>
                <c:ptCount val="4"/>
                <c:pt idx="0">
                  <c:v>State of Texas</c:v>
                </c:pt>
                <c:pt idx="1">
                  <c:v>Student &amp; Parent</c:v>
                </c:pt>
                <c:pt idx="2">
                  <c:v>Federal </c:v>
                </c:pt>
                <c:pt idx="3">
                  <c:v>Institutional</c:v>
                </c:pt>
              </c:strCache>
            </c:strRef>
          </c:cat>
          <c:val>
            <c:numRef>
              <c:f>'Summary (by Institution Type)'!$W$10:$W$13</c:f>
              <c:numCache>
                <c:formatCode>#,##0</c:formatCode>
                <c:ptCount val="4"/>
                <c:pt idx="0">
                  <c:v>0</c:v>
                </c:pt>
                <c:pt idx="1">
                  <c:v>0</c:v>
                </c:pt>
                <c:pt idx="2">
                  <c:v>0</c:v>
                </c:pt>
                <c:pt idx="3">
                  <c:v>0</c:v>
                </c:pt>
              </c:numCache>
            </c:numRef>
          </c:val>
          <c:extLst>
            <c:ext xmlns:c16="http://schemas.microsoft.com/office/drawing/2014/chart" uri="{C3380CC4-5D6E-409C-BE32-E72D297353CC}">
              <c16:uniqueId val="{00000008-571A-4FEA-AE84-B157FA564A71}"/>
            </c:ext>
          </c:extLst>
        </c:ser>
        <c:dLbls>
          <c:dLblPos val="ctr"/>
          <c:showLegendKey val="0"/>
          <c:showVal val="0"/>
          <c:showCatName val="0"/>
          <c:showSerName val="0"/>
          <c:showPercent val="1"/>
          <c:showBubbleSize val="0"/>
          <c:showLeaderLines val="0"/>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solidFill>
            <a:schemeClr val="accent1"/>
          </a:solidFill>
          <a:effectLst/>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973821768044856"/>
          <c:y val="2.1718132513518649E-2"/>
          <c:w val="0.64499371414377304"/>
          <c:h val="0.88389139655384097"/>
        </c:manualLayout>
      </c:layout>
      <c:pieChart>
        <c:varyColors val="1"/>
        <c:ser>
          <c:idx val="0"/>
          <c:order val="0"/>
          <c:spPr>
            <a:ln>
              <a:noFill/>
            </a:ln>
            <a:effectLst/>
          </c:spPr>
          <c:dPt>
            <c:idx val="0"/>
            <c:bubble3D val="0"/>
            <c:spPr>
              <a:solidFill>
                <a:schemeClr val="accent1"/>
              </a:solidFill>
              <a:ln>
                <a:noFill/>
              </a:ln>
              <a:effectLst/>
            </c:spPr>
            <c:extLst>
              <c:ext xmlns:c16="http://schemas.microsoft.com/office/drawing/2014/chart" uri="{C3380CC4-5D6E-409C-BE32-E72D297353CC}">
                <c16:uniqueId val="{00000001-990F-40C8-879A-A8DBCC5113A5}"/>
              </c:ext>
            </c:extLst>
          </c:dPt>
          <c:dPt>
            <c:idx val="1"/>
            <c:bubble3D val="0"/>
            <c:spPr>
              <a:solidFill>
                <a:schemeClr val="accent2"/>
              </a:solidFill>
              <a:ln>
                <a:noFill/>
              </a:ln>
              <a:effectLst/>
            </c:spPr>
            <c:extLst>
              <c:ext xmlns:c16="http://schemas.microsoft.com/office/drawing/2014/chart" uri="{C3380CC4-5D6E-409C-BE32-E72D297353CC}">
                <c16:uniqueId val="{00000003-990F-40C8-879A-A8DBCC5113A5}"/>
              </c:ext>
            </c:extLst>
          </c:dPt>
          <c:dPt>
            <c:idx val="2"/>
            <c:bubble3D val="0"/>
            <c:spPr>
              <a:solidFill>
                <a:schemeClr val="accent3"/>
              </a:solidFill>
              <a:ln>
                <a:noFill/>
              </a:ln>
              <a:effectLst/>
            </c:spPr>
            <c:extLst>
              <c:ext xmlns:c16="http://schemas.microsoft.com/office/drawing/2014/chart" uri="{C3380CC4-5D6E-409C-BE32-E72D297353CC}">
                <c16:uniqueId val="{00000005-990F-40C8-879A-A8DBCC5113A5}"/>
              </c:ext>
            </c:extLst>
          </c:dPt>
          <c:dPt>
            <c:idx val="3"/>
            <c:bubble3D val="0"/>
            <c:spPr>
              <a:solidFill>
                <a:schemeClr val="accent4"/>
              </a:solidFill>
              <a:ln>
                <a:noFill/>
              </a:ln>
              <a:effectLst/>
            </c:spPr>
            <c:extLst>
              <c:ext xmlns:c16="http://schemas.microsoft.com/office/drawing/2014/chart" uri="{C3380CC4-5D6E-409C-BE32-E72D297353CC}">
                <c16:uniqueId val="{00000007-990F-40C8-879A-A8DBCC5113A5}"/>
              </c:ext>
            </c:extLst>
          </c:dPt>
          <c:dLbls>
            <c:numFmt formatCode="0.0%" sourceLinked="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effectLst/>
                    <a:latin typeface="+mn-lt"/>
                    <a:ea typeface="+mn-ea"/>
                    <a:cs typeface="+mn-cs"/>
                  </a:defRPr>
                </a:pPr>
                <a:endParaRPr lang="en-US"/>
              </a:p>
            </c:txPr>
            <c:dLblPos val="outEnd"/>
            <c:showLegendKey val="0"/>
            <c:showVal val="0"/>
            <c:showCatName val="0"/>
            <c:showSerName val="0"/>
            <c:showPercent val="1"/>
            <c:showBubbleSize val="0"/>
            <c:showLeaderLines val="0"/>
            <c:extLst>
              <c:ext xmlns:c15="http://schemas.microsoft.com/office/drawing/2012/chart" uri="{CE6537A1-D6FC-4f65-9D91-7224C49458BB}"/>
            </c:extLst>
          </c:dLbls>
          <c:cat>
            <c:strRef>
              <c:f>'Summary (by System)'!$P$10:$P$13</c:f>
              <c:strCache>
                <c:ptCount val="4"/>
                <c:pt idx="0">
                  <c:v>State of Texas</c:v>
                </c:pt>
                <c:pt idx="1">
                  <c:v>Student &amp; Parent</c:v>
                </c:pt>
                <c:pt idx="2">
                  <c:v>Federal </c:v>
                </c:pt>
                <c:pt idx="3">
                  <c:v>Institutional</c:v>
                </c:pt>
              </c:strCache>
            </c:strRef>
          </c:cat>
          <c:val>
            <c:numRef>
              <c:f>'Summary (by System)'!$W$10:$W$13</c:f>
              <c:numCache>
                <c:formatCode>#,##0</c:formatCode>
                <c:ptCount val="4"/>
                <c:pt idx="0">
                  <c:v>0</c:v>
                </c:pt>
                <c:pt idx="1">
                  <c:v>0</c:v>
                </c:pt>
                <c:pt idx="2">
                  <c:v>0</c:v>
                </c:pt>
                <c:pt idx="3">
                  <c:v>0</c:v>
                </c:pt>
              </c:numCache>
            </c:numRef>
          </c:val>
          <c:extLst>
            <c:ext xmlns:c16="http://schemas.microsoft.com/office/drawing/2014/chart" uri="{C3380CC4-5D6E-409C-BE32-E72D297353CC}">
              <c16:uniqueId val="{00000008-990F-40C8-879A-A8DBCC5113A5}"/>
            </c:ext>
          </c:extLst>
        </c:ser>
        <c:dLbls>
          <c:dLblPos val="ctr"/>
          <c:showLegendKey val="0"/>
          <c:showVal val="0"/>
          <c:showCatName val="0"/>
          <c:showSerName val="0"/>
          <c:showPercent val="1"/>
          <c:showBubbleSize val="0"/>
          <c:showLeaderLines val="0"/>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solidFill>
            <a:schemeClr val="accent1"/>
          </a:solidFill>
          <a:effectLst/>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Table of Contents'!A14"/></Relationships>
</file>

<file path=xl/drawings/_rels/drawing10.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Table of Contents'!A49"/></Relationships>
</file>

<file path=xl/drawings/_rels/drawing11.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Table of Contents'!A52"/></Relationships>
</file>

<file path=xl/drawings/_rels/drawing12.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Table of Contents'!A55"/></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Table of Contents'!A19"/><Relationship Id="rId1" Type="http://schemas.openxmlformats.org/officeDocument/2006/relationships/chart" Target="../charts/chart1.xml"/><Relationship Id="rId4" Type="http://schemas.openxmlformats.org/officeDocument/2006/relationships/image" Target="../media/image2.svg"/></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Table of Contents'!A22"/><Relationship Id="rId1" Type="http://schemas.openxmlformats.org/officeDocument/2006/relationships/chart" Target="../charts/chart2.xml"/><Relationship Id="rId4" Type="http://schemas.openxmlformats.org/officeDocument/2006/relationships/image" Target="../media/image2.svg"/></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Table of Contents'!A26"/><Relationship Id="rId1" Type="http://schemas.openxmlformats.org/officeDocument/2006/relationships/chart" Target="../charts/chart3.xml"/><Relationship Id="rId4" Type="http://schemas.openxmlformats.org/officeDocument/2006/relationships/image" Target="../media/image2.svg"/></Relationships>
</file>

<file path=xl/drawings/_rels/drawing5.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Table of Contents'!A30"/></Relationships>
</file>

<file path=xl/drawings/_rels/drawing6.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Table of Contents'!A37"/></Relationships>
</file>

<file path=xl/drawings/_rels/drawing7.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Table of Contents'!A39"/></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1.png"/><Relationship Id="rId1" Type="http://schemas.openxmlformats.org/officeDocument/2006/relationships/hyperlink" Target="#'Table of Contents'!A45"/></Relationships>
</file>

<file path=xl/drawings/_rels/drawing9.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Table of Contents'!A47"/></Relationships>
</file>

<file path=xl/drawings/drawing1.xml><?xml version="1.0" encoding="utf-8"?>
<xdr:wsDr xmlns:xdr="http://schemas.openxmlformats.org/drawingml/2006/spreadsheetDrawing" xmlns:a="http://schemas.openxmlformats.org/drawingml/2006/main">
  <xdr:twoCellAnchor editAs="oneCell">
    <xdr:from>
      <xdr:col>37</xdr:col>
      <xdr:colOff>272144</xdr:colOff>
      <xdr:row>0</xdr:row>
      <xdr:rowOff>119743</xdr:rowOff>
    </xdr:from>
    <xdr:to>
      <xdr:col>38</xdr:col>
      <xdr:colOff>163286</xdr:colOff>
      <xdr:row>1</xdr:row>
      <xdr:rowOff>41365</xdr:rowOff>
    </xdr:to>
    <xdr:pic>
      <xdr:nvPicPr>
        <xdr:cNvPr id="2" name="Graphic 1" descr="Back with solid fill">
          <a:hlinkClick xmlns:r="http://schemas.openxmlformats.org/officeDocument/2006/relationships" r:id="rId1"/>
          <a:extLst>
            <a:ext uri="{FF2B5EF4-FFF2-40B4-BE49-F238E27FC236}">
              <a16:creationId xmlns:a16="http://schemas.microsoft.com/office/drawing/2014/main" id="{6B9657CF-0F43-4A15-9ADE-5B388139B240}"/>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1912944" y="119743"/>
          <a:ext cx="489856" cy="49856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19</xdr:col>
      <xdr:colOff>886680</xdr:colOff>
      <xdr:row>0</xdr:row>
      <xdr:rowOff>124695</xdr:rowOff>
    </xdr:from>
    <xdr:to>
      <xdr:col>19</xdr:col>
      <xdr:colOff>1376536</xdr:colOff>
      <xdr:row>0</xdr:row>
      <xdr:rowOff>614551</xdr:rowOff>
    </xdr:to>
    <xdr:pic>
      <xdr:nvPicPr>
        <xdr:cNvPr id="2" name="Graphic 1" descr="Back with solid fill">
          <a:hlinkClick xmlns:r="http://schemas.openxmlformats.org/officeDocument/2006/relationships" r:id="rId1"/>
          <a:extLst>
            <a:ext uri="{FF2B5EF4-FFF2-40B4-BE49-F238E27FC236}">
              <a16:creationId xmlns:a16="http://schemas.microsoft.com/office/drawing/2014/main" id="{E583001F-7480-41CC-9185-5578B866989D}"/>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6822389" y="124695"/>
          <a:ext cx="489856" cy="48985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23</xdr:col>
      <xdr:colOff>370114</xdr:colOff>
      <xdr:row>0</xdr:row>
      <xdr:rowOff>32657</xdr:rowOff>
    </xdr:from>
    <xdr:to>
      <xdr:col>24</xdr:col>
      <xdr:colOff>258695</xdr:colOff>
      <xdr:row>0</xdr:row>
      <xdr:rowOff>522513</xdr:rowOff>
    </xdr:to>
    <xdr:pic>
      <xdr:nvPicPr>
        <xdr:cNvPr id="2" name="Graphic 1" descr="Back with solid fill">
          <a:hlinkClick xmlns:r="http://schemas.openxmlformats.org/officeDocument/2006/relationships" r:id="rId1"/>
          <a:extLst>
            <a:ext uri="{FF2B5EF4-FFF2-40B4-BE49-F238E27FC236}">
              <a16:creationId xmlns:a16="http://schemas.microsoft.com/office/drawing/2014/main" id="{2E21E146-2E30-464C-AF60-99C7C89993F9}"/>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2137571" y="32657"/>
          <a:ext cx="489856" cy="48985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10</xdr:col>
      <xdr:colOff>32658</xdr:colOff>
      <xdr:row>0</xdr:row>
      <xdr:rowOff>119746</xdr:rowOff>
    </xdr:from>
    <xdr:to>
      <xdr:col>10</xdr:col>
      <xdr:colOff>544285</xdr:colOff>
      <xdr:row>0</xdr:row>
      <xdr:rowOff>609602</xdr:rowOff>
    </xdr:to>
    <xdr:pic>
      <xdr:nvPicPr>
        <xdr:cNvPr id="2" name="Graphic 1" descr="Back with solid fill">
          <a:hlinkClick xmlns:r="http://schemas.openxmlformats.org/officeDocument/2006/relationships" r:id="rId1"/>
          <a:extLst>
            <a:ext uri="{FF2B5EF4-FFF2-40B4-BE49-F238E27FC236}">
              <a16:creationId xmlns:a16="http://schemas.microsoft.com/office/drawing/2014/main" id="{A52E667C-C2FB-4C5A-BBA1-D928F7E3D09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7819915" y="119746"/>
          <a:ext cx="489856" cy="48985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30</xdr:col>
      <xdr:colOff>245474</xdr:colOff>
      <xdr:row>7</xdr:row>
      <xdr:rowOff>108857</xdr:rowOff>
    </xdr:from>
    <xdr:to>
      <xdr:col>39</xdr:col>
      <xdr:colOff>250373</xdr:colOff>
      <xdr:row>17</xdr:row>
      <xdr:rowOff>261257</xdr:rowOff>
    </xdr:to>
    <xdr:graphicFrame macro="">
      <xdr:nvGraphicFramePr>
        <xdr:cNvPr id="4" name="Chart 3">
          <a:extLst>
            <a:ext uri="{FF2B5EF4-FFF2-40B4-BE49-F238E27FC236}">
              <a16:creationId xmlns:a16="http://schemas.microsoft.com/office/drawing/2014/main" id="{B5ED4E36-D935-9F32-3302-0D5796D2DA2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72066</xdr:colOff>
      <xdr:row>9</xdr:row>
      <xdr:rowOff>68470</xdr:rowOff>
    </xdr:from>
    <xdr:to>
      <xdr:col>15</xdr:col>
      <xdr:colOff>262566</xdr:colOff>
      <xdr:row>9</xdr:row>
      <xdr:rowOff>257065</xdr:rowOff>
    </xdr:to>
    <xdr:sp macro="" textlink="">
      <xdr:nvSpPr>
        <xdr:cNvPr id="6" name="Rectangle 5">
          <a:extLst>
            <a:ext uri="{FF2B5EF4-FFF2-40B4-BE49-F238E27FC236}">
              <a16:creationId xmlns:a16="http://schemas.microsoft.com/office/drawing/2014/main" id="{00AA525A-41B9-FEFA-1BA7-70B0B05665FF}"/>
            </a:ext>
          </a:extLst>
        </xdr:cNvPr>
        <xdr:cNvSpPr/>
      </xdr:nvSpPr>
      <xdr:spPr>
        <a:xfrm>
          <a:off x="7854857" y="3216915"/>
          <a:ext cx="190500" cy="188595"/>
        </a:xfrm>
        <a:prstGeom prst="rect">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15</xdr:col>
      <xdr:colOff>68256</xdr:colOff>
      <xdr:row>10</xdr:row>
      <xdr:rowOff>72518</xdr:rowOff>
    </xdr:from>
    <xdr:to>
      <xdr:col>15</xdr:col>
      <xdr:colOff>258756</xdr:colOff>
      <xdr:row>10</xdr:row>
      <xdr:rowOff>261113</xdr:rowOff>
    </xdr:to>
    <xdr:sp macro="" textlink="">
      <xdr:nvSpPr>
        <xdr:cNvPr id="7" name="Rectangle 6">
          <a:extLst>
            <a:ext uri="{FF2B5EF4-FFF2-40B4-BE49-F238E27FC236}">
              <a16:creationId xmlns:a16="http://schemas.microsoft.com/office/drawing/2014/main" id="{37E88CAF-6D5D-4D96-A10D-DC3D47F07706}"/>
            </a:ext>
          </a:extLst>
        </xdr:cNvPr>
        <xdr:cNvSpPr/>
      </xdr:nvSpPr>
      <xdr:spPr>
        <a:xfrm>
          <a:off x="7851047" y="3563863"/>
          <a:ext cx="190500" cy="188595"/>
        </a:xfrm>
        <a:prstGeom prst="rect">
          <a:avLst/>
        </a:prstGeom>
        <a:solidFill>
          <a:schemeClr val="accent2"/>
        </a:solidFill>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15</xdr:col>
      <xdr:colOff>72378</xdr:colOff>
      <xdr:row>11</xdr:row>
      <xdr:rowOff>57645</xdr:rowOff>
    </xdr:from>
    <xdr:to>
      <xdr:col>15</xdr:col>
      <xdr:colOff>262878</xdr:colOff>
      <xdr:row>11</xdr:row>
      <xdr:rowOff>244335</xdr:rowOff>
    </xdr:to>
    <xdr:sp macro="" textlink="">
      <xdr:nvSpPr>
        <xdr:cNvPr id="8" name="Rectangle 7">
          <a:extLst>
            <a:ext uri="{FF2B5EF4-FFF2-40B4-BE49-F238E27FC236}">
              <a16:creationId xmlns:a16="http://schemas.microsoft.com/office/drawing/2014/main" id="{144DE837-1519-4ACF-88ED-2401DD0640A7}"/>
            </a:ext>
          </a:extLst>
        </xdr:cNvPr>
        <xdr:cNvSpPr/>
      </xdr:nvSpPr>
      <xdr:spPr>
        <a:xfrm>
          <a:off x="7855169" y="3891890"/>
          <a:ext cx="190500" cy="186690"/>
        </a:xfrm>
        <a:prstGeom prst="rect">
          <a:avLst/>
        </a:prstGeom>
        <a:solidFill>
          <a:schemeClr val="accent3"/>
        </a:solidFill>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15</xdr:col>
      <xdr:colOff>61241</xdr:colOff>
      <xdr:row>12</xdr:row>
      <xdr:rowOff>58595</xdr:rowOff>
    </xdr:from>
    <xdr:to>
      <xdr:col>15</xdr:col>
      <xdr:colOff>251741</xdr:colOff>
      <xdr:row>12</xdr:row>
      <xdr:rowOff>254810</xdr:rowOff>
    </xdr:to>
    <xdr:sp macro="" textlink="">
      <xdr:nvSpPr>
        <xdr:cNvPr id="10" name="Rectangle 9">
          <a:extLst>
            <a:ext uri="{FF2B5EF4-FFF2-40B4-BE49-F238E27FC236}">
              <a16:creationId xmlns:a16="http://schemas.microsoft.com/office/drawing/2014/main" id="{E97B948D-631C-492D-950F-96FB775C0E7C}"/>
            </a:ext>
          </a:extLst>
        </xdr:cNvPr>
        <xdr:cNvSpPr/>
      </xdr:nvSpPr>
      <xdr:spPr>
        <a:xfrm>
          <a:off x="7844032" y="4235740"/>
          <a:ext cx="190500" cy="196215"/>
        </a:xfrm>
        <a:prstGeom prst="rect">
          <a:avLst/>
        </a:prstGeom>
        <a:solidFill>
          <a:schemeClr val="accent4"/>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n-US" sz="1100"/>
        </a:p>
      </xdr:txBody>
    </xdr:sp>
    <xdr:clientData/>
  </xdr:twoCellAnchor>
  <xdr:twoCellAnchor>
    <xdr:from>
      <xdr:col>29</xdr:col>
      <xdr:colOff>92221</xdr:colOff>
      <xdr:row>27</xdr:row>
      <xdr:rowOff>75121</xdr:rowOff>
    </xdr:from>
    <xdr:to>
      <xdr:col>29</xdr:col>
      <xdr:colOff>280816</xdr:colOff>
      <xdr:row>27</xdr:row>
      <xdr:rowOff>225139</xdr:rowOff>
    </xdr:to>
    <xdr:sp macro="" textlink="">
      <xdr:nvSpPr>
        <xdr:cNvPr id="11" name="Rectangle 10">
          <a:extLst>
            <a:ext uri="{FF2B5EF4-FFF2-40B4-BE49-F238E27FC236}">
              <a16:creationId xmlns:a16="http://schemas.microsoft.com/office/drawing/2014/main" id="{AE897892-C573-4663-8F3B-CABEE85A2710}"/>
            </a:ext>
          </a:extLst>
        </xdr:cNvPr>
        <xdr:cNvSpPr/>
      </xdr:nvSpPr>
      <xdr:spPr>
        <a:xfrm>
          <a:off x="15020494" y="9395766"/>
          <a:ext cx="188595" cy="150018"/>
        </a:xfrm>
        <a:prstGeom prst="rect">
          <a:avLst/>
        </a:prstGeom>
        <a:solidFill>
          <a:schemeClr val="accent1"/>
        </a:solidFill>
        <a:ln>
          <a:noFill/>
        </a:ln>
      </xdr:spPr>
      <xdr:style>
        <a:lnRef idx="3">
          <a:schemeClr val="lt1"/>
        </a:lnRef>
        <a:fillRef idx="1">
          <a:schemeClr val="accent2"/>
        </a:fillRef>
        <a:effectRef idx="1">
          <a:schemeClr val="accent2"/>
        </a:effectRef>
        <a:fontRef idx="minor">
          <a:schemeClr val="lt1"/>
        </a:fontRef>
      </xdr:style>
      <xdr:txBody>
        <a:bodyPr vertOverflow="clip" horzOverflow="clip" rtlCol="0" anchor="t"/>
        <a:lstStyle/>
        <a:p>
          <a:pPr algn="l"/>
          <a:endParaRPr lang="en-US" sz="1100"/>
        </a:p>
      </xdr:txBody>
    </xdr:sp>
    <xdr:clientData/>
  </xdr:twoCellAnchor>
  <xdr:twoCellAnchor>
    <xdr:from>
      <xdr:col>29</xdr:col>
      <xdr:colOff>89840</xdr:colOff>
      <xdr:row>28</xdr:row>
      <xdr:rowOff>75121</xdr:rowOff>
    </xdr:from>
    <xdr:to>
      <xdr:col>29</xdr:col>
      <xdr:colOff>276530</xdr:colOff>
      <xdr:row>28</xdr:row>
      <xdr:rowOff>225139</xdr:rowOff>
    </xdr:to>
    <xdr:sp macro="" textlink="">
      <xdr:nvSpPr>
        <xdr:cNvPr id="18" name="Rectangle 17">
          <a:extLst>
            <a:ext uri="{FF2B5EF4-FFF2-40B4-BE49-F238E27FC236}">
              <a16:creationId xmlns:a16="http://schemas.microsoft.com/office/drawing/2014/main" id="{8CBCDEC5-0ABD-4852-90E2-4CBBCE45F99E}"/>
            </a:ext>
          </a:extLst>
        </xdr:cNvPr>
        <xdr:cNvSpPr/>
      </xdr:nvSpPr>
      <xdr:spPr>
        <a:xfrm>
          <a:off x="15018113" y="9738666"/>
          <a:ext cx="186690" cy="150018"/>
        </a:xfrm>
        <a:prstGeom prst="rect">
          <a:avLst/>
        </a:prstGeom>
        <a:solidFill>
          <a:schemeClr val="accent2"/>
        </a:solidFill>
        <a:ln>
          <a:noFill/>
        </a:ln>
      </xdr:spPr>
      <xdr:style>
        <a:lnRef idx="3">
          <a:schemeClr val="lt1"/>
        </a:lnRef>
        <a:fillRef idx="1">
          <a:schemeClr val="accent3"/>
        </a:fillRef>
        <a:effectRef idx="1">
          <a:schemeClr val="accent3"/>
        </a:effectRef>
        <a:fontRef idx="minor">
          <a:schemeClr val="lt1"/>
        </a:fontRef>
      </xdr:style>
      <xdr:txBody>
        <a:bodyPr vertOverflow="clip" horzOverflow="clip" rtlCol="0" anchor="t"/>
        <a:lstStyle/>
        <a:p>
          <a:pPr algn="l"/>
          <a:endParaRPr lang="en-US" sz="1100"/>
        </a:p>
      </xdr:txBody>
    </xdr:sp>
    <xdr:clientData/>
  </xdr:twoCellAnchor>
  <xdr:twoCellAnchor>
    <xdr:from>
      <xdr:col>29</xdr:col>
      <xdr:colOff>89840</xdr:colOff>
      <xdr:row>29</xdr:row>
      <xdr:rowOff>82265</xdr:rowOff>
    </xdr:from>
    <xdr:to>
      <xdr:col>29</xdr:col>
      <xdr:colOff>276530</xdr:colOff>
      <xdr:row>29</xdr:row>
      <xdr:rowOff>232283</xdr:rowOff>
    </xdr:to>
    <xdr:sp macro="" textlink="">
      <xdr:nvSpPr>
        <xdr:cNvPr id="19" name="Rectangle 18">
          <a:extLst>
            <a:ext uri="{FF2B5EF4-FFF2-40B4-BE49-F238E27FC236}">
              <a16:creationId xmlns:a16="http://schemas.microsoft.com/office/drawing/2014/main" id="{87FF5805-2EEF-4FD5-B374-C1DF0B323EC5}"/>
            </a:ext>
          </a:extLst>
        </xdr:cNvPr>
        <xdr:cNvSpPr/>
      </xdr:nvSpPr>
      <xdr:spPr>
        <a:xfrm>
          <a:off x="15042625" y="10169973"/>
          <a:ext cx="186690" cy="150018"/>
        </a:xfrm>
        <a:prstGeom prst="rect">
          <a:avLst/>
        </a:prstGeom>
        <a:solidFill>
          <a:schemeClr val="accent3"/>
        </a:solidFill>
        <a:ln>
          <a:noFill/>
        </a:ln>
      </xdr:spPr>
      <xdr:style>
        <a:lnRef idx="3">
          <a:schemeClr val="lt1"/>
        </a:lnRef>
        <a:fillRef idx="1">
          <a:schemeClr val="accent2"/>
        </a:fillRef>
        <a:effectRef idx="1">
          <a:schemeClr val="accent2"/>
        </a:effectRef>
        <a:fontRef idx="minor">
          <a:schemeClr val="lt1"/>
        </a:fontRef>
      </xdr:style>
      <xdr:txBody>
        <a:bodyPr vertOverflow="clip" horzOverflow="clip" rtlCol="0" anchor="t"/>
        <a:lstStyle/>
        <a:p>
          <a:pPr algn="l"/>
          <a:endParaRPr lang="en-US" sz="1100"/>
        </a:p>
      </xdr:txBody>
    </xdr:sp>
    <xdr:clientData/>
  </xdr:twoCellAnchor>
  <xdr:twoCellAnchor>
    <xdr:from>
      <xdr:col>29</xdr:col>
      <xdr:colOff>90316</xdr:colOff>
      <xdr:row>30</xdr:row>
      <xdr:rowOff>77026</xdr:rowOff>
    </xdr:from>
    <xdr:to>
      <xdr:col>29</xdr:col>
      <xdr:colOff>277006</xdr:colOff>
      <xdr:row>30</xdr:row>
      <xdr:rowOff>227044</xdr:rowOff>
    </xdr:to>
    <xdr:sp macro="" textlink="">
      <xdr:nvSpPr>
        <xdr:cNvPr id="20" name="Rectangle 19">
          <a:extLst>
            <a:ext uri="{FF2B5EF4-FFF2-40B4-BE49-F238E27FC236}">
              <a16:creationId xmlns:a16="http://schemas.microsoft.com/office/drawing/2014/main" id="{4026F303-32A9-421C-9FF4-82AF8EE9BB5C}"/>
            </a:ext>
          </a:extLst>
        </xdr:cNvPr>
        <xdr:cNvSpPr/>
      </xdr:nvSpPr>
      <xdr:spPr>
        <a:xfrm>
          <a:off x="15043101" y="10510564"/>
          <a:ext cx="186690" cy="150018"/>
        </a:xfrm>
        <a:prstGeom prst="rect">
          <a:avLst/>
        </a:prstGeom>
        <a:solidFill>
          <a:schemeClr val="accent4"/>
        </a:solidFill>
        <a:ln>
          <a:noFill/>
        </a:ln>
      </xdr:spPr>
      <xdr:style>
        <a:lnRef idx="3">
          <a:schemeClr val="lt1"/>
        </a:lnRef>
        <a:fillRef idx="1">
          <a:schemeClr val="accent2"/>
        </a:fillRef>
        <a:effectRef idx="1">
          <a:schemeClr val="accent2"/>
        </a:effectRef>
        <a:fontRef idx="minor">
          <a:schemeClr val="lt1"/>
        </a:fontRef>
      </xdr:style>
      <xdr:txBody>
        <a:bodyPr vertOverflow="clip" horzOverflow="clip" rtlCol="0" anchor="t"/>
        <a:lstStyle/>
        <a:p>
          <a:pPr algn="l"/>
          <a:endParaRPr lang="en-US" sz="1100"/>
        </a:p>
      </xdr:txBody>
    </xdr:sp>
    <xdr:clientData/>
  </xdr:twoCellAnchor>
  <xdr:twoCellAnchor>
    <xdr:from>
      <xdr:col>29</xdr:col>
      <xdr:colOff>90792</xdr:colOff>
      <xdr:row>31</xdr:row>
      <xdr:rowOff>81312</xdr:rowOff>
    </xdr:from>
    <xdr:to>
      <xdr:col>29</xdr:col>
      <xdr:colOff>277482</xdr:colOff>
      <xdr:row>31</xdr:row>
      <xdr:rowOff>227520</xdr:rowOff>
    </xdr:to>
    <xdr:sp macro="" textlink="">
      <xdr:nvSpPr>
        <xdr:cNvPr id="22" name="Rectangle 21">
          <a:extLst>
            <a:ext uri="{FF2B5EF4-FFF2-40B4-BE49-F238E27FC236}">
              <a16:creationId xmlns:a16="http://schemas.microsoft.com/office/drawing/2014/main" id="{4546ADB0-4581-4FF1-A7A3-31E6D88BC637}"/>
            </a:ext>
          </a:extLst>
        </xdr:cNvPr>
        <xdr:cNvSpPr/>
      </xdr:nvSpPr>
      <xdr:spPr>
        <a:xfrm>
          <a:off x="15043577" y="10860681"/>
          <a:ext cx="186690" cy="146208"/>
        </a:xfrm>
        <a:prstGeom prst="rect">
          <a:avLst/>
        </a:prstGeom>
        <a:solidFill>
          <a:schemeClr val="accent5"/>
        </a:solidFill>
        <a:ln>
          <a:noFill/>
        </a:ln>
      </xdr:spPr>
      <xdr:style>
        <a:lnRef idx="3">
          <a:schemeClr val="lt1"/>
        </a:lnRef>
        <a:fillRef idx="1">
          <a:schemeClr val="accent2"/>
        </a:fillRef>
        <a:effectRef idx="1">
          <a:schemeClr val="accent2"/>
        </a:effectRef>
        <a:fontRef idx="minor">
          <a:schemeClr val="lt1"/>
        </a:fontRef>
      </xdr:style>
      <xdr:txBody>
        <a:bodyPr vertOverflow="clip" horzOverflow="clip" rtlCol="0" anchor="t"/>
        <a:lstStyle/>
        <a:p>
          <a:pPr algn="l"/>
          <a:endParaRPr lang="en-US" sz="1100"/>
        </a:p>
      </xdr:txBody>
    </xdr:sp>
    <xdr:clientData/>
  </xdr:twoCellAnchor>
  <xdr:twoCellAnchor>
    <xdr:from>
      <xdr:col>29</xdr:col>
      <xdr:colOff>83048</xdr:colOff>
      <xdr:row>70</xdr:row>
      <xdr:rowOff>88168</xdr:rowOff>
    </xdr:from>
    <xdr:to>
      <xdr:col>29</xdr:col>
      <xdr:colOff>271643</xdr:colOff>
      <xdr:row>70</xdr:row>
      <xdr:rowOff>236281</xdr:rowOff>
    </xdr:to>
    <xdr:sp macro="" textlink="">
      <xdr:nvSpPr>
        <xdr:cNvPr id="24" name="Rectangle 23">
          <a:extLst>
            <a:ext uri="{FF2B5EF4-FFF2-40B4-BE49-F238E27FC236}">
              <a16:creationId xmlns:a16="http://schemas.microsoft.com/office/drawing/2014/main" id="{C48C8D83-FB30-4F74-9B60-787ED667E511}"/>
            </a:ext>
          </a:extLst>
        </xdr:cNvPr>
        <xdr:cNvSpPr/>
      </xdr:nvSpPr>
      <xdr:spPr>
        <a:xfrm>
          <a:off x="15033488" y="24152128"/>
          <a:ext cx="188595" cy="148113"/>
        </a:xfrm>
        <a:prstGeom prst="rect">
          <a:avLst/>
        </a:prstGeom>
        <a:solidFill>
          <a:schemeClr val="accent1"/>
        </a:solidFill>
        <a:ln>
          <a:noFill/>
        </a:ln>
      </xdr:spPr>
      <xdr:style>
        <a:lnRef idx="3">
          <a:schemeClr val="lt1"/>
        </a:lnRef>
        <a:fillRef idx="1">
          <a:schemeClr val="accent2"/>
        </a:fillRef>
        <a:effectRef idx="1">
          <a:schemeClr val="accent2"/>
        </a:effectRef>
        <a:fontRef idx="minor">
          <a:schemeClr val="lt1"/>
        </a:fontRef>
      </xdr:style>
      <xdr:txBody>
        <a:bodyPr vertOverflow="clip" horzOverflow="clip" rtlCol="0" anchor="t"/>
        <a:lstStyle/>
        <a:p>
          <a:pPr algn="l"/>
          <a:endParaRPr lang="en-US" sz="1100"/>
        </a:p>
      </xdr:txBody>
    </xdr:sp>
    <xdr:clientData/>
  </xdr:twoCellAnchor>
  <xdr:twoCellAnchor>
    <xdr:from>
      <xdr:col>29</xdr:col>
      <xdr:colOff>83715</xdr:colOff>
      <xdr:row>71</xdr:row>
      <xdr:rowOff>53498</xdr:rowOff>
    </xdr:from>
    <xdr:to>
      <xdr:col>29</xdr:col>
      <xdr:colOff>270405</xdr:colOff>
      <xdr:row>71</xdr:row>
      <xdr:rowOff>201992</xdr:rowOff>
    </xdr:to>
    <xdr:sp macro="" textlink="">
      <xdr:nvSpPr>
        <xdr:cNvPr id="25" name="Rectangle 24">
          <a:extLst>
            <a:ext uri="{FF2B5EF4-FFF2-40B4-BE49-F238E27FC236}">
              <a16:creationId xmlns:a16="http://schemas.microsoft.com/office/drawing/2014/main" id="{E0707DC7-21B1-4A4E-8529-74CA90B79FD5}"/>
            </a:ext>
          </a:extLst>
        </xdr:cNvPr>
        <xdr:cNvSpPr/>
      </xdr:nvSpPr>
      <xdr:spPr>
        <a:xfrm>
          <a:off x="15034155" y="24460358"/>
          <a:ext cx="186690" cy="148494"/>
        </a:xfrm>
        <a:prstGeom prst="rect">
          <a:avLst/>
        </a:prstGeom>
        <a:solidFill>
          <a:schemeClr val="accent2"/>
        </a:solidFill>
        <a:ln>
          <a:noFill/>
        </a:ln>
      </xdr:spPr>
      <xdr:style>
        <a:lnRef idx="3">
          <a:schemeClr val="lt1"/>
        </a:lnRef>
        <a:fillRef idx="1">
          <a:schemeClr val="accent3"/>
        </a:fillRef>
        <a:effectRef idx="1">
          <a:schemeClr val="accent3"/>
        </a:effectRef>
        <a:fontRef idx="minor">
          <a:schemeClr val="lt1"/>
        </a:fontRef>
      </xdr:style>
      <xdr:txBody>
        <a:bodyPr vertOverflow="clip" horzOverflow="clip" rtlCol="0" anchor="t"/>
        <a:lstStyle/>
        <a:p>
          <a:pPr algn="l"/>
          <a:endParaRPr lang="en-US" sz="1100"/>
        </a:p>
      </xdr:txBody>
    </xdr:sp>
    <xdr:clientData/>
  </xdr:twoCellAnchor>
  <xdr:twoCellAnchor>
    <xdr:from>
      <xdr:col>29</xdr:col>
      <xdr:colOff>84858</xdr:colOff>
      <xdr:row>72</xdr:row>
      <xdr:rowOff>93407</xdr:rowOff>
    </xdr:from>
    <xdr:to>
      <xdr:col>29</xdr:col>
      <xdr:colOff>271548</xdr:colOff>
      <xdr:row>72</xdr:row>
      <xdr:rowOff>243425</xdr:rowOff>
    </xdr:to>
    <xdr:sp macro="" textlink="">
      <xdr:nvSpPr>
        <xdr:cNvPr id="26" name="Rectangle 25">
          <a:extLst>
            <a:ext uri="{FF2B5EF4-FFF2-40B4-BE49-F238E27FC236}">
              <a16:creationId xmlns:a16="http://schemas.microsoft.com/office/drawing/2014/main" id="{EB341288-941F-4739-9413-9EEB309D3803}"/>
            </a:ext>
          </a:extLst>
        </xdr:cNvPr>
        <xdr:cNvSpPr/>
      </xdr:nvSpPr>
      <xdr:spPr>
        <a:xfrm>
          <a:off x="15035298" y="24843167"/>
          <a:ext cx="186690" cy="150018"/>
        </a:xfrm>
        <a:prstGeom prst="rect">
          <a:avLst/>
        </a:prstGeom>
        <a:solidFill>
          <a:schemeClr val="accent3"/>
        </a:solidFill>
        <a:ln>
          <a:noFill/>
        </a:ln>
      </xdr:spPr>
      <xdr:style>
        <a:lnRef idx="3">
          <a:schemeClr val="lt1"/>
        </a:lnRef>
        <a:fillRef idx="1">
          <a:schemeClr val="accent2"/>
        </a:fillRef>
        <a:effectRef idx="1">
          <a:schemeClr val="accent2"/>
        </a:effectRef>
        <a:fontRef idx="minor">
          <a:schemeClr val="lt1"/>
        </a:fontRef>
      </xdr:style>
      <xdr:txBody>
        <a:bodyPr vertOverflow="clip" horzOverflow="clip" rtlCol="0" anchor="t"/>
        <a:lstStyle/>
        <a:p>
          <a:pPr algn="l"/>
          <a:endParaRPr lang="en-US" sz="1100"/>
        </a:p>
      </xdr:txBody>
    </xdr:sp>
    <xdr:clientData/>
  </xdr:twoCellAnchor>
  <xdr:twoCellAnchor>
    <xdr:from>
      <xdr:col>29</xdr:col>
      <xdr:colOff>84191</xdr:colOff>
      <xdr:row>73</xdr:row>
      <xdr:rowOff>81311</xdr:rowOff>
    </xdr:from>
    <xdr:to>
      <xdr:col>29</xdr:col>
      <xdr:colOff>270881</xdr:colOff>
      <xdr:row>73</xdr:row>
      <xdr:rowOff>225995</xdr:rowOff>
    </xdr:to>
    <xdr:sp macro="" textlink="">
      <xdr:nvSpPr>
        <xdr:cNvPr id="27" name="Rectangle 26">
          <a:extLst>
            <a:ext uri="{FF2B5EF4-FFF2-40B4-BE49-F238E27FC236}">
              <a16:creationId xmlns:a16="http://schemas.microsoft.com/office/drawing/2014/main" id="{7C9FAF17-9E57-4405-9530-8DB0B2630B8A}"/>
            </a:ext>
          </a:extLst>
        </xdr:cNvPr>
        <xdr:cNvSpPr/>
      </xdr:nvSpPr>
      <xdr:spPr>
        <a:xfrm>
          <a:off x="15034631" y="25173971"/>
          <a:ext cx="186690" cy="144684"/>
        </a:xfrm>
        <a:prstGeom prst="rect">
          <a:avLst/>
        </a:prstGeom>
        <a:solidFill>
          <a:schemeClr val="accent4"/>
        </a:solidFill>
        <a:ln>
          <a:noFill/>
        </a:ln>
      </xdr:spPr>
      <xdr:style>
        <a:lnRef idx="3">
          <a:schemeClr val="lt1"/>
        </a:lnRef>
        <a:fillRef idx="1">
          <a:schemeClr val="accent2"/>
        </a:fillRef>
        <a:effectRef idx="1">
          <a:schemeClr val="accent2"/>
        </a:effectRef>
        <a:fontRef idx="minor">
          <a:schemeClr val="lt1"/>
        </a:fontRef>
      </xdr:style>
      <xdr:txBody>
        <a:bodyPr vertOverflow="clip" horzOverflow="clip" rtlCol="0" anchor="t"/>
        <a:lstStyle/>
        <a:p>
          <a:pPr algn="l"/>
          <a:endParaRPr lang="en-US" sz="1100"/>
        </a:p>
      </xdr:txBody>
    </xdr:sp>
    <xdr:clientData/>
  </xdr:twoCellAnchor>
  <xdr:twoCellAnchor>
    <xdr:from>
      <xdr:col>29</xdr:col>
      <xdr:colOff>85516</xdr:colOff>
      <xdr:row>74</xdr:row>
      <xdr:rowOff>74040</xdr:rowOff>
    </xdr:from>
    <xdr:to>
      <xdr:col>29</xdr:col>
      <xdr:colOff>268668</xdr:colOff>
      <xdr:row>74</xdr:row>
      <xdr:rowOff>220685</xdr:rowOff>
    </xdr:to>
    <xdr:sp macro="" textlink="">
      <xdr:nvSpPr>
        <xdr:cNvPr id="28" name="Rectangle 27">
          <a:extLst>
            <a:ext uri="{FF2B5EF4-FFF2-40B4-BE49-F238E27FC236}">
              <a16:creationId xmlns:a16="http://schemas.microsoft.com/office/drawing/2014/main" id="{B4D1D430-A7A1-422C-BE53-1F5F03845B6C}"/>
            </a:ext>
          </a:extLst>
        </xdr:cNvPr>
        <xdr:cNvSpPr/>
      </xdr:nvSpPr>
      <xdr:spPr>
        <a:xfrm>
          <a:off x="15035956" y="25509600"/>
          <a:ext cx="183152" cy="146645"/>
        </a:xfrm>
        <a:prstGeom prst="rect">
          <a:avLst/>
        </a:prstGeom>
        <a:solidFill>
          <a:schemeClr val="accent5"/>
        </a:solidFill>
        <a:ln>
          <a:noFill/>
        </a:ln>
      </xdr:spPr>
      <xdr:style>
        <a:lnRef idx="3">
          <a:schemeClr val="lt1"/>
        </a:lnRef>
        <a:fillRef idx="1">
          <a:schemeClr val="accent2"/>
        </a:fillRef>
        <a:effectRef idx="1">
          <a:schemeClr val="accent2"/>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28</xdr:col>
      <xdr:colOff>76202</xdr:colOff>
      <xdr:row>0</xdr:row>
      <xdr:rowOff>65316</xdr:rowOff>
    </xdr:from>
    <xdr:to>
      <xdr:col>28</xdr:col>
      <xdr:colOff>566058</xdr:colOff>
      <xdr:row>0</xdr:row>
      <xdr:rowOff>560912</xdr:rowOff>
    </xdr:to>
    <xdr:pic>
      <xdr:nvPicPr>
        <xdr:cNvPr id="2" name="Graphic 1" descr="Back with solid fill">
          <a:hlinkClick xmlns:r="http://schemas.openxmlformats.org/officeDocument/2006/relationships" r:id="rId2"/>
          <a:extLst>
            <a:ext uri="{FF2B5EF4-FFF2-40B4-BE49-F238E27FC236}">
              <a16:creationId xmlns:a16="http://schemas.microsoft.com/office/drawing/2014/main" id="{E182B8C1-EFB5-4A5B-9D70-D88E3945900B}"/>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13454745" y="65316"/>
          <a:ext cx="489856" cy="4985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15</xdr:col>
      <xdr:colOff>343443</xdr:colOff>
      <xdr:row>15</xdr:row>
      <xdr:rowOff>21768</xdr:rowOff>
    </xdr:from>
    <xdr:to>
      <xdr:col>24</xdr:col>
      <xdr:colOff>348341</xdr:colOff>
      <xdr:row>24</xdr:row>
      <xdr:rowOff>250370</xdr:rowOff>
    </xdr:to>
    <xdr:graphicFrame macro="">
      <xdr:nvGraphicFramePr>
        <xdr:cNvPr id="2" name="Chart 1">
          <a:extLst>
            <a:ext uri="{FF2B5EF4-FFF2-40B4-BE49-F238E27FC236}">
              <a16:creationId xmlns:a16="http://schemas.microsoft.com/office/drawing/2014/main" id="{A945470F-4343-4136-9E6E-9D33CD77D6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72066</xdr:colOff>
      <xdr:row>9</xdr:row>
      <xdr:rowOff>68470</xdr:rowOff>
    </xdr:from>
    <xdr:to>
      <xdr:col>15</xdr:col>
      <xdr:colOff>262566</xdr:colOff>
      <xdr:row>9</xdr:row>
      <xdr:rowOff>257065</xdr:rowOff>
    </xdr:to>
    <xdr:sp macro="" textlink="">
      <xdr:nvSpPr>
        <xdr:cNvPr id="3" name="Rectangle 2">
          <a:extLst>
            <a:ext uri="{FF2B5EF4-FFF2-40B4-BE49-F238E27FC236}">
              <a16:creationId xmlns:a16="http://schemas.microsoft.com/office/drawing/2014/main" id="{1D43683C-76E6-45FB-9E11-0D3B025B7887}"/>
            </a:ext>
          </a:extLst>
        </xdr:cNvPr>
        <xdr:cNvSpPr/>
      </xdr:nvSpPr>
      <xdr:spPr>
        <a:xfrm>
          <a:off x="7836846" y="3276490"/>
          <a:ext cx="190500" cy="188595"/>
        </a:xfrm>
        <a:prstGeom prst="rect">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15</xdr:col>
      <xdr:colOff>68256</xdr:colOff>
      <xdr:row>10</xdr:row>
      <xdr:rowOff>72518</xdr:rowOff>
    </xdr:from>
    <xdr:to>
      <xdr:col>15</xdr:col>
      <xdr:colOff>258756</xdr:colOff>
      <xdr:row>10</xdr:row>
      <xdr:rowOff>261113</xdr:rowOff>
    </xdr:to>
    <xdr:sp macro="" textlink="">
      <xdr:nvSpPr>
        <xdr:cNvPr id="4" name="Rectangle 3">
          <a:extLst>
            <a:ext uri="{FF2B5EF4-FFF2-40B4-BE49-F238E27FC236}">
              <a16:creationId xmlns:a16="http://schemas.microsoft.com/office/drawing/2014/main" id="{BACDC4B7-208A-49D6-9D1E-173C92D65634}"/>
            </a:ext>
          </a:extLst>
        </xdr:cNvPr>
        <xdr:cNvSpPr/>
      </xdr:nvSpPr>
      <xdr:spPr>
        <a:xfrm>
          <a:off x="7833036" y="3623438"/>
          <a:ext cx="190500" cy="188595"/>
        </a:xfrm>
        <a:prstGeom prst="rect">
          <a:avLst/>
        </a:prstGeom>
        <a:solidFill>
          <a:schemeClr val="accent2"/>
        </a:solidFill>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15</xdr:col>
      <xdr:colOff>72378</xdr:colOff>
      <xdr:row>11</xdr:row>
      <xdr:rowOff>57645</xdr:rowOff>
    </xdr:from>
    <xdr:to>
      <xdr:col>15</xdr:col>
      <xdr:colOff>262878</xdr:colOff>
      <xdr:row>11</xdr:row>
      <xdr:rowOff>244335</xdr:rowOff>
    </xdr:to>
    <xdr:sp macro="" textlink="">
      <xdr:nvSpPr>
        <xdr:cNvPr id="5" name="Rectangle 4">
          <a:extLst>
            <a:ext uri="{FF2B5EF4-FFF2-40B4-BE49-F238E27FC236}">
              <a16:creationId xmlns:a16="http://schemas.microsoft.com/office/drawing/2014/main" id="{57149F25-AC10-4CDB-8DA4-27620D9D362E}"/>
            </a:ext>
          </a:extLst>
        </xdr:cNvPr>
        <xdr:cNvSpPr/>
      </xdr:nvSpPr>
      <xdr:spPr>
        <a:xfrm>
          <a:off x="7837158" y="3951465"/>
          <a:ext cx="190500" cy="186690"/>
        </a:xfrm>
        <a:prstGeom prst="rect">
          <a:avLst/>
        </a:prstGeom>
        <a:solidFill>
          <a:schemeClr val="accent3"/>
        </a:solidFill>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15</xdr:col>
      <xdr:colOff>61241</xdr:colOff>
      <xdr:row>12</xdr:row>
      <xdr:rowOff>58595</xdr:rowOff>
    </xdr:from>
    <xdr:to>
      <xdr:col>15</xdr:col>
      <xdr:colOff>251741</xdr:colOff>
      <xdr:row>12</xdr:row>
      <xdr:rowOff>254810</xdr:rowOff>
    </xdr:to>
    <xdr:sp macro="" textlink="">
      <xdr:nvSpPr>
        <xdr:cNvPr id="6" name="Rectangle 5">
          <a:extLst>
            <a:ext uri="{FF2B5EF4-FFF2-40B4-BE49-F238E27FC236}">
              <a16:creationId xmlns:a16="http://schemas.microsoft.com/office/drawing/2014/main" id="{CED6B282-DB37-478F-8594-97445BA62E9D}"/>
            </a:ext>
          </a:extLst>
        </xdr:cNvPr>
        <xdr:cNvSpPr/>
      </xdr:nvSpPr>
      <xdr:spPr>
        <a:xfrm>
          <a:off x="7826021" y="4295315"/>
          <a:ext cx="190500" cy="196215"/>
        </a:xfrm>
        <a:prstGeom prst="rect">
          <a:avLst/>
        </a:prstGeom>
        <a:solidFill>
          <a:schemeClr val="accent4"/>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n-US" sz="1100"/>
        </a:p>
      </xdr:txBody>
    </xdr:sp>
    <xdr:clientData/>
  </xdr:twoCellAnchor>
  <xdr:twoCellAnchor>
    <xdr:from>
      <xdr:col>29</xdr:col>
      <xdr:colOff>92221</xdr:colOff>
      <xdr:row>49</xdr:row>
      <xdr:rowOff>75121</xdr:rowOff>
    </xdr:from>
    <xdr:to>
      <xdr:col>29</xdr:col>
      <xdr:colOff>280816</xdr:colOff>
      <xdr:row>49</xdr:row>
      <xdr:rowOff>225139</xdr:rowOff>
    </xdr:to>
    <xdr:sp macro="" textlink="">
      <xdr:nvSpPr>
        <xdr:cNvPr id="7" name="Rectangle 6">
          <a:extLst>
            <a:ext uri="{FF2B5EF4-FFF2-40B4-BE49-F238E27FC236}">
              <a16:creationId xmlns:a16="http://schemas.microsoft.com/office/drawing/2014/main" id="{82419EAA-38C3-4E6B-AD04-D0DB69F80C60}"/>
            </a:ext>
          </a:extLst>
        </xdr:cNvPr>
        <xdr:cNvSpPr/>
      </xdr:nvSpPr>
      <xdr:spPr>
        <a:xfrm>
          <a:off x="15019801" y="13913041"/>
          <a:ext cx="188595" cy="150018"/>
        </a:xfrm>
        <a:prstGeom prst="rect">
          <a:avLst/>
        </a:prstGeom>
        <a:solidFill>
          <a:schemeClr val="accent1"/>
        </a:solidFill>
        <a:ln>
          <a:noFill/>
        </a:ln>
      </xdr:spPr>
      <xdr:style>
        <a:lnRef idx="3">
          <a:schemeClr val="lt1"/>
        </a:lnRef>
        <a:fillRef idx="1">
          <a:schemeClr val="accent2"/>
        </a:fillRef>
        <a:effectRef idx="1">
          <a:schemeClr val="accent2"/>
        </a:effectRef>
        <a:fontRef idx="minor">
          <a:schemeClr val="lt1"/>
        </a:fontRef>
      </xdr:style>
      <xdr:txBody>
        <a:bodyPr vertOverflow="clip" horzOverflow="clip" rtlCol="0" anchor="t"/>
        <a:lstStyle/>
        <a:p>
          <a:pPr algn="l"/>
          <a:endParaRPr lang="en-US" sz="1100"/>
        </a:p>
      </xdr:txBody>
    </xdr:sp>
    <xdr:clientData/>
  </xdr:twoCellAnchor>
  <xdr:twoCellAnchor>
    <xdr:from>
      <xdr:col>29</xdr:col>
      <xdr:colOff>89840</xdr:colOff>
      <xdr:row>50</xdr:row>
      <xdr:rowOff>75121</xdr:rowOff>
    </xdr:from>
    <xdr:to>
      <xdr:col>29</xdr:col>
      <xdr:colOff>276530</xdr:colOff>
      <xdr:row>50</xdr:row>
      <xdr:rowOff>225139</xdr:rowOff>
    </xdr:to>
    <xdr:sp macro="" textlink="">
      <xdr:nvSpPr>
        <xdr:cNvPr id="8" name="Rectangle 7">
          <a:extLst>
            <a:ext uri="{FF2B5EF4-FFF2-40B4-BE49-F238E27FC236}">
              <a16:creationId xmlns:a16="http://schemas.microsoft.com/office/drawing/2014/main" id="{8E0061F0-39B5-48B8-ADBA-747D431C1777}"/>
            </a:ext>
          </a:extLst>
        </xdr:cNvPr>
        <xdr:cNvSpPr/>
      </xdr:nvSpPr>
      <xdr:spPr>
        <a:xfrm>
          <a:off x="15017420" y="14255941"/>
          <a:ext cx="186690" cy="150018"/>
        </a:xfrm>
        <a:prstGeom prst="rect">
          <a:avLst/>
        </a:prstGeom>
        <a:solidFill>
          <a:schemeClr val="accent2"/>
        </a:solidFill>
        <a:ln>
          <a:noFill/>
        </a:ln>
      </xdr:spPr>
      <xdr:style>
        <a:lnRef idx="3">
          <a:schemeClr val="lt1"/>
        </a:lnRef>
        <a:fillRef idx="1">
          <a:schemeClr val="accent3"/>
        </a:fillRef>
        <a:effectRef idx="1">
          <a:schemeClr val="accent3"/>
        </a:effectRef>
        <a:fontRef idx="minor">
          <a:schemeClr val="lt1"/>
        </a:fontRef>
      </xdr:style>
      <xdr:txBody>
        <a:bodyPr vertOverflow="clip" horzOverflow="clip" rtlCol="0" anchor="t"/>
        <a:lstStyle/>
        <a:p>
          <a:pPr algn="l"/>
          <a:endParaRPr lang="en-US" sz="1100"/>
        </a:p>
      </xdr:txBody>
    </xdr:sp>
    <xdr:clientData/>
  </xdr:twoCellAnchor>
  <xdr:twoCellAnchor>
    <xdr:from>
      <xdr:col>29</xdr:col>
      <xdr:colOff>89840</xdr:colOff>
      <xdr:row>51</xdr:row>
      <xdr:rowOff>82265</xdr:rowOff>
    </xdr:from>
    <xdr:to>
      <xdr:col>29</xdr:col>
      <xdr:colOff>276530</xdr:colOff>
      <xdr:row>51</xdr:row>
      <xdr:rowOff>232283</xdr:rowOff>
    </xdr:to>
    <xdr:sp macro="" textlink="">
      <xdr:nvSpPr>
        <xdr:cNvPr id="9" name="Rectangle 8">
          <a:extLst>
            <a:ext uri="{FF2B5EF4-FFF2-40B4-BE49-F238E27FC236}">
              <a16:creationId xmlns:a16="http://schemas.microsoft.com/office/drawing/2014/main" id="{58489A4B-00B1-4EC3-8176-F64DDDDF6DDA}"/>
            </a:ext>
          </a:extLst>
        </xdr:cNvPr>
        <xdr:cNvSpPr/>
      </xdr:nvSpPr>
      <xdr:spPr>
        <a:xfrm>
          <a:off x="15017420" y="14605985"/>
          <a:ext cx="186690" cy="150018"/>
        </a:xfrm>
        <a:prstGeom prst="rect">
          <a:avLst/>
        </a:prstGeom>
        <a:solidFill>
          <a:schemeClr val="accent3"/>
        </a:solidFill>
        <a:ln>
          <a:noFill/>
        </a:ln>
      </xdr:spPr>
      <xdr:style>
        <a:lnRef idx="3">
          <a:schemeClr val="lt1"/>
        </a:lnRef>
        <a:fillRef idx="1">
          <a:schemeClr val="accent2"/>
        </a:fillRef>
        <a:effectRef idx="1">
          <a:schemeClr val="accent2"/>
        </a:effectRef>
        <a:fontRef idx="minor">
          <a:schemeClr val="lt1"/>
        </a:fontRef>
      </xdr:style>
      <xdr:txBody>
        <a:bodyPr vertOverflow="clip" horzOverflow="clip" rtlCol="0" anchor="t"/>
        <a:lstStyle/>
        <a:p>
          <a:pPr algn="l"/>
          <a:endParaRPr lang="en-US" sz="1100"/>
        </a:p>
      </xdr:txBody>
    </xdr:sp>
    <xdr:clientData/>
  </xdr:twoCellAnchor>
  <xdr:twoCellAnchor>
    <xdr:from>
      <xdr:col>29</xdr:col>
      <xdr:colOff>90316</xdr:colOff>
      <xdr:row>52</xdr:row>
      <xdr:rowOff>77026</xdr:rowOff>
    </xdr:from>
    <xdr:to>
      <xdr:col>29</xdr:col>
      <xdr:colOff>277006</xdr:colOff>
      <xdr:row>52</xdr:row>
      <xdr:rowOff>227044</xdr:rowOff>
    </xdr:to>
    <xdr:sp macro="" textlink="">
      <xdr:nvSpPr>
        <xdr:cNvPr id="10" name="Rectangle 9">
          <a:extLst>
            <a:ext uri="{FF2B5EF4-FFF2-40B4-BE49-F238E27FC236}">
              <a16:creationId xmlns:a16="http://schemas.microsoft.com/office/drawing/2014/main" id="{EF78DA34-1F36-47CA-A218-96C0BC439A14}"/>
            </a:ext>
          </a:extLst>
        </xdr:cNvPr>
        <xdr:cNvSpPr/>
      </xdr:nvSpPr>
      <xdr:spPr>
        <a:xfrm>
          <a:off x="15017896" y="14943646"/>
          <a:ext cx="186690" cy="150018"/>
        </a:xfrm>
        <a:prstGeom prst="rect">
          <a:avLst/>
        </a:prstGeom>
        <a:solidFill>
          <a:schemeClr val="accent4"/>
        </a:solidFill>
        <a:ln>
          <a:noFill/>
        </a:ln>
      </xdr:spPr>
      <xdr:style>
        <a:lnRef idx="3">
          <a:schemeClr val="lt1"/>
        </a:lnRef>
        <a:fillRef idx="1">
          <a:schemeClr val="accent2"/>
        </a:fillRef>
        <a:effectRef idx="1">
          <a:schemeClr val="accent2"/>
        </a:effectRef>
        <a:fontRef idx="minor">
          <a:schemeClr val="lt1"/>
        </a:fontRef>
      </xdr:style>
      <xdr:txBody>
        <a:bodyPr vertOverflow="clip" horzOverflow="clip" rtlCol="0" anchor="t"/>
        <a:lstStyle/>
        <a:p>
          <a:pPr algn="l"/>
          <a:endParaRPr lang="en-US" sz="1100"/>
        </a:p>
      </xdr:txBody>
    </xdr:sp>
    <xdr:clientData/>
  </xdr:twoCellAnchor>
  <xdr:twoCellAnchor>
    <xdr:from>
      <xdr:col>29</xdr:col>
      <xdr:colOff>90792</xdr:colOff>
      <xdr:row>53</xdr:row>
      <xdr:rowOff>81312</xdr:rowOff>
    </xdr:from>
    <xdr:to>
      <xdr:col>29</xdr:col>
      <xdr:colOff>277482</xdr:colOff>
      <xdr:row>53</xdr:row>
      <xdr:rowOff>227520</xdr:rowOff>
    </xdr:to>
    <xdr:sp macro="" textlink="">
      <xdr:nvSpPr>
        <xdr:cNvPr id="11" name="Rectangle 10">
          <a:extLst>
            <a:ext uri="{FF2B5EF4-FFF2-40B4-BE49-F238E27FC236}">
              <a16:creationId xmlns:a16="http://schemas.microsoft.com/office/drawing/2014/main" id="{564E1218-7451-42EF-A66E-8509A13BEFCC}"/>
            </a:ext>
          </a:extLst>
        </xdr:cNvPr>
        <xdr:cNvSpPr/>
      </xdr:nvSpPr>
      <xdr:spPr>
        <a:xfrm>
          <a:off x="15018372" y="15290832"/>
          <a:ext cx="186690" cy="146208"/>
        </a:xfrm>
        <a:prstGeom prst="rect">
          <a:avLst/>
        </a:prstGeom>
        <a:solidFill>
          <a:schemeClr val="accent5"/>
        </a:solidFill>
        <a:ln>
          <a:noFill/>
        </a:ln>
      </xdr:spPr>
      <xdr:style>
        <a:lnRef idx="3">
          <a:schemeClr val="lt1"/>
        </a:lnRef>
        <a:fillRef idx="1">
          <a:schemeClr val="accent2"/>
        </a:fillRef>
        <a:effectRef idx="1">
          <a:schemeClr val="accent2"/>
        </a:effectRef>
        <a:fontRef idx="minor">
          <a:schemeClr val="lt1"/>
        </a:fontRef>
      </xdr:style>
      <xdr:txBody>
        <a:bodyPr vertOverflow="clip" horzOverflow="clip" rtlCol="0" anchor="t"/>
        <a:lstStyle/>
        <a:p>
          <a:pPr algn="l"/>
          <a:endParaRPr lang="en-US" sz="1100"/>
        </a:p>
      </xdr:txBody>
    </xdr:sp>
    <xdr:clientData/>
  </xdr:twoCellAnchor>
  <xdr:twoCellAnchor>
    <xdr:from>
      <xdr:col>29</xdr:col>
      <xdr:colOff>83048</xdr:colOff>
      <xdr:row>76</xdr:row>
      <xdr:rowOff>88168</xdr:rowOff>
    </xdr:from>
    <xdr:to>
      <xdr:col>29</xdr:col>
      <xdr:colOff>271643</xdr:colOff>
      <xdr:row>76</xdr:row>
      <xdr:rowOff>236281</xdr:rowOff>
    </xdr:to>
    <xdr:sp macro="" textlink="">
      <xdr:nvSpPr>
        <xdr:cNvPr id="12" name="Rectangle 11">
          <a:extLst>
            <a:ext uri="{FF2B5EF4-FFF2-40B4-BE49-F238E27FC236}">
              <a16:creationId xmlns:a16="http://schemas.microsoft.com/office/drawing/2014/main" id="{FC7CF373-CBA7-4F3C-8465-4EFB22AD4B02}"/>
            </a:ext>
          </a:extLst>
        </xdr:cNvPr>
        <xdr:cNvSpPr/>
      </xdr:nvSpPr>
      <xdr:spPr>
        <a:xfrm>
          <a:off x="15010628" y="24274048"/>
          <a:ext cx="188595" cy="148113"/>
        </a:xfrm>
        <a:prstGeom prst="rect">
          <a:avLst/>
        </a:prstGeom>
        <a:solidFill>
          <a:schemeClr val="accent1"/>
        </a:solidFill>
        <a:ln>
          <a:noFill/>
        </a:ln>
      </xdr:spPr>
      <xdr:style>
        <a:lnRef idx="3">
          <a:schemeClr val="lt1"/>
        </a:lnRef>
        <a:fillRef idx="1">
          <a:schemeClr val="accent2"/>
        </a:fillRef>
        <a:effectRef idx="1">
          <a:schemeClr val="accent2"/>
        </a:effectRef>
        <a:fontRef idx="minor">
          <a:schemeClr val="lt1"/>
        </a:fontRef>
      </xdr:style>
      <xdr:txBody>
        <a:bodyPr vertOverflow="clip" horzOverflow="clip" rtlCol="0" anchor="t"/>
        <a:lstStyle/>
        <a:p>
          <a:pPr algn="l"/>
          <a:endParaRPr lang="en-US" sz="1100"/>
        </a:p>
      </xdr:txBody>
    </xdr:sp>
    <xdr:clientData/>
  </xdr:twoCellAnchor>
  <xdr:twoCellAnchor>
    <xdr:from>
      <xdr:col>29</xdr:col>
      <xdr:colOff>83715</xdr:colOff>
      <xdr:row>77</xdr:row>
      <xdr:rowOff>53498</xdr:rowOff>
    </xdr:from>
    <xdr:to>
      <xdr:col>29</xdr:col>
      <xdr:colOff>270405</xdr:colOff>
      <xdr:row>77</xdr:row>
      <xdr:rowOff>201992</xdr:rowOff>
    </xdr:to>
    <xdr:sp macro="" textlink="">
      <xdr:nvSpPr>
        <xdr:cNvPr id="13" name="Rectangle 12">
          <a:extLst>
            <a:ext uri="{FF2B5EF4-FFF2-40B4-BE49-F238E27FC236}">
              <a16:creationId xmlns:a16="http://schemas.microsoft.com/office/drawing/2014/main" id="{A05493F3-F2A7-4035-8263-2316013384F5}"/>
            </a:ext>
          </a:extLst>
        </xdr:cNvPr>
        <xdr:cNvSpPr/>
      </xdr:nvSpPr>
      <xdr:spPr>
        <a:xfrm>
          <a:off x="15011295" y="24582278"/>
          <a:ext cx="186690" cy="148494"/>
        </a:xfrm>
        <a:prstGeom prst="rect">
          <a:avLst/>
        </a:prstGeom>
        <a:solidFill>
          <a:schemeClr val="accent2"/>
        </a:solidFill>
        <a:ln>
          <a:noFill/>
        </a:ln>
      </xdr:spPr>
      <xdr:style>
        <a:lnRef idx="3">
          <a:schemeClr val="lt1"/>
        </a:lnRef>
        <a:fillRef idx="1">
          <a:schemeClr val="accent3"/>
        </a:fillRef>
        <a:effectRef idx="1">
          <a:schemeClr val="accent3"/>
        </a:effectRef>
        <a:fontRef idx="minor">
          <a:schemeClr val="lt1"/>
        </a:fontRef>
      </xdr:style>
      <xdr:txBody>
        <a:bodyPr vertOverflow="clip" horzOverflow="clip" rtlCol="0" anchor="t"/>
        <a:lstStyle/>
        <a:p>
          <a:pPr algn="l"/>
          <a:endParaRPr lang="en-US" sz="1100"/>
        </a:p>
      </xdr:txBody>
    </xdr:sp>
    <xdr:clientData/>
  </xdr:twoCellAnchor>
  <xdr:twoCellAnchor>
    <xdr:from>
      <xdr:col>29</xdr:col>
      <xdr:colOff>84858</xdr:colOff>
      <xdr:row>78</xdr:row>
      <xdr:rowOff>93407</xdr:rowOff>
    </xdr:from>
    <xdr:to>
      <xdr:col>29</xdr:col>
      <xdr:colOff>271548</xdr:colOff>
      <xdr:row>78</xdr:row>
      <xdr:rowOff>243425</xdr:rowOff>
    </xdr:to>
    <xdr:sp macro="" textlink="">
      <xdr:nvSpPr>
        <xdr:cNvPr id="14" name="Rectangle 13">
          <a:extLst>
            <a:ext uri="{FF2B5EF4-FFF2-40B4-BE49-F238E27FC236}">
              <a16:creationId xmlns:a16="http://schemas.microsoft.com/office/drawing/2014/main" id="{88FEA668-AD09-4EFA-9B97-6A336EF0BEE9}"/>
            </a:ext>
          </a:extLst>
        </xdr:cNvPr>
        <xdr:cNvSpPr/>
      </xdr:nvSpPr>
      <xdr:spPr>
        <a:xfrm>
          <a:off x="15012438" y="24965087"/>
          <a:ext cx="186690" cy="150018"/>
        </a:xfrm>
        <a:prstGeom prst="rect">
          <a:avLst/>
        </a:prstGeom>
        <a:solidFill>
          <a:schemeClr val="accent3"/>
        </a:solidFill>
        <a:ln>
          <a:noFill/>
        </a:ln>
      </xdr:spPr>
      <xdr:style>
        <a:lnRef idx="3">
          <a:schemeClr val="lt1"/>
        </a:lnRef>
        <a:fillRef idx="1">
          <a:schemeClr val="accent2"/>
        </a:fillRef>
        <a:effectRef idx="1">
          <a:schemeClr val="accent2"/>
        </a:effectRef>
        <a:fontRef idx="minor">
          <a:schemeClr val="lt1"/>
        </a:fontRef>
      </xdr:style>
      <xdr:txBody>
        <a:bodyPr vertOverflow="clip" horzOverflow="clip" rtlCol="0" anchor="t"/>
        <a:lstStyle/>
        <a:p>
          <a:pPr algn="l"/>
          <a:endParaRPr lang="en-US" sz="1100"/>
        </a:p>
      </xdr:txBody>
    </xdr:sp>
    <xdr:clientData/>
  </xdr:twoCellAnchor>
  <xdr:twoCellAnchor>
    <xdr:from>
      <xdr:col>29</xdr:col>
      <xdr:colOff>84191</xdr:colOff>
      <xdr:row>79</xdr:row>
      <xdr:rowOff>81311</xdr:rowOff>
    </xdr:from>
    <xdr:to>
      <xdr:col>29</xdr:col>
      <xdr:colOff>270881</xdr:colOff>
      <xdr:row>79</xdr:row>
      <xdr:rowOff>225995</xdr:rowOff>
    </xdr:to>
    <xdr:sp macro="" textlink="">
      <xdr:nvSpPr>
        <xdr:cNvPr id="15" name="Rectangle 14">
          <a:extLst>
            <a:ext uri="{FF2B5EF4-FFF2-40B4-BE49-F238E27FC236}">
              <a16:creationId xmlns:a16="http://schemas.microsoft.com/office/drawing/2014/main" id="{7CE593EA-F1DA-4717-B3BB-FCF68C5C8CDD}"/>
            </a:ext>
          </a:extLst>
        </xdr:cNvPr>
        <xdr:cNvSpPr/>
      </xdr:nvSpPr>
      <xdr:spPr>
        <a:xfrm>
          <a:off x="15011771" y="25295891"/>
          <a:ext cx="186690" cy="144684"/>
        </a:xfrm>
        <a:prstGeom prst="rect">
          <a:avLst/>
        </a:prstGeom>
        <a:solidFill>
          <a:schemeClr val="accent4"/>
        </a:solidFill>
        <a:ln>
          <a:noFill/>
        </a:ln>
      </xdr:spPr>
      <xdr:style>
        <a:lnRef idx="3">
          <a:schemeClr val="lt1"/>
        </a:lnRef>
        <a:fillRef idx="1">
          <a:schemeClr val="accent2"/>
        </a:fillRef>
        <a:effectRef idx="1">
          <a:schemeClr val="accent2"/>
        </a:effectRef>
        <a:fontRef idx="minor">
          <a:schemeClr val="lt1"/>
        </a:fontRef>
      </xdr:style>
      <xdr:txBody>
        <a:bodyPr vertOverflow="clip" horzOverflow="clip" rtlCol="0" anchor="t"/>
        <a:lstStyle/>
        <a:p>
          <a:pPr algn="l"/>
          <a:endParaRPr lang="en-US" sz="1100"/>
        </a:p>
      </xdr:txBody>
    </xdr:sp>
    <xdr:clientData/>
  </xdr:twoCellAnchor>
  <xdr:twoCellAnchor>
    <xdr:from>
      <xdr:col>29</xdr:col>
      <xdr:colOff>85516</xdr:colOff>
      <xdr:row>80</xdr:row>
      <xdr:rowOff>74040</xdr:rowOff>
    </xdr:from>
    <xdr:to>
      <xdr:col>29</xdr:col>
      <xdr:colOff>268668</xdr:colOff>
      <xdr:row>80</xdr:row>
      <xdr:rowOff>220685</xdr:rowOff>
    </xdr:to>
    <xdr:sp macro="" textlink="">
      <xdr:nvSpPr>
        <xdr:cNvPr id="16" name="Rectangle 15">
          <a:extLst>
            <a:ext uri="{FF2B5EF4-FFF2-40B4-BE49-F238E27FC236}">
              <a16:creationId xmlns:a16="http://schemas.microsoft.com/office/drawing/2014/main" id="{3531DD5C-F6B9-4152-AF09-41DAFE84D069}"/>
            </a:ext>
          </a:extLst>
        </xdr:cNvPr>
        <xdr:cNvSpPr/>
      </xdr:nvSpPr>
      <xdr:spPr>
        <a:xfrm>
          <a:off x="15013096" y="25631520"/>
          <a:ext cx="183152" cy="146645"/>
        </a:xfrm>
        <a:prstGeom prst="rect">
          <a:avLst/>
        </a:prstGeom>
        <a:solidFill>
          <a:schemeClr val="accent5"/>
        </a:solidFill>
        <a:ln>
          <a:noFill/>
        </a:ln>
      </xdr:spPr>
      <xdr:style>
        <a:lnRef idx="3">
          <a:schemeClr val="lt1"/>
        </a:lnRef>
        <a:fillRef idx="1">
          <a:schemeClr val="accent2"/>
        </a:fillRef>
        <a:effectRef idx="1">
          <a:schemeClr val="accent2"/>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26</xdr:col>
      <xdr:colOff>391886</xdr:colOff>
      <xdr:row>0</xdr:row>
      <xdr:rowOff>87085</xdr:rowOff>
    </xdr:from>
    <xdr:to>
      <xdr:col>27</xdr:col>
      <xdr:colOff>286986</xdr:colOff>
      <xdr:row>1</xdr:row>
      <xdr:rowOff>5936</xdr:rowOff>
    </xdr:to>
    <xdr:pic>
      <xdr:nvPicPr>
        <xdr:cNvPr id="17" name="Graphic 16" descr="Back with solid fill">
          <a:hlinkClick xmlns:r="http://schemas.openxmlformats.org/officeDocument/2006/relationships" r:id="rId2"/>
          <a:extLst>
            <a:ext uri="{FF2B5EF4-FFF2-40B4-BE49-F238E27FC236}">
              <a16:creationId xmlns:a16="http://schemas.microsoft.com/office/drawing/2014/main" id="{5A72532A-8537-44DB-A339-C724108B660D}"/>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14369143" y="87085"/>
          <a:ext cx="489856" cy="48985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15</xdr:col>
      <xdr:colOff>343443</xdr:colOff>
      <xdr:row>15</xdr:row>
      <xdr:rowOff>21768</xdr:rowOff>
    </xdr:from>
    <xdr:to>
      <xdr:col>24</xdr:col>
      <xdr:colOff>348341</xdr:colOff>
      <xdr:row>24</xdr:row>
      <xdr:rowOff>250370</xdr:rowOff>
    </xdr:to>
    <xdr:graphicFrame macro="">
      <xdr:nvGraphicFramePr>
        <xdr:cNvPr id="2" name="Chart 1">
          <a:extLst>
            <a:ext uri="{FF2B5EF4-FFF2-40B4-BE49-F238E27FC236}">
              <a16:creationId xmlns:a16="http://schemas.microsoft.com/office/drawing/2014/main" id="{DEF84ECA-D808-4AF8-960B-9FA06190F0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72066</xdr:colOff>
      <xdr:row>9</xdr:row>
      <xdr:rowOff>68470</xdr:rowOff>
    </xdr:from>
    <xdr:to>
      <xdr:col>15</xdr:col>
      <xdr:colOff>262566</xdr:colOff>
      <xdr:row>9</xdr:row>
      <xdr:rowOff>257065</xdr:rowOff>
    </xdr:to>
    <xdr:sp macro="" textlink="">
      <xdr:nvSpPr>
        <xdr:cNvPr id="3" name="Rectangle 2">
          <a:extLst>
            <a:ext uri="{FF2B5EF4-FFF2-40B4-BE49-F238E27FC236}">
              <a16:creationId xmlns:a16="http://schemas.microsoft.com/office/drawing/2014/main" id="{9554802D-0CFF-41FB-A4B3-C822E54D509E}"/>
            </a:ext>
          </a:extLst>
        </xdr:cNvPr>
        <xdr:cNvSpPr/>
      </xdr:nvSpPr>
      <xdr:spPr>
        <a:xfrm>
          <a:off x="7836846" y="3215530"/>
          <a:ext cx="190500" cy="188595"/>
        </a:xfrm>
        <a:prstGeom prst="rect">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15</xdr:col>
      <xdr:colOff>68256</xdr:colOff>
      <xdr:row>10</xdr:row>
      <xdr:rowOff>72518</xdr:rowOff>
    </xdr:from>
    <xdr:to>
      <xdr:col>15</xdr:col>
      <xdr:colOff>258756</xdr:colOff>
      <xdr:row>10</xdr:row>
      <xdr:rowOff>261113</xdr:rowOff>
    </xdr:to>
    <xdr:sp macro="" textlink="">
      <xdr:nvSpPr>
        <xdr:cNvPr id="4" name="Rectangle 3">
          <a:extLst>
            <a:ext uri="{FF2B5EF4-FFF2-40B4-BE49-F238E27FC236}">
              <a16:creationId xmlns:a16="http://schemas.microsoft.com/office/drawing/2014/main" id="{D8E9F0F1-91B7-45A5-B43C-F49356B1304B}"/>
            </a:ext>
          </a:extLst>
        </xdr:cNvPr>
        <xdr:cNvSpPr/>
      </xdr:nvSpPr>
      <xdr:spPr>
        <a:xfrm>
          <a:off x="7833036" y="3562478"/>
          <a:ext cx="190500" cy="188595"/>
        </a:xfrm>
        <a:prstGeom prst="rect">
          <a:avLst/>
        </a:prstGeom>
        <a:solidFill>
          <a:schemeClr val="accent2"/>
        </a:solidFill>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15</xdr:col>
      <xdr:colOff>72378</xdr:colOff>
      <xdr:row>11</xdr:row>
      <xdr:rowOff>57645</xdr:rowOff>
    </xdr:from>
    <xdr:to>
      <xdr:col>15</xdr:col>
      <xdr:colOff>262878</xdr:colOff>
      <xdr:row>11</xdr:row>
      <xdr:rowOff>244335</xdr:rowOff>
    </xdr:to>
    <xdr:sp macro="" textlink="">
      <xdr:nvSpPr>
        <xdr:cNvPr id="5" name="Rectangle 4">
          <a:extLst>
            <a:ext uri="{FF2B5EF4-FFF2-40B4-BE49-F238E27FC236}">
              <a16:creationId xmlns:a16="http://schemas.microsoft.com/office/drawing/2014/main" id="{447B6C87-52D9-44F7-9A51-ED586F5DB310}"/>
            </a:ext>
          </a:extLst>
        </xdr:cNvPr>
        <xdr:cNvSpPr/>
      </xdr:nvSpPr>
      <xdr:spPr>
        <a:xfrm>
          <a:off x="7837158" y="3890505"/>
          <a:ext cx="190500" cy="186690"/>
        </a:xfrm>
        <a:prstGeom prst="rect">
          <a:avLst/>
        </a:prstGeom>
        <a:solidFill>
          <a:schemeClr val="accent3"/>
        </a:solidFill>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15</xdr:col>
      <xdr:colOff>61241</xdr:colOff>
      <xdr:row>12</xdr:row>
      <xdr:rowOff>58595</xdr:rowOff>
    </xdr:from>
    <xdr:to>
      <xdr:col>15</xdr:col>
      <xdr:colOff>251741</xdr:colOff>
      <xdr:row>12</xdr:row>
      <xdr:rowOff>254810</xdr:rowOff>
    </xdr:to>
    <xdr:sp macro="" textlink="">
      <xdr:nvSpPr>
        <xdr:cNvPr id="6" name="Rectangle 5">
          <a:extLst>
            <a:ext uri="{FF2B5EF4-FFF2-40B4-BE49-F238E27FC236}">
              <a16:creationId xmlns:a16="http://schemas.microsoft.com/office/drawing/2014/main" id="{90F134EE-97C9-435E-886F-7B6AB96B1905}"/>
            </a:ext>
          </a:extLst>
        </xdr:cNvPr>
        <xdr:cNvSpPr/>
      </xdr:nvSpPr>
      <xdr:spPr>
        <a:xfrm>
          <a:off x="7826021" y="4234355"/>
          <a:ext cx="190500" cy="196215"/>
        </a:xfrm>
        <a:prstGeom prst="rect">
          <a:avLst/>
        </a:prstGeom>
        <a:solidFill>
          <a:schemeClr val="accent4"/>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n-US" sz="1100"/>
        </a:p>
      </xdr:txBody>
    </xdr:sp>
    <xdr:clientData/>
  </xdr:twoCellAnchor>
  <xdr:twoCellAnchor>
    <xdr:from>
      <xdr:col>29</xdr:col>
      <xdr:colOff>92221</xdr:colOff>
      <xdr:row>40</xdr:row>
      <xdr:rowOff>75121</xdr:rowOff>
    </xdr:from>
    <xdr:to>
      <xdr:col>29</xdr:col>
      <xdr:colOff>280816</xdr:colOff>
      <xdr:row>40</xdr:row>
      <xdr:rowOff>225139</xdr:rowOff>
    </xdr:to>
    <xdr:sp macro="" textlink="">
      <xdr:nvSpPr>
        <xdr:cNvPr id="7" name="Rectangle 6">
          <a:extLst>
            <a:ext uri="{FF2B5EF4-FFF2-40B4-BE49-F238E27FC236}">
              <a16:creationId xmlns:a16="http://schemas.microsoft.com/office/drawing/2014/main" id="{CBDD406A-65AC-4515-9506-510505E5FFE5}"/>
            </a:ext>
          </a:extLst>
        </xdr:cNvPr>
        <xdr:cNvSpPr/>
      </xdr:nvSpPr>
      <xdr:spPr>
        <a:xfrm>
          <a:off x="15019801" y="9394381"/>
          <a:ext cx="188595" cy="150018"/>
        </a:xfrm>
        <a:prstGeom prst="rect">
          <a:avLst/>
        </a:prstGeom>
        <a:solidFill>
          <a:schemeClr val="accent1"/>
        </a:solidFill>
        <a:ln>
          <a:noFill/>
        </a:ln>
      </xdr:spPr>
      <xdr:style>
        <a:lnRef idx="3">
          <a:schemeClr val="lt1"/>
        </a:lnRef>
        <a:fillRef idx="1">
          <a:schemeClr val="accent2"/>
        </a:fillRef>
        <a:effectRef idx="1">
          <a:schemeClr val="accent2"/>
        </a:effectRef>
        <a:fontRef idx="minor">
          <a:schemeClr val="lt1"/>
        </a:fontRef>
      </xdr:style>
      <xdr:txBody>
        <a:bodyPr vertOverflow="clip" horzOverflow="clip" rtlCol="0" anchor="t"/>
        <a:lstStyle/>
        <a:p>
          <a:pPr algn="l"/>
          <a:endParaRPr lang="en-US" sz="1100"/>
        </a:p>
      </xdr:txBody>
    </xdr:sp>
    <xdr:clientData/>
  </xdr:twoCellAnchor>
  <xdr:twoCellAnchor>
    <xdr:from>
      <xdr:col>29</xdr:col>
      <xdr:colOff>89840</xdr:colOff>
      <xdr:row>41</xdr:row>
      <xdr:rowOff>75121</xdr:rowOff>
    </xdr:from>
    <xdr:to>
      <xdr:col>29</xdr:col>
      <xdr:colOff>276530</xdr:colOff>
      <xdr:row>41</xdr:row>
      <xdr:rowOff>225139</xdr:rowOff>
    </xdr:to>
    <xdr:sp macro="" textlink="">
      <xdr:nvSpPr>
        <xdr:cNvPr id="8" name="Rectangle 7">
          <a:extLst>
            <a:ext uri="{FF2B5EF4-FFF2-40B4-BE49-F238E27FC236}">
              <a16:creationId xmlns:a16="http://schemas.microsoft.com/office/drawing/2014/main" id="{A5525455-85FD-4E61-A41F-13CFFE7A7B2D}"/>
            </a:ext>
          </a:extLst>
        </xdr:cNvPr>
        <xdr:cNvSpPr/>
      </xdr:nvSpPr>
      <xdr:spPr>
        <a:xfrm>
          <a:off x="15017420" y="9737281"/>
          <a:ext cx="186690" cy="150018"/>
        </a:xfrm>
        <a:prstGeom prst="rect">
          <a:avLst/>
        </a:prstGeom>
        <a:solidFill>
          <a:schemeClr val="accent2"/>
        </a:solidFill>
        <a:ln>
          <a:noFill/>
        </a:ln>
      </xdr:spPr>
      <xdr:style>
        <a:lnRef idx="3">
          <a:schemeClr val="lt1"/>
        </a:lnRef>
        <a:fillRef idx="1">
          <a:schemeClr val="accent3"/>
        </a:fillRef>
        <a:effectRef idx="1">
          <a:schemeClr val="accent3"/>
        </a:effectRef>
        <a:fontRef idx="minor">
          <a:schemeClr val="lt1"/>
        </a:fontRef>
      </xdr:style>
      <xdr:txBody>
        <a:bodyPr vertOverflow="clip" horzOverflow="clip" rtlCol="0" anchor="t"/>
        <a:lstStyle/>
        <a:p>
          <a:pPr algn="l"/>
          <a:endParaRPr lang="en-US" sz="1100"/>
        </a:p>
      </xdr:txBody>
    </xdr:sp>
    <xdr:clientData/>
  </xdr:twoCellAnchor>
  <xdr:twoCellAnchor>
    <xdr:from>
      <xdr:col>29</xdr:col>
      <xdr:colOff>89840</xdr:colOff>
      <xdr:row>42</xdr:row>
      <xdr:rowOff>82265</xdr:rowOff>
    </xdr:from>
    <xdr:to>
      <xdr:col>29</xdr:col>
      <xdr:colOff>276530</xdr:colOff>
      <xdr:row>42</xdr:row>
      <xdr:rowOff>232283</xdr:rowOff>
    </xdr:to>
    <xdr:sp macro="" textlink="">
      <xdr:nvSpPr>
        <xdr:cNvPr id="9" name="Rectangle 8">
          <a:extLst>
            <a:ext uri="{FF2B5EF4-FFF2-40B4-BE49-F238E27FC236}">
              <a16:creationId xmlns:a16="http://schemas.microsoft.com/office/drawing/2014/main" id="{CA22EFB3-9185-4922-8EF5-FDF9F0D269B4}"/>
            </a:ext>
          </a:extLst>
        </xdr:cNvPr>
        <xdr:cNvSpPr/>
      </xdr:nvSpPr>
      <xdr:spPr>
        <a:xfrm>
          <a:off x="15017420" y="10087325"/>
          <a:ext cx="186690" cy="150018"/>
        </a:xfrm>
        <a:prstGeom prst="rect">
          <a:avLst/>
        </a:prstGeom>
        <a:solidFill>
          <a:schemeClr val="accent3"/>
        </a:solidFill>
        <a:ln>
          <a:noFill/>
        </a:ln>
      </xdr:spPr>
      <xdr:style>
        <a:lnRef idx="3">
          <a:schemeClr val="lt1"/>
        </a:lnRef>
        <a:fillRef idx="1">
          <a:schemeClr val="accent2"/>
        </a:fillRef>
        <a:effectRef idx="1">
          <a:schemeClr val="accent2"/>
        </a:effectRef>
        <a:fontRef idx="minor">
          <a:schemeClr val="lt1"/>
        </a:fontRef>
      </xdr:style>
      <xdr:txBody>
        <a:bodyPr vertOverflow="clip" horzOverflow="clip" rtlCol="0" anchor="t"/>
        <a:lstStyle/>
        <a:p>
          <a:pPr algn="l"/>
          <a:endParaRPr lang="en-US" sz="1100"/>
        </a:p>
      </xdr:txBody>
    </xdr:sp>
    <xdr:clientData/>
  </xdr:twoCellAnchor>
  <xdr:twoCellAnchor>
    <xdr:from>
      <xdr:col>29</xdr:col>
      <xdr:colOff>90316</xdr:colOff>
      <xdr:row>43</xdr:row>
      <xdr:rowOff>77026</xdr:rowOff>
    </xdr:from>
    <xdr:to>
      <xdr:col>29</xdr:col>
      <xdr:colOff>277006</xdr:colOff>
      <xdr:row>43</xdr:row>
      <xdr:rowOff>227044</xdr:rowOff>
    </xdr:to>
    <xdr:sp macro="" textlink="">
      <xdr:nvSpPr>
        <xdr:cNvPr id="10" name="Rectangle 9">
          <a:extLst>
            <a:ext uri="{FF2B5EF4-FFF2-40B4-BE49-F238E27FC236}">
              <a16:creationId xmlns:a16="http://schemas.microsoft.com/office/drawing/2014/main" id="{8F693E26-A453-49FD-AABF-2F9BBA73F99B}"/>
            </a:ext>
          </a:extLst>
        </xdr:cNvPr>
        <xdr:cNvSpPr/>
      </xdr:nvSpPr>
      <xdr:spPr>
        <a:xfrm>
          <a:off x="15017896" y="10424986"/>
          <a:ext cx="186690" cy="150018"/>
        </a:xfrm>
        <a:prstGeom prst="rect">
          <a:avLst/>
        </a:prstGeom>
        <a:solidFill>
          <a:schemeClr val="accent4"/>
        </a:solidFill>
        <a:ln>
          <a:noFill/>
        </a:ln>
      </xdr:spPr>
      <xdr:style>
        <a:lnRef idx="3">
          <a:schemeClr val="lt1"/>
        </a:lnRef>
        <a:fillRef idx="1">
          <a:schemeClr val="accent2"/>
        </a:fillRef>
        <a:effectRef idx="1">
          <a:schemeClr val="accent2"/>
        </a:effectRef>
        <a:fontRef idx="minor">
          <a:schemeClr val="lt1"/>
        </a:fontRef>
      </xdr:style>
      <xdr:txBody>
        <a:bodyPr vertOverflow="clip" horzOverflow="clip" rtlCol="0" anchor="t"/>
        <a:lstStyle/>
        <a:p>
          <a:pPr algn="l"/>
          <a:endParaRPr lang="en-US" sz="1100"/>
        </a:p>
      </xdr:txBody>
    </xdr:sp>
    <xdr:clientData/>
  </xdr:twoCellAnchor>
  <xdr:twoCellAnchor>
    <xdr:from>
      <xdr:col>29</xdr:col>
      <xdr:colOff>90792</xdr:colOff>
      <xdr:row>44</xdr:row>
      <xdr:rowOff>81312</xdr:rowOff>
    </xdr:from>
    <xdr:to>
      <xdr:col>29</xdr:col>
      <xdr:colOff>277482</xdr:colOff>
      <xdr:row>44</xdr:row>
      <xdr:rowOff>227520</xdr:rowOff>
    </xdr:to>
    <xdr:sp macro="" textlink="">
      <xdr:nvSpPr>
        <xdr:cNvPr id="11" name="Rectangle 10">
          <a:extLst>
            <a:ext uri="{FF2B5EF4-FFF2-40B4-BE49-F238E27FC236}">
              <a16:creationId xmlns:a16="http://schemas.microsoft.com/office/drawing/2014/main" id="{43041821-DC2A-4718-B589-C8C7A41E6495}"/>
            </a:ext>
          </a:extLst>
        </xdr:cNvPr>
        <xdr:cNvSpPr/>
      </xdr:nvSpPr>
      <xdr:spPr>
        <a:xfrm>
          <a:off x="15018372" y="10772172"/>
          <a:ext cx="186690" cy="146208"/>
        </a:xfrm>
        <a:prstGeom prst="rect">
          <a:avLst/>
        </a:prstGeom>
        <a:solidFill>
          <a:schemeClr val="accent5"/>
        </a:solidFill>
        <a:ln>
          <a:noFill/>
        </a:ln>
      </xdr:spPr>
      <xdr:style>
        <a:lnRef idx="3">
          <a:schemeClr val="lt1"/>
        </a:lnRef>
        <a:fillRef idx="1">
          <a:schemeClr val="accent2"/>
        </a:fillRef>
        <a:effectRef idx="1">
          <a:schemeClr val="accent2"/>
        </a:effectRef>
        <a:fontRef idx="minor">
          <a:schemeClr val="lt1"/>
        </a:fontRef>
      </xdr:style>
      <xdr:txBody>
        <a:bodyPr vertOverflow="clip" horzOverflow="clip" rtlCol="0" anchor="t"/>
        <a:lstStyle/>
        <a:p>
          <a:pPr algn="l"/>
          <a:endParaRPr lang="en-US" sz="1100"/>
        </a:p>
      </xdr:txBody>
    </xdr:sp>
    <xdr:clientData/>
  </xdr:twoCellAnchor>
  <xdr:twoCellAnchor>
    <xdr:from>
      <xdr:col>29</xdr:col>
      <xdr:colOff>83048</xdr:colOff>
      <xdr:row>70</xdr:row>
      <xdr:rowOff>88168</xdr:rowOff>
    </xdr:from>
    <xdr:to>
      <xdr:col>29</xdr:col>
      <xdr:colOff>271643</xdr:colOff>
      <xdr:row>70</xdr:row>
      <xdr:rowOff>236281</xdr:rowOff>
    </xdr:to>
    <xdr:sp macro="" textlink="">
      <xdr:nvSpPr>
        <xdr:cNvPr id="12" name="Rectangle 11">
          <a:extLst>
            <a:ext uri="{FF2B5EF4-FFF2-40B4-BE49-F238E27FC236}">
              <a16:creationId xmlns:a16="http://schemas.microsoft.com/office/drawing/2014/main" id="{8F2E439C-5593-43B4-BA5C-7142586809D7}"/>
            </a:ext>
          </a:extLst>
        </xdr:cNvPr>
        <xdr:cNvSpPr/>
      </xdr:nvSpPr>
      <xdr:spPr>
        <a:xfrm>
          <a:off x="15010628" y="24152128"/>
          <a:ext cx="188595" cy="148113"/>
        </a:xfrm>
        <a:prstGeom prst="rect">
          <a:avLst/>
        </a:prstGeom>
        <a:solidFill>
          <a:schemeClr val="accent1"/>
        </a:solidFill>
        <a:ln>
          <a:noFill/>
        </a:ln>
      </xdr:spPr>
      <xdr:style>
        <a:lnRef idx="3">
          <a:schemeClr val="lt1"/>
        </a:lnRef>
        <a:fillRef idx="1">
          <a:schemeClr val="accent2"/>
        </a:fillRef>
        <a:effectRef idx="1">
          <a:schemeClr val="accent2"/>
        </a:effectRef>
        <a:fontRef idx="minor">
          <a:schemeClr val="lt1"/>
        </a:fontRef>
      </xdr:style>
      <xdr:txBody>
        <a:bodyPr vertOverflow="clip" horzOverflow="clip" rtlCol="0" anchor="t"/>
        <a:lstStyle/>
        <a:p>
          <a:pPr algn="l"/>
          <a:endParaRPr lang="en-US" sz="1100"/>
        </a:p>
      </xdr:txBody>
    </xdr:sp>
    <xdr:clientData/>
  </xdr:twoCellAnchor>
  <xdr:twoCellAnchor>
    <xdr:from>
      <xdr:col>29</xdr:col>
      <xdr:colOff>83715</xdr:colOff>
      <xdr:row>71</xdr:row>
      <xdr:rowOff>53498</xdr:rowOff>
    </xdr:from>
    <xdr:to>
      <xdr:col>29</xdr:col>
      <xdr:colOff>270405</xdr:colOff>
      <xdr:row>71</xdr:row>
      <xdr:rowOff>201992</xdr:rowOff>
    </xdr:to>
    <xdr:sp macro="" textlink="">
      <xdr:nvSpPr>
        <xdr:cNvPr id="13" name="Rectangle 12">
          <a:extLst>
            <a:ext uri="{FF2B5EF4-FFF2-40B4-BE49-F238E27FC236}">
              <a16:creationId xmlns:a16="http://schemas.microsoft.com/office/drawing/2014/main" id="{3B528DD2-F5EB-4158-827C-AB61A11B747D}"/>
            </a:ext>
          </a:extLst>
        </xdr:cNvPr>
        <xdr:cNvSpPr/>
      </xdr:nvSpPr>
      <xdr:spPr>
        <a:xfrm>
          <a:off x="15011295" y="24460358"/>
          <a:ext cx="186690" cy="148494"/>
        </a:xfrm>
        <a:prstGeom prst="rect">
          <a:avLst/>
        </a:prstGeom>
        <a:solidFill>
          <a:schemeClr val="accent2"/>
        </a:solidFill>
        <a:ln>
          <a:noFill/>
        </a:ln>
      </xdr:spPr>
      <xdr:style>
        <a:lnRef idx="3">
          <a:schemeClr val="lt1"/>
        </a:lnRef>
        <a:fillRef idx="1">
          <a:schemeClr val="accent3"/>
        </a:fillRef>
        <a:effectRef idx="1">
          <a:schemeClr val="accent3"/>
        </a:effectRef>
        <a:fontRef idx="minor">
          <a:schemeClr val="lt1"/>
        </a:fontRef>
      </xdr:style>
      <xdr:txBody>
        <a:bodyPr vertOverflow="clip" horzOverflow="clip" rtlCol="0" anchor="t"/>
        <a:lstStyle/>
        <a:p>
          <a:pPr algn="l"/>
          <a:endParaRPr lang="en-US" sz="1100"/>
        </a:p>
      </xdr:txBody>
    </xdr:sp>
    <xdr:clientData/>
  </xdr:twoCellAnchor>
  <xdr:twoCellAnchor>
    <xdr:from>
      <xdr:col>29</xdr:col>
      <xdr:colOff>84858</xdr:colOff>
      <xdr:row>72</xdr:row>
      <xdr:rowOff>93407</xdr:rowOff>
    </xdr:from>
    <xdr:to>
      <xdr:col>29</xdr:col>
      <xdr:colOff>271548</xdr:colOff>
      <xdr:row>72</xdr:row>
      <xdr:rowOff>243425</xdr:rowOff>
    </xdr:to>
    <xdr:sp macro="" textlink="">
      <xdr:nvSpPr>
        <xdr:cNvPr id="14" name="Rectangle 13">
          <a:extLst>
            <a:ext uri="{FF2B5EF4-FFF2-40B4-BE49-F238E27FC236}">
              <a16:creationId xmlns:a16="http://schemas.microsoft.com/office/drawing/2014/main" id="{B6E46572-47E4-4C93-885C-8B28E2BBE039}"/>
            </a:ext>
          </a:extLst>
        </xdr:cNvPr>
        <xdr:cNvSpPr/>
      </xdr:nvSpPr>
      <xdr:spPr>
        <a:xfrm>
          <a:off x="15012438" y="24843167"/>
          <a:ext cx="186690" cy="150018"/>
        </a:xfrm>
        <a:prstGeom prst="rect">
          <a:avLst/>
        </a:prstGeom>
        <a:solidFill>
          <a:schemeClr val="accent3"/>
        </a:solidFill>
        <a:ln>
          <a:noFill/>
        </a:ln>
      </xdr:spPr>
      <xdr:style>
        <a:lnRef idx="3">
          <a:schemeClr val="lt1"/>
        </a:lnRef>
        <a:fillRef idx="1">
          <a:schemeClr val="accent2"/>
        </a:fillRef>
        <a:effectRef idx="1">
          <a:schemeClr val="accent2"/>
        </a:effectRef>
        <a:fontRef idx="minor">
          <a:schemeClr val="lt1"/>
        </a:fontRef>
      </xdr:style>
      <xdr:txBody>
        <a:bodyPr vertOverflow="clip" horzOverflow="clip" rtlCol="0" anchor="t"/>
        <a:lstStyle/>
        <a:p>
          <a:pPr algn="l"/>
          <a:endParaRPr lang="en-US" sz="1100"/>
        </a:p>
      </xdr:txBody>
    </xdr:sp>
    <xdr:clientData/>
  </xdr:twoCellAnchor>
  <xdr:twoCellAnchor>
    <xdr:from>
      <xdr:col>29</xdr:col>
      <xdr:colOff>84191</xdr:colOff>
      <xdr:row>73</xdr:row>
      <xdr:rowOff>81311</xdr:rowOff>
    </xdr:from>
    <xdr:to>
      <xdr:col>29</xdr:col>
      <xdr:colOff>270881</xdr:colOff>
      <xdr:row>73</xdr:row>
      <xdr:rowOff>225995</xdr:rowOff>
    </xdr:to>
    <xdr:sp macro="" textlink="">
      <xdr:nvSpPr>
        <xdr:cNvPr id="15" name="Rectangle 14">
          <a:extLst>
            <a:ext uri="{FF2B5EF4-FFF2-40B4-BE49-F238E27FC236}">
              <a16:creationId xmlns:a16="http://schemas.microsoft.com/office/drawing/2014/main" id="{58CD6612-DB04-4880-BB46-DA5457BFF59D}"/>
            </a:ext>
          </a:extLst>
        </xdr:cNvPr>
        <xdr:cNvSpPr/>
      </xdr:nvSpPr>
      <xdr:spPr>
        <a:xfrm>
          <a:off x="15011771" y="25173971"/>
          <a:ext cx="186690" cy="144684"/>
        </a:xfrm>
        <a:prstGeom prst="rect">
          <a:avLst/>
        </a:prstGeom>
        <a:solidFill>
          <a:schemeClr val="accent4"/>
        </a:solidFill>
        <a:ln>
          <a:noFill/>
        </a:ln>
      </xdr:spPr>
      <xdr:style>
        <a:lnRef idx="3">
          <a:schemeClr val="lt1"/>
        </a:lnRef>
        <a:fillRef idx="1">
          <a:schemeClr val="accent2"/>
        </a:fillRef>
        <a:effectRef idx="1">
          <a:schemeClr val="accent2"/>
        </a:effectRef>
        <a:fontRef idx="minor">
          <a:schemeClr val="lt1"/>
        </a:fontRef>
      </xdr:style>
      <xdr:txBody>
        <a:bodyPr vertOverflow="clip" horzOverflow="clip" rtlCol="0" anchor="t"/>
        <a:lstStyle/>
        <a:p>
          <a:pPr algn="l"/>
          <a:endParaRPr lang="en-US" sz="1100"/>
        </a:p>
      </xdr:txBody>
    </xdr:sp>
    <xdr:clientData/>
  </xdr:twoCellAnchor>
  <xdr:twoCellAnchor>
    <xdr:from>
      <xdr:col>29</xdr:col>
      <xdr:colOff>85516</xdr:colOff>
      <xdr:row>74</xdr:row>
      <xdr:rowOff>74040</xdr:rowOff>
    </xdr:from>
    <xdr:to>
      <xdr:col>29</xdr:col>
      <xdr:colOff>268668</xdr:colOff>
      <xdr:row>74</xdr:row>
      <xdr:rowOff>220685</xdr:rowOff>
    </xdr:to>
    <xdr:sp macro="" textlink="">
      <xdr:nvSpPr>
        <xdr:cNvPr id="16" name="Rectangle 15">
          <a:extLst>
            <a:ext uri="{FF2B5EF4-FFF2-40B4-BE49-F238E27FC236}">
              <a16:creationId xmlns:a16="http://schemas.microsoft.com/office/drawing/2014/main" id="{04AA1E8F-930C-4AE4-B4AD-AEB844E5AF30}"/>
            </a:ext>
          </a:extLst>
        </xdr:cNvPr>
        <xdr:cNvSpPr/>
      </xdr:nvSpPr>
      <xdr:spPr>
        <a:xfrm>
          <a:off x="15013096" y="25509600"/>
          <a:ext cx="183152" cy="146645"/>
        </a:xfrm>
        <a:prstGeom prst="rect">
          <a:avLst/>
        </a:prstGeom>
        <a:solidFill>
          <a:schemeClr val="accent5"/>
        </a:solidFill>
        <a:ln>
          <a:noFill/>
        </a:ln>
      </xdr:spPr>
      <xdr:style>
        <a:lnRef idx="3">
          <a:schemeClr val="lt1"/>
        </a:lnRef>
        <a:fillRef idx="1">
          <a:schemeClr val="accent2"/>
        </a:fillRef>
        <a:effectRef idx="1">
          <a:schemeClr val="accent2"/>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26</xdr:col>
      <xdr:colOff>76200</xdr:colOff>
      <xdr:row>0</xdr:row>
      <xdr:rowOff>0</xdr:rowOff>
    </xdr:from>
    <xdr:to>
      <xdr:col>26</xdr:col>
      <xdr:colOff>567045</xdr:colOff>
      <xdr:row>0</xdr:row>
      <xdr:rowOff>490497</xdr:rowOff>
    </xdr:to>
    <xdr:pic>
      <xdr:nvPicPr>
        <xdr:cNvPr id="17" name="Graphic 16" descr="Back with solid fill">
          <a:hlinkClick xmlns:r="http://schemas.openxmlformats.org/officeDocument/2006/relationships" r:id="rId2"/>
          <a:extLst>
            <a:ext uri="{FF2B5EF4-FFF2-40B4-BE49-F238E27FC236}">
              <a16:creationId xmlns:a16="http://schemas.microsoft.com/office/drawing/2014/main" id="{F97D0A40-A484-4889-AE19-EFC11D4D9C8C}"/>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13454743" y="0"/>
          <a:ext cx="489856" cy="48985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48</xdr:col>
      <xdr:colOff>239486</xdr:colOff>
      <xdr:row>0</xdr:row>
      <xdr:rowOff>87085</xdr:rowOff>
    </xdr:from>
    <xdr:to>
      <xdr:col>49</xdr:col>
      <xdr:colOff>130628</xdr:colOff>
      <xdr:row>1</xdr:row>
      <xdr:rowOff>8905</xdr:rowOff>
    </xdr:to>
    <xdr:pic>
      <xdr:nvPicPr>
        <xdr:cNvPr id="3" name="Graphic 2" descr="Back with solid fill">
          <a:hlinkClick xmlns:r="http://schemas.openxmlformats.org/officeDocument/2006/relationships" r:id="rId1"/>
          <a:extLst>
            <a:ext uri="{FF2B5EF4-FFF2-40B4-BE49-F238E27FC236}">
              <a16:creationId xmlns:a16="http://schemas.microsoft.com/office/drawing/2014/main" id="{EB1FD42E-9753-446A-BAFB-92AB9A611A0E}"/>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31873372" y="87085"/>
          <a:ext cx="489856" cy="4898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48</xdr:col>
      <xdr:colOff>401782</xdr:colOff>
      <xdr:row>0</xdr:row>
      <xdr:rowOff>96982</xdr:rowOff>
    </xdr:from>
    <xdr:to>
      <xdr:col>49</xdr:col>
      <xdr:colOff>295893</xdr:colOff>
      <xdr:row>0</xdr:row>
      <xdr:rowOff>586838</xdr:rowOff>
    </xdr:to>
    <xdr:pic>
      <xdr:nvPicPr>
        <xdr:cNvPr id="2" name="Graphic 1" descr="Back with solid fill">
          <a:hlinkClick xmlns:r="http://schemas.openxmlformats.org/officeDocument/2006/relationships" r:id="rId1"/>
          <a:extLst>
            <a:ext uri="{FF2B5EF4-FFF2-40B4-BE49-F238E27FC236}">
              <a16:creationId xmlns:a16="http://schemas.microsoft.com/office/drawing/2014/main" id="{7F0BCEBF-A841-4B25-9457-AF657EEA8DA9}"/>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4993600" y="96982"/>
          <a:ext cx="489856" cy="48985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53</xdr:col>
      <xdr:colOff>489854</xdr:colOff>
      <xdr:row>0</xdr:row>
      <xdr:rowOff>65316</xdr:rowOff>
    </xdr:from>
    <xdr:to>
      <xdr:col>54</xdr:col>
      <xdr:colOff>380996</xdr:colOff>
      <xdr:row>0</xdr:row>
      <xdr:rowOff>555172</xdr:rowOff>
    </xdr:to>
    <xdr:pic>
      <xdr:nvPicPr>
        <xdr:cNvPr id="2" name="Graphic 1" descr="Back with solid fill">
          <a:hlinkClick xmlns:r="http://schemas.openxmlformats.org/officeDocument/2006/relationships" r:id="rId1"/>
          <a:extLst>
            <a:ext uri="{FF2B5EF4-FFF2-40B4-BE49-F238E27FC236}">
              <a16:creationId xmlns:a16="http://schemas.microsoft.com/office/drawing/2014/main" id="{1C5F0999-6763-4097-9E6F-06CF46DE7D66}"/>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8908483" y="65316"/>
          <a:ext cx="489856" cy="48985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39</xdr:col>
      <xdr:colOff>76202</xdr:colOff>
      <xdr:row>0</xdr:row>
      <xdr:rowOff>1</xdr:rowOff>
    </xdr:from>
    <xdr:to>
      <xdr:col>39</xdr:col>
      <xdr:colOff>566058</xdr:colOff>
      <xdr:row>1</xdr:row>
      <xdr:rowOff>43543</xdr:rowOff>
    </xdr:to>
    <xdr:pic>
      <xdr:nvPicPr>
        <xdr:cNvPr id="3" name="Graphic 2" descr="Back with solid fill">
          <a:hlinkClick xmlns:r="http://schemas.openxmlformats.org/officeDocument/2006/relationships" r:id="rId1"/>
          <a:extLst>
            <a:ext uri="{FF2B5EF4-FFF2-40B4-BE49-F238E27FC236}">
              <a16:creationId xmlns:a16="http://schemas.microsoft.com/office/drawing/2014/main" id="{D6CC5E7B-8132-EDED-8295-D681509E9A0B}"/>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0029716" y="1"/>
          <a:ext cx="489856" cy="48985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48</xdr:col>
      <xdr:colOff>167640</xdr:colOff>
      <xdr:row>0</xdr:row>
      <xdr:rowOff>0</xdr:rowOff>
    </xdr:from>
    <xdr:to>
      <xdr:col>48</xdr:col>
      <xdr:colOff>657496</xdr:colOff>
      <xdr:row>2</xdr:row>
      <xdr:rowOff>10885</xdr:rowOff>
    </xdr:to>
    <xdr:pic>
      <xdr:nvPicPr>
        <xdr:cNvPr id="2" name="Graphic 1" descr="Back with solid fill">
          <a:hlinkClick xmlns:r="http://schemas.openxmlformats.org/officeDocument/2006/relationships" r:id="rId1"/>
          <a:extLst>
            <a:ext uri="{FF2B5EF4-FFF2-40B4-BE49-F238E27FC236}">
              <a16:creationId xmlns:a16="http://schemas.microsoft.com/office/drawing/2014/main" id="{CE9683E2-F5BC-4C90-BD39-65AF889DB079}"/>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7533620" y="0"/>
          <a:ext cx="489856" cy="49856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68537F4-99C8-4DB8-9ED3-645896C7C06A}" name="Input" displayName="Input" ref="A4:VS83" totalsRowShown="0" headerRowDxfId="673" dataDxfId="672">
  <autoFilter ref="A4:VS83" xr:uid="{C68537F4-99C8-4DB8-9ED3-645896C7C06A}"/>
  <sortState xmlns:xlrd2="http://schemas.microsoft.com/office/spreadsheetml/2017/richdata2" ref="A5:VS83">
    <sortCondition ref="A4:A83"/>
  </sortState>
  <tableColumns count="591">
    <tableColumn id="1" xr3:uid="{A24028B9-D0BA-401F-B458-29FD431F31AB}" name="Institution Name" dataDxfId="671"/>
    <tableColumn id="578" xr3:uid="{E9E1D76B-14E1-493E-A000-214985C54142}" name="System" dataDxfId="670"/>
    <tableColumn id="568" xr3:uid="{C8AEC90A-C9FF-47A5-A1CC-D55E2555A5B9}" name="Type" dataDxfId="669"/>
    <tableColumn id="2" xr3:uid="{CDD5B1ED-21D6-4E67-A7F7-40487982779C}" name="Sort" dataDxfId="668"/>
    <tableColumn id="3" xr3:uid="{79BC3148-9427-4FBB-93F5-C280ACAA8B83}" name="Status" dataDxfId="667"/>
    <tableColumn id="4" xr3:uid="{E6DE4C16-3853-4724-A423-90A369B58E6A}" name="FICE" dataDxfId="666" dataCellStyle="FICE"/>
    <tableColumn id="5" xr3:uid="{30FA82B7-7B6A-42BF-A662-0B523B5CF6D8}" name="St. Ap. E &amp; G" dataDxfId="665" dataCellStyle="Currency"/>
    <tableColumn id="6" xr3:uid="{BF35D9FF-D28D-4535-B0CA-5EBD9BBB71D4}" name="St. Ap. Desg" dataDxfId="664" dataCellStyle="Currency"/>
    <tableColumn id="7" xr3:uid="{0647C175-E43B-472D-BDE8-FB207A0A7106}" name="St. Ap. Aux" dataDxfId="663" dataCellStyle="Currency"/>
    <tableColumn id="8" xr3:uid="{AA9F6B4B-5110-4D38-8BF0-15B4CEE8F819}" name="St. Ap. R Exp" dataDxfId="662" dataCellStyle="Currency"/>
    <tableColumn id="9" xr3:uid="{9854E404-1D02-4F4C-8738-EE73D5BCEB21}" name="St. Ap. Loan" dataDxfId="661" dataCellStyle="Currency"/>
    <tableColumn id="10" xr3:uid="{CF23370C-1BF2-4E14-BC71-000B150F5700}" name="St. Ap. Annuity" dataDxfId="660" dataCellStyle="Currency"/>
    <tableColumn id="11" xr3:uid="{3E68A752-8CFE-4E46-9A95-9C094F3B6350}" name="St. Ap. Unexp" dataDxfId="659" dataCellStyle="Currency"/>
    <tableColumn id="12" xr3:uid="{AF187181-C5D2-46E7-B856-E91D5595FAB1}" name="St. Ap. R of Ind" dataDxfId="658" dataCellStyle="Currency"/>
    <tableColumn id="13" xr3:uid="{76C45C1B-C3D8-4D12-BED2-41BD8A879BFF}" name="St. Ap. Inv in P" dataDxfId="657" dataCellStyle="Currency"/>
    <tableColumn id="14" xr3:uid="{6789C769-301F-4090-B988-A604A958078D}" name="St. C&amp;G E&amp;G" dataDxfId="656" dataCellStyle="Currency"/>
    <tableColumn id="15" xr3:uid="{807435D7-5F60-43D9-8F49-74624974764B}" name="St. C&amp;G Desg" dataDxfId="655" dataCellStyle="Currency"/>
    <tableColumn id="16" xr3:uid="{C147C08B-E7B0-45A2-BEC4-785BB10A206A}" name="St. C&amp;G Aux" dataDxfId="654" dataCellStyle="Currency"/>
    <tableColumn id="17" xr3:uid="{CDDA110E-0E8E-492F-937C-08486B26F6B7}" name="St. C&amp;G R Exp" dataDxfId="653" dataCellStyle="Currency"/>
    <tableColumn id="18" xr3:uid="{A890F316-A976-4569-9CE5-EC0388F1F2B4}" name="St. C&amp;G Loan" dataDxfId="652" dataCellStyle="Currency"/>
    <tableColumn id="19" xr3:uid="{01CFAE8B-F11E-4614-813C-3353791829F8}" name="St. C&amp;G Annuity" dataDxfId="651" dataCellStyle="Currency"/>
    <tableColumn id="20" xr3:uid="{B7FE8969-1337-4AA2-A69F-08C08CECBC83}" name="St. C&amp;G Unexp" dataDxfId="650" dataCellStyle="Currency"/>
    <tableColumn id="21" xr3:uid="{1422D348-0835-43D5-8B6F-D59D553584F5}" name="St. C&amp;G R of Ind" dataDxfId="649" dataCellStyle="Currency"/>
    <tableColumn id="22" xr3:uid="{52EF68BE-1BB5-4597-AA30-289355E71D9D}" name="St. C&amp;G Inv in P" dataDxfId="648" dataCellStyle="Currency"/>
    <tableColumn id="23" xr3:uid="{28FECCEA-E76B-4DAD-ACAE-796F20D293DE}" name="HEF E&amp;G" dataDxfId="647" dataCellStyle="Currency"/>
    <tableColumn id="24" xr3:uid="{88E342C0-1DBE-40C9-9E6E-8B34A2980449}" name="HEF Desg" dataDxfId="646" dataCellStyle="Currency"/>
    <tableColumn id="25" xr3:uid="{64C103F0-70CE-44D2-8625-A5978E20448E}" name="HEF Aux" dataDxfId="645" dataCellStyle="Currency"/>
    <tableColumn id="26" xr3:uid="{0666371B-148A-4CA4-9DA0-DFE22D35BC1C}" name="HEF R Exp" dataDxfId="644" dataCellStyle="Currency"/>
    <tableColumn id="27" xr3:uid="{F0AFF4CE-16FB-485F-B34F-EF22BB89E4C1}" name="HEF Loan" dataDxfId="643" dataCellStyle="Currency"/>
    <tableColumn id="28" xr3:uid="{911E2E6B-B978-4233-A839-5E00C8BE9BEC}" name="HEF Annuity" dataDxfId="642" dataCellStyle="Currency"/>
    <tableColumn id="29" xr3:uid="{5E10C1F4-175E-4459-9FD6-8C1DDE39D3D3}" name="HEF Unexp" dataDxfId="641" dataCellStyle="Currency"/>
    <tableColumn id="30" xr3:uid="{33FE3105-D50E-40C8-9EE2-274B29EFA517}" name="HEF R of Ind" dataDxfId="640" dataCellStyle="Currency"/>
    <tableColumn id="31" xr3:uid="{3960D156-0D65-49EA-9218-D772F1E8C60F}" name="HEF Inv in P" dataDxfId="639" dataCellStyle="Currency"/>
    <tableColumn id="32" xr3:uid="{801405E9-2548-4601-BC25-6CA07413ED4F}" name="Available E&amp;G" dataDxfId="638" dataCellStyle="Currency"/>
    <tableColumn id="33" xr3:uid="{75D7C901-BCA6-4983-A69D-8776B5625DF1}" name="Available Desg" dataDxfId="637" dataCellStyle="Currency"/>
    <tableColumn id="34" xr3:uid="{47666C5A-1A8B-4CB4-A9E7-3BB966BFC888}" name="Available Aux" dataDxfId="636" dataCellStyle="Currency"/>
    <tableColumn id="35" xr3:uid="{BE2DB182-13EE-4AD3-A317-D50D04D217D9}" name="Available R Exp" dataDxfId="635" dataCellStyle="Currency"/>
    <tableColumn id="36" xr3:uid="{1941E00F-540C-4CA2-A845-4E179981B144}" name="Available Loan" dataDxfId="634" dataCellStyle="Currency"/>
    <tableColumn id="37" xr3:uid="{88DB1950-F869-48B8-86F4-B1D7C17F9DD6}" name="Available Annuity" dataDxfId="633" dataCellStyle="Currency"/>
    <tableColumn id="38" xr3:uid="{150619A5-52A1-46FE-B15C-E1C09AA08148}" name="Available Unexp" dataDxfId="632" dataCellStyle="Currency"/>
    <tableColumn id="39" xr3:uid="{656013BF-53BB-4052-B371-47A5B8FD643E}" name="Available R of Ind" dataDxfId="631" dataCellStyle="Currency"/>
    <tableColumn id="40" xr3:uid="{D92FE912-71E5-436C-AF48-837E11FACF19}" name="Available Inv in P" dataDxfId="630" dataCellStyle="Currency"/>
    <tableColumn id="41" xr3:uid="{55B9408A-1307-4153-B8EC-DC7BABEFA735}" name="T. W. - Stat (NR AFR) E&amp;G" dataDxfId="629" dataCellStyle="Currency"/>
    <tableColumn id="42" xr3:uid="{72656976-FD0C-42DF-8270-54FE94B6FE4C}" name="T. W. - Stat (NR AFR) Desg" dataDxfId="628" dataCellStyle="Currency"/>
    <tableColumn id="43" xr3:uid="{229F9D2D-D950-4A1F-9E75-2B4708C69672}" name="T. W. - Stat (NR AFR) Aux" dataDxfId="627" dataCellStyle="Currency"/>
    <tableColumn id="44" xr3:uid="{A3406940-8777-4008-9AFB-D385B7B77B5C}" name="T. W. - Stat (NR AFR) R Exp" dataDxfId="626" dataCellStyle="Currency"/>
    <tableColumn id="45" xr3:uid="{8EA3E1D9-9C36-4593-A9F9-E66E296BE958}" name="T. W. - Stat (NR AFR) Loan" dataDxfId="625" dataCellStyle="Currency"/>
    <tableColumn id="46" xr3:uid="{BFB21F4F-17B6-4846-B934-E894D17CC870}" name="T. W. - Stat (NR AFR) Annuity" dataDxfId="624" dataCellStyle="Currency"/>
    <tableColumn id="47" xr3:uid="{A6F7B10A-50EC-48AE-B8EA-405D760C1F6F}" name="T. W. - Stat (NR AFR) Unexp" dataDxfId="623" dataCellStyle="Currency"/>
    <tableColumn id="48" xr3:uid="{560BFB66-1DC3-4E15-AF3B-C03F79CBB143}" name="T. W. - Stat (NR AFR) R of Ind" dataDxfId="622" dataCellStyle="Currency"/>
    <tableColumn id="49" xr3:uid="{550A7443-775B-4D84-BC37-8AFEE660C364}" name="T. W. - Stat (NR AFR) Inv in P" dataDxfId="621" dataCellStyle="Currency"/>
    <tableColumn id="50" xr3:uid="{0460AE56-F3E1-42CF-AE07-50FB752FCFA9}" name="T. W. - Inst. (NR AFR) E&amp;G" dataDxfId="620" dataCellStyle="Currency"/>
    <tableColumn id="51" xr3:uid="{18769F49-F073-4168-9D27-E0DFA504D56A}" name="T. W. - Inst. (NR AFR) Desg" dataDxfId="619" dataCellStyle="Currency"/>
    <tableColumn id="52" xr3:uid="{E56FE715-ED8A-4508-8248-4309403A0298}" name="T. W. - Inst. (NR AFR) Aux" dataDxfId="618" dataCellStyle="Currency"/>
    <tableColumn id="53" xr3:uid="{362191BF-22C2-42EC-B18F-D7DD70F94397}" name="T. W. - Inst. (NR AFR) R Exp" dataDxfId="617" dataCellStyle="Currency"/>
    <tableColumn id="54" xr3:uid="{50A3F414-9C81-45B8-B6A2-7170EC657822}" name="T. W. - Inst. (NR AFR) Loan" dataDxfId="616" dataCellStyle="Currency"/>
    <tableColumn id="55" xr3:uid="{6B742C03-3405-4B70-B7E4-DACC3A75C3E9}" name="T. W. - Inst. (NR AFR) Annuity" dataDxfId="615" dataCellStyle="Currency"/>
    <tableColumn id="56" xr3:uid="{5CE9BBD4-97A4-4F55-ACA6-D666A67DEA29}" name="T. W. - Inst. (NR AFR) Unexp" dataDxfId="614" dataCellStyle="Currency"/>
    <tableColumn id="57" xr3:uid="{B2D177C7-0A13-4983-B847-F7A4E819FEE4}" name="T. W. - Inst. (NR AFR) R of Ind" dataDxfId="613" dataCellStyle="Currency"/>
    <tableColumn id="573" xr3:uid="{C5B3DA0A-5E31-41DA-B222-460D555F3D9C}" name="T. W. - Inst. (NR AFR) Inv in P" dataDxfId="612" dataCellStyle="Currency"/>
    <tableColumn id="58" xr3:uid="{5425416E-0E14-4FF3-BD5C-4B323749A543}" name="T. Exp. - Stat (NR AFR) E&amp;G" dataDxfId="611" dataCellStyle="Currency"/>
    <tableColumn id="59" xr3:uid="{CD53A054-2A07-413A-B060-F99CCB43A1A5}" name="T. Exp. - Stat (NR AFR) Desg" dataDxfId="610" dataCellStyle="Currency"/>
    <tableColumn id="60" xr3:uid="{03DDB9DE-30A5-4D97-9B74-7757D1AD462A}" name="T. Exp. - Stat (NR AFR) Aux" dataDxfId="609" dataCellStyle="Currency"/>
    <tableColumn id="61" xr3:uid="{DBB9F899-5C25-4577-815F-C14E11154435}" name="T. Exp. - Stat (NR AFR) R Exp" dataDxfId="608" dataCellStyle="Currency"/>
    <tableColumn id="62" xr3:uid="{60C6A8E3-062D-46EA-8BD4-F59A4787F9D8}" name="T. Exp. - Stat (NR AFR) Loan" dataDxfId="607" dataCellStyle="Currency"/>
    <tableColumn id="63" xr3:uid="{F7BFE363-4F6D-4177-9156-C8350CA65A35}" name="T. Exp. - Stat (NR AFR) Annuity" dataDxfId="606" dataCellStyle="Currency"/>
    <tableColumn id="64" xr3:uid="{0026505D-535C-41E4-9B5F-8D15E75B70D4}" name="T. Exp. - Stat (NR AFR) Unexp" dataDxfId="605" dataCellStyle="Currency"/>
    <tableColumn id="65" xr3:uid="{903A6D1D-5DF7-4418-99F8-77595CF029A2}" name="T. Exp. - Stat (NR AFR) R of Ind" dataDxfId="604" dataCellStyle="Currency"/>
    <tableColumn id="66" xr3:uid="{061CB656-DA56-42D0-886A-F9BA6318BFD6}" name="T. Exp. - Stat (NR AFR) Inv in P" dataDxfId="603" dataCellStyle="Currency"/>
    <tableColumn id="67" xr3:uid="{DD5B39E2-DEE3-4A9A-B6F8-CBC2A06EE5F4}" name="T. Exp. - Inst. (NR AFR) E&amp;G" dataDxfId="602" dataCellStyle="Currency"/>
    <tableColumn id="68" xr3:uid="{09BA78E1-8CE9-4468-95F1-97A992CE25C4}" name="T. Exp. - Inst. (NR AFR) Desg" dataDxfId="601" dataCellStyle="Currency"/>
    <tableColumn id="69" xr3:uid="{B6633EFA-A41E-4C44-A412-DC8C236B5086}" name="T. Exp. - Inst. (NR AFR) Aux" dataDxfId="600" dataCellStyle="Currency"/>
    <tableColumn id="70" xr3:uid="{B73AE6B4-CFC0-476C-AF3B-3C5945CA8B2C}" name="T. Exp. - Inst. (NR AFR) R Exp" dataDxfId="599" dataCellStyle="Currency"/>
    <tableColumn id="71" xr3:uid="{CF46D4B3-EFD7-4AEE-BAC1-89678903B850}" name="T. Exp. - Inst. (NR AFR) Loan" dataDxfId="598" dataCellStyle="Currency"/>
    <tableColumn id="72" xr3:uid="{F11D284C-D739-4E1E-AA86-F72D6BF5FB75}" name="T. Exp. - Inst. (NR AFR) Annuity" dataDxfId="597" dataCellStyle="Currency"/>
    <tableColumn id="73" xr3:uid="{BB53CF63-518C-47F6-B220-79BC028F5165}" name="T. Exp. - Inst. (NR AFR) Unexp" dataDxfId="596" dataCellStyle="Currency"/>
    <tableColumn id="74" xr3:uid="{417CCDFD-30E2-46D0-8E6E-E99A8B0DFE07}" name="T. Exp. - Inst. (NR AFR) R of Ind" dataDxfId="595" dataCellStyle="Currency"/>
    <tableColumn id="75" xr3:uid="{4761562A-FB4F-4268-BF39-7F2E2C5AB345}" name="T. Exp. - Inst. (NR AFR) Inv in P" dataDxfId="594" dataCellStyle="Currency"/>
    <tableColumn id="76" xr3:uid="{B40ABF6C-DF58-4947-A063-21BFD7613E8F}" name="T. - Gross E&amp;G" dataDxfId="593" dataCellStyle="Currency"/>
    <tableColumn id="77" xr3:uid="{093FA968-B2F5-49DD-A046-005E053C6072}" name="T. - Gross Desg" dataDxfId="592" dataCellStyle="Currency"/>
    <tableColumn id="78" xr3:uid="{01DA1FFA-35C4-4C8F-AA87-BE75962622C5}" name="T. - Gross Aux" dataDxfId="591" dataCellStyle="Currency"/>
    <tableColumn id="79" xr3:uid="{9E6D731C-6C64-4FAD-B2E1-42D5F943667D}" name="T. - Gross R Exp" dataDxfId="590" dataCellStyle="Currency"/>
    <tableColumn id="80" xr3:uid="{8E10358A-655E-4FD2-A113-5B1EA460ABD8}" name="T. - Gross Loan" dataDxfId="589" dataCellStyle="Currency"/>
    <tableColumn id="81" xr3:uid="{20DD6585-C8A1-448A-8DDA-E60804853FA2}" name="T. - Gross Annuity" dataDxfId="588" dataCellStyle="Currency"/>
    <tableColumn id="82" xr3:uid="{068866DB-0B45-4972-BF19-A310C8AE7C56}" name="T. - Gross Unexp" dataDxfId="587" dataCellStyle="Currency"/>
    <tableColumn id="83" xr3:uid="{B4B4AF26-298D-4E23-BB1E-2B86913E4742}" name="T. - Gross R of Ind" dataDxfId="586" dataCellStyle="Currency"/>
    <tableColumn id="84" xr3:uid="{C3097C5C-3684-494E-A0E0-3010B3609236}" name="T. - Gross Inv in P" dataDxfId="585" dataCellStyle="Currency"/>
    <tableColumn id="85" xr3:uid="{B79C067B-2613-4D54-A4D0-D53D3AAD1CDB}" name="T. W. - Stat (R AFR) E&amp;G" dataDxfId="584" dataCellStyle="Currency"/>
    <tableColumn id="86" xr3:uid="{DFA6F3C9-6A1E-4769-876A-DECC95EFEBB3}" name="T. W. - Stat (R AFR) Desg" dataDxfId="583" dataCellStyle="Currency"/>
    <tableColumn id="87" xr3:uid="{52CE9728-9D3D-40B0-8F11-34E09F2348FE}" name="T. W. - Stat (R AFR) Aux" dataDxfId="582" dataCellStyle="Currency"/>
    <tableColumn id="88" xr3:uid="{98748CD8-4A13-486D-AA55-191D3004FC30}" name="T. W. - Stat (R AFR) R Exp" dataDxfId="581" dataCellStyle="Currency"/>
    <tableColumn id="89" xr3:uid="{B5A08B63-0117-4767-8154-5A817E6A4512}" name="T. W. - Stat (R AFR) Loan" dataDxfId="580" dataCellStyle="Currency"/>
    <tableColumn id="90" xr3:uid="{BABF7030-4DE9-4BBA-AF37-E2BA49DF6D15}" name="T. W. - Stat (R AFR) Annuity" dataDxfId="579" dataCellStyle="Currency"/>
    <tableColumn id="91" xr3:uid="{1E7C91C7-2D84-4D39-A3F9-5B43164C496C}" name="T. W. - Stat (R AFR) Unexp" dataDxfId="578" dataCellStyle="Currency"/>
    <tableColumn id="92" xr3:uid="{6225097A-B68B-4172-BA06-1F040CF705F1}" name="T. W. - Stat (R AFR) R of Ind" dataDxfId="577" dataCellStyle="Currency"/>
    <tableColumn id="93" xr3:uid="{EDB01E8A-EDA4-46F3-A45A-FEC06E10C0F2}" name="T. W. - Stat (R AFR) Inv in P" dataDxfId="576" dataCellStyle="Currency"/>
    <tableColumn id="94" xr3:uid="{23032315-8116-404D-BF32-6BC4B8A1F982}" name="T. W. - Inst. (R AFR) E&amp;G" dataDxfId="575" dataCellStyle="Currency"/>
    <tableColumn id="95" xr3:uid="{91110B4A-D26E-4247-871F-0A8C75D88464}" name="T. W. - Inst. (R AFR) Desg" dataDxfId="574" dataCellStyle="Currency"/>
    <tableColumn id="96" xr3:uid="{8E307F8C-FC32-40F0-A2ED-0B4BCB721C39}" name="T. W. - Inst. (R AFR) Aux" dataDxfId="573" dataCellStyle="Currency"/>
    <tableColumn id="97" xr3:uid="{63E7AC9A-020C-43F4-B928-FE620A8785CD}" name="T. W. - Inst. (R AFR) R Exp" dataDxfId="572" dataCellStyle="Currency"/>
    <tableColumn id="98" xr3:uid="{96B00229-1D21-40D0-9A72-A8922DEDD937}" name="T. W. - Inst. (R AFR) Loan" dataDxfId="571" dataCellStyle="Currency"/>
    <tableColumn id="99" xr3:uid="{A55599D5-EEE5-4993-B8B9-9CB81DF9375B}" name="T. W. - Inst. (R AFR) Annuity" dataDxfId="570" dataCellStyle="Currency"/>
    <tableColumn id="100" xr3:uid="{8973FF63-A4B4-4103-ACA2-7F8511298930}" name="T. W. - Inst. (R AFR) Unexp" dataDxfId="569" dataCellStyle="Currency"/>
    <tableColumn id="101" xr3:uid="{A9430C2F-28F9-4CA1-9C5C-97B455FAE6B4}" name="T. W. - Inst. (R AFR) R of Ind" dataDxfId="568" dataCellStyle="Currency"/>
    <tableColumn id="102" xr3:uid="{E4F547D1-2168-4524-85D1-1993EC8F53BB}" name="T. W. - Inst. (R AFR) Inv in P" dataDxfId="567" dataCellStyle="Currency"/>
    <tableColumn id="103" xr3:uid="{E4C0F02A-8E43-4ADD-888D-142EF4E7DF73}" name="T. Exp. - Stat (R AFR) E&amp;G" dataDxfId="566" dataCellStyle="Currency"/>
    <tableColumn id="104" xr3:uid="{30021C1D-450A-461D-8877-C602296776FC}" name="T. Exp. - Stat (R AFR) Desg" dataDxfId="565" dataCellStyle="Currency"/>
    <tableColumn id="105" xr3:uid="{AE482208-F04E-4651-A277-5790B38E1848}" name="T. Exp. - Stat (R AFR) Aux" dataDxfId="564" dataCellStyle="Currency"/>
    <tableColumn id="106" xr3:uid="{AC7DA887-B6D0-488C-A140-8C3B223C6E2C}" name="T. Exp. - Stat (R AFR) R Exp" dataDxfId="563" dataCellStyle="Currency"/>
    <tableColumn id="107" xr3:uid="{0DA0ADFF-4D0B-4E86-911E-3D76D04B40D7}" name="T. Exp. - Stat (R AFR) Loan" dataDxfId="562" dataCellStyle="Currency"/>
    <tableColumn id="108" xr3:uid="{FBA3629F-59D6-491D-8CB0-01776C675BBD}" name="T. Exp. - Stat (R AFR) Annuity" dataDxfId="561" dataCellStyle="Currency"/>
    <tableColumn id="109" xr3:uid="{14236051-9285-4480-A5F9-6C3466E19DBC}" name="T. Exp. - Stat (R AFR) Unexp" dataDxfId="560" dataCellStyle="Currency"/>
    <tableColumn id="110" xr3:uid="{404BD069-9785-4CDB-94C2-D6AC24DFD2CD}" name="T. Exp. - Stat (R AFR) R of Ind" dataDxfId="559" dataCellStyle="Currency"/>
    <tableColumn id="111" xr3:uid="{ADF5A021-163D-4644-9C42-9007FE955B5F}" name="T. Exp. - Stat (R AFR) Inv in P" dataDxfId="558" dataCellStyle="Currency"/>
    <tableColumn id="112" xr3:uid="{BA151A32-35FA-4BBE-9C79-527691DB1667}" name="T. Exp. - Inst. (R AFR) E&amp;G" dataDxfId="557" dataCellStyle="Currency"/>
    <tableColumn id="113" xr3:uid="{AE4139CC-1C42-42B0-A34A-758800989363}" name="T. Exp. - Inst. (R AFR) Desg" dataDxfId="556" dataCellStyle="Currency"/>
    <tableColumn id="114" xr3:uid="{2C093608-E1CB-44A8-B865-D0B3A3EC8755}" name="T. Exp. - Inst. (R AFR) Aux" dataDxfId="555" dataCellStyle="Currency"/>
    <tableColumn id="115" xr3:uid="{0E100923-B4C1-496D-9FCD-09FB4C6BE4D9}" name="T. Exp. - Inst. (R AFR) R Exp" dataDxfId="554" dataCellStyle="Currency"/>
    <tableColumn id="116" xr3:uid="{07C474FF-1D64-4290-A78D-1A7C076B5DB0}" name="T. Exp. - Inst. (R AFR) Loan" dataDxfId="553" dataCellStyle="Currency"/>
    <tableColumn id="117" xr3:uid="{EACC4B77-6308-48DF-B5BD-55CAAF861553}" name="T. Exp. - Inst. (R AFR) Annuity" dataDxfId="552" dataCellStyle="Currency"/>
    <tableColumn id="118" xr3:uid="{4EA36967-2CC1-474A-B6DF-FE03D6726E65}" name="T. Exp. - Inst. (R AFR) Unexp" dataDxfId="551" dataCellStyle="Currency"/>
    <tableColumn id="119" xr3:uid="{1C9D890D-1F7A-4D1D-8838-F318746E54EE}" name="T. Exp. - Inst. (R AFR) R of Ind" dataDxfId="550" dataCellStyle="Currency"/>
    <tableColumn id="120" xr3:uid="{E42C0177-64B8-4035-BC63-80C183ED883E}" name="T. Exp. - Inst. (R AFR) Inv in P" dataDxfId="549" dataCellStyle="Currency"/>
    <tableColumn id="121" xr3:uid="{04DEA523-D94D-4315-B2F2-9A0ED7201BCC}" name="T. Schlr E&amp;G" dataDxfId="548" dataCellStyle="Currency"/>
    <tableColumn id="122" xr3:uid="{B5D44B40-AA46-40D9-A676-132D3CD4DD51}" name="T. Schlr Desg" dataDxfId="547" dataCellStyle="Currency"/>
    <tableColumn id="123" xr3:uid="{0F01F42A-E08F-4B23-A799-43E15D745E5D}" name="T. Schlr Aux" dataDxfId="546" dataCellStyle="Currency"/>
    <tableColumn id="124" xr3:uid="{22F8FA17-C4AA-4245-8296-A8369EC45449}" name="T. Schlr R Exp" dataDxfId="545" dataCellStyle="Currency"/>
    <tableColumn id="125" xr3:uid="{98FC5629-6B63-45BC-95C6-3C7EFD1A283C}" name="T. Schlr Loan" dataDxfId="544" dataCellStyle="Currency"/>
    <tableColumn id="126" xr3:uid="{3F02DBD7-77E8-4ED6-8673-4DD62BA2ACCA}" name="T. Schlr Annuity" dataDxfId="543" dataCellStyle="Currency"/>
    <tableColumn id="127" xr3:uid="{3E5D08F8-01A4-431D-A186-8C632DFB8498}" name="T. Schlr Unexp" dataDxfId="542" dataCellStyle="Currency"/>
    <tableColumn id="128" xr3:uid="{CC23FEE9-F191-4108-989C-62E8E0DB477D}" name="T. Schlr R of Ind" dataDxfId="541" dataCellStyle="Currency"/>
    <tableColumn id="129" xr3:uid="{E22DDF3C-9045-4D78-83D5-6601EC546A90}" name="T. Schlr Inv in P" dataDxfId="540" dataCellStyle="Currency"/>
    <tableColumn id="130" xr3:uid="{24208F7D-2736-474C-AABA-7CE6E7D11377}" name="F. W. - Stat (NR AFR) E&amp;G" dataDxfId="539" dataCellStyle="Currency"/>
    <tableColumn id="131" xr3:uid="{AAB08E3E-EEDC-4F2E-A16F-B203DA959F23}" name="F. W. - Stat (NR AFR) Desg" dataDxfId="538" dataCellStyle="Currency"/>
    <tableColumn id="132" xr3:uid="{D7F4C842-CFDF-4A64-B4B7-F665D5C9EDD1}" name="F. W. - Stat (NR AFR) Aux" dataDxfId="537" dataCellStyle="Currency"/>
    <tableColumn id="133" xr3:uid="{97EF0C6C-B332-4991-B4DC-37E38268D0CA}" name="F. W. - Stat (NR AFR) R Exp" dataDxfId="536" dataCellStyle="Currency"/>
    <tableColumn id="134" xr3:uid="{E4294736-F327-4888-B4FF-E7DF97B65164}" name="F. W. - Stat (NR AFR) Loan" dataDxfId="535" dataCellStyle="Currency"/>
    <tableColumn id="135" xr3:uid="{B947C61F-B93B-4FB0-8181-491A5F9BF150}" name="F. W. - Stat (NR AFR) Annuity" dataDxfId="534" dataCellStyle="Currency"/>
    <tableColumn id="136" xr3:uid="{53159CF8-0521-4769-A2FF-E64C662598EC}" name="F. W. - Stat (NR AFR) Unexp" dataDxfId="533" dataCellStyle="Currency"/>
    <tableColumn id="137" xr3:uid="{BF7C46FB-E1DA-40CC-8531-A5DB4A31A878}" name="F. W. - Stat (NR AFR) R of Ind" dataDxfId="532" dataCellStyle="Currency"/>
    <tableColumn id="138" xr3:uid="{CD93ADCC-E22A-4D2D-8BB1-E2952D8B91E4}" name="F. W. - Stat (NR AFR) Inv in P" dataDxfId="531" dataCellStyle="Currency"/>
    <tableColumn id="139" xr3:uid="{CB60DDEA-976F-4D11-BC24-EC3241293713}" name="F. W. - Inst. (NR AFR) E&amp;G" dataDxfId="530" dataCellStyle="Currency"/>
    <tableColumn id="140" xr3:uid="{2870B41C-66C9-4567-A507-E9D48AA55702}" name="F. W. - Inst. (NR AFR) Desg" dataDxfId="529" dataCellStyle="Currency"/>
    <tableColumn id="141" xr3:uid="{80709FED-CF5E-47CA-9ED6-BC730FE5685B}" name="F. W. - Inst. (NR AFR) Aux" dataDxfId="528" dataCellStyle="Currency"/>
    <tableColumn id="142" xr3:uid="{C0BCBC06-EF0A-41AC-9565-7F7815C5E42F}" name="F. W. - Inst. (NR AFR) R Exp" dataDxfId="527" dataCellStyle="Currency"/>
    <tableColumn id="143" xr3:uid="{881AD4C6-2448-42B0-BA48-3979F8074A92}" name="F. W. - Inst. (NR AFR) Loan" dataDxfId="526" dataCellStyle="Currency"/>
    <tableColumn id="144" xr3:uid="{B2C0730B-5E6A-43C6-9ABC-E3176D01955A}" name="F. W. - Inst. (NR AFR) Annuity" dataDxfId="525" dataCellStyle="Currency"/>
    <tableColumn id="145" xr3:uid="{C963BCAA-209C-4AD9-8B1C-D4F6938E45F3}" name="F. W. - Inst. (NR AFR) Unexp" dataDxfId="524" dataCellStyle="Currency"/>
    <tableColumn id="146" xr3:uid="{9156DDC5-5459-4CBB-B9B4-8622FA9F46C2}" name="F. W. - Inst. (NR AFR) R of Ind" dataDxfId="523" dataCellStyle="Currency"/>
    <tableColumn id="147" xr3:uid="{2F83323E-FD6C-481F-8052-A65E59A13420}" name="F. W. - Inst. (NR AFR) Inv in P" dataDxfId="522" dataCellStyle="Currency"/>
    <tableColumn id="148" xr3:uid="{06CF39BC-1CCA-4B3A-BA11-284E629E4E12}" name="F. Exp. - Stat (NR AFR) E&amp;G" dataDxfId="521" dataCellStyle="Currency"/>
    <tableColumn id="149" xr3:uid="{C89C29DD-17B1-4F0E-9045-FB2AEB0F0820}" name="F. Exp. - Stat (NR AFR) Desg" dataDxfId="520" dataCellStyle="Currency"/>
    <tableColumn id="150" xr3:uid="{D87B818C-BCE5-4C3E-AA37-F73C3A20D92D}" name="F. Exp. - Stat (NR AFR) Aux" dataDxfId="519" dataCellStyle="Currency"/>
    <tableColumn id="151" xr3:uid="{B3F6A671-8117-44ED-A6F6-58B4BFC171D2}" name="F. Exp. - Stat (NR AFR) R Exp" dataDxfId="518" dataCellStyle="Currency"/>
    <tableColumn id="152" xr3:uid="{F8BBAA66-57F8-42BB-BB2B-756206E6CF6D}" name="F. Exp. - Stat (NR AFR) Loan" dataDxfId="517" dataCellStyle="Currency"/>
    <tableColumn id="153" xr3:uid="{5421BA0F-E46B-4FC5-8751-11F52CD8EC62}" name="F. Exp. - Stat (NR AFR) Annuity" dataDxfId="516" dataCellStyle="Currency"/>
    <tableColumn id="154" xr3:uid="{7A78650C-38C7-4AF6-BC67-A861714E0D3E}" name="F. Exp. - Stat (NR AFR) Unexp" dataDxfId="515" dataCellStyle="Currency"/>
    <tableColumn id="155" xr3:uid="{D3417E77-1CEE-4FD0-B553-054596BE8ED1}" name="F. Exp. - Stat (NR AFR) R of Ind" dataDxfId="514" dataCellStyle="Currency"/>
    <tableColumn id="156" xr3:uid="{233746A2-446B-40E0-A5DA-D6029A70BD84}" name="F. Exp. - Stat (NR AFR) Inv in P" dataDxfId="513" dataCellStyle="Currency"/>
    <tableColumn id="157" xr3:uid="{70F390A3-5081-4947-B19E-63D4ECAB9724}" name="F. Exp. - Inst. (NR AFR) E&amp;G" dataDxfId="512" dataCellStyle="Currency"/>
    <tableColumn id="158" xr3:uid="{5C03B3F9-18D9-49BA-8FA2-901C88127C0F}" name="F. Exp. - Inst. (NR AFR) Desg" dataDxfId="511" dataCellStyle="Currency"/>
    <tableColumn id="159" xr3:uid="{7E1F595A-DD0A-4824-8786-9813C0757984}" name="F. Exp. - Inst. (NR AFR) Aux" dataDxfId="510" dataCellStyle="Currency"/>
    <tableColumn id="160" xr3:uid="{BF0DFDC8-4374-484E-A5D4-06927F8714E7}" name="F. Exp. - Inst. (NR AFR) R Exp" dataDxfId="509" dataCellStyle="Currency"/>
    <tableColumn id="161" xr3:uid="{B2D0E77B-1F00-4FDF-948C-15B7E546FA26}" name="F. Exp. - Inst. (NR AFR) Loan" dataDxfId="508" dataCellStyle="Currency"/>
    <tableColumn id="162" xr3:uid="{47B32D7C-2A8B-4930-8BE3-FF0CD15D074B}" name="F. Exp. - Inst. (NR AFR) Annuity" dataDxfId="507" dataCellStyle="Currency"/>
    <tableColumn id="163" xr3:uid="{A59E57CE-FD63-4DC7-9BAA-3B4E437B1E7E}" name="F. Exp. - Inst. (NR AFR) Unexp" dataDxfId="506" dataCellStyle="Currency"/>
    <tableColumn id="164" xr3:uid="{A6CF9059-E85D-451B-8AD4-80F652DF7E20}" name="F. Exp. - Inst. (NR AFR) R of Ind" dataDxfId="505" dataCellStyle="Currency"/>
    <tableColumn id="165" xr3:uid="{C84C0196-672F-44E7-9880-27CEB38F142C}" name="F. Exp. - Inst. (NR AFR) Inv in P" dataDxfId="504" dataCellStyle="Currency"/>
    <tableColumn id="166" xr3:uid="{E99EE1B1-A393-4E12-8D9B-0E0F96FC2AC3}" name="Fees - Gross E&amp;G" dataDxfId="503" dataCellStyle="Currency"/>
    <tableColumn id="167" xr3:uid="{4C63F005-C9BC-4DE6-A400-C716FBB3C42E}" name="Fees - Gross Desg" dataDxfId="502" dataCellStyle="Currency"/>
    <tableColumn id="168" xr3:uid="{D45C80E1-7303-45D5-B0D5-0F9C471AACA3}" name="Fees - Gross Aux" dataDxfId="501" dataCellStyle="Currency"/>
    <tableColumn id="169" xr3:uid="{EEAA741D-1641-4BCC-84BA-E4B639838619}" name="Fees - Gross R Exp" dataDxfId="500" dataCellStyle="Currency"/>
    <tableColumn id="170" xr3:uid="{1A2AE342-D766-42F7-ABF8-D97A930DA523}" name="Fees - Gross Loan" dataDxfId="499" dataCellStyle="Currency"/>
    <tableColumn id="171" xr3:uid="{C58483F7-9D1A-44D1-823C-98090DA523A5}" name="Fees - Gross Annuity" dataDxfId="498" dataCellStyle="Currency"/>
    <tableColumn id="172" xr3:uid="{68473AA9-2926-45D3-8B31-BCBA0C645BB5}" name="Fees - Gross Unexp" dataDxfId="497" dataCellStyle="Currency"/>
    <tableColumn id="173" xr3:uid="{0CAF5677-3EA7-4736-9FD2-166156A9A77A}" name="Fees - Gross R of Ind" dataDxfId="496" dataCellStyle="Currency"/>
    <tableColumn id="174" xr3:uid="{F329622F-0217-4C26-A132-8F42B4642E67}" name="Fees - Gross Inv in P" dataDxfId="495" dataCellStyle="Currency"/>
    <tableColumn id="175" xr3:uid="{C45D242D-665F-4777-8E67-6205200C03E2}" name="F. W. - Stat (R AFR) E&amp;G" dataDxfId="494" dataCellStyle="Currency"/>
    <tableColumn id="176" xr3:uid="{B8D0A81B-4379-4975-8076-86C4D9B3FD07}" name="F. W. - Stat (R AFR) Desg" dataDxfId="493" dataCellStyle="Currency"/>
    <tableColumn id="177" xr3:uid="{99B4458E-D253-4514-8610-4440B103806F}" name="F. W. - Stat (R AFR) Aux" dataDxfId="492" dataCellStyle="Currency"/>
    <tableColumn id="178" xr3:uid="{6DA9A445-A8DD-4366-813A-AD1DD9C6B243}" name="F. W. - Stat (R AFR) R Exp" dataDxfId="491" dataCellStyle="Currency"/>
    <tableColumn id="179" xr3:uid="{08C44E68-8D20-4B3A-950D-D3BFB02791A3}" name="F. W. - Stat (R AFR) Loan" dataDxfId="490" dataCellStyle="Currency"/>
    <tableColumn id="180" xr3:uid="{9EAD5C49-C0CB-436C-A41B-C1B04073AF24}" name="F. W. - Stat (R AFR) Annuity" dataDxfId="489" dataCellStyle="Currency"/>
    <tableColumn id="181" xr3:uid="{04615D50-DDF4-4791-A893-6B2186A498DF}" name="F. W. - Stat (R AFR) Unexp" dataDxfId="488" dataCellStyle="Currency"/>
    <tableColumn id="182" xr3:uid="{B7CA99FB-0AD2-4F6B-9AE3-A47AF06AB923}" name="F. W. - Stat (R AFR) R of Ind" dataDxfId="487" dataCellStyle="Currency"/>
    <tableColumn id="183" xr3:uid="{1B56F229-30B0-4A2D-8C8F-B8B3B625B1E6}" name="F. W. - Stat (R AFR) Inv in P" dataDxfId="486" dataCellStyle="Currency"/>
    <tableColumn id="184" xr3:uid="{EF0591EB-521F-4ABC-9E42-BD572036D809}" name="F. W. - Inst. (R AFR) E&amp;G" dataDxfId="485" dataCellStyle="Currency"/>
    <tableColumn id="185" xr3:uid="{FD4EB2D2-F67B-4381-8DC3-524CCCF29EFA}" name="F. W. - Inst. (R AFR) Desg" dataDxfId="484" dataCellStyle="Currency"/>
    <tableColumn id="186" xr3:uid="{C506C4B5-FCC0-40E6-AA09-CDA2150E7792}" name="F. W. - Inst. (R AFR) Aux" dataDxfId="483" dataCellStyle="Currency"/>
    <tableColumn id="187" xr3:uid="{04D7B702-D91B-4868-A0C7-BFE2613235CB}" name="F. W. - Inst. (R AFR) R Exp" dataDxfId="482" dataCellStyle="Currency"/>
    <tableColumn id="188" xr3:uid="{E5B6845D-E464-4B66-94ED-686C20291009}" name="F. W. - Inst. (R AFR) Loan" dataDxfId="481" dataCellStyle="Currency"/>
    <tableColumn id="189" xr3:uid="{07DD7C13-FC76-4288-A692-D7AD07F7A7B4}" name="F. W. - Inst. (R AFR) Annuity" dataDxfId="480" dataCellStyle="Currency"/>
    <tableColumn id="190" xr3:uid="{A4FA278C-33CB-499B-A973-DB379CD0FF60}" name="F. W. - Inst. (R AFR) Unexp" dataDxfId="479" dataCellStyle="Currency"/>
    <tableColumn id="191" xr3:uid="{ABC9120B-B153-43D6-B7C8-9B81FC9E4C6F}" name="F. W. - Inst. (R AFR) R of Ind" dataDxfId="478" dataCellStyle="Currency"/>
    <tableColumn id="192" xr3:uid="{CB23C82B-F2ED-4990-8D4B-36A727B1BDA4}" name="F. W. - Inst. (R AFR) Inv in P" dataDxfId="477" dataCellStyle="Currency"/>
    <tableColumn id="193" xr3:uid="{B192DD1E-7D26-4438-831A-EB36296997BD}" name="F. Exp. - Stat (R AFR) E&amp;G" dataDxfId="476" dataCellStyle="Currency"/>
    <tableColumn id="194" xr3:uid="{A602771A-8D67-4B8B-8BEB-A98888DABA06}" name="F. Exp. - Stat (R AFR) Desg" dataDxfId="475" dataCellStyle="Currency"/>
    <tableColumn id="195" xr3:uid="{8713BDB0-A655-4C4A-8C9C-8FA3431ECEF7}" name="F. Exp. - Stat (R AFR) Aux" dataDxfId="474" dataCellStyle="Currency"/>
    <tableColumn id="196" xr3:uid="{453D9812-2BAF-4509-B7EC-E2F7DAC0218C}" name="F. Exp. - Stat (R AFR) R Exp" dataDxfId="473" dataCellStyle="Currency"/>
    <tableColumn id="197" xr3:uid="{49F28940-7178-4468-BCDD-6CF5770247E9}" name="F. Exp. - Stat (R AFR) Loan" dataDxfId="472" dataCellStyle="Currency"/>
    <tableColumn id="198" xr3:uid="{8C676254-98D0-4DF7-A0BC-E9196AB721E4}" name="F. Exp. - Stat (R AFR) Annuity" dataDxfId="471" dataCellStyle="Currency"/>
    <tableColumn id="199" xr3:uid="{BAC32F33-EF61-4B68-A91C-40C30D0F743C}" name="F. Exp. - Stat (R AFR) Unexp" dataDxfId="470" dataCellStyle="Currency"/>
    <tableColumn id="200" xr3:uid="{2DEB9E72-6685-4CDD-8E53-5C3F66F5B3B2}" name="F. Exp. - Stat (R AFR) R of Ind" dataDxfId="469" dataCellStyle="Currency"/>
    <tableColumn id="201" xr3:uid="{12FADB87-6491-4D8B-A962-DAC590DD1988}" name="F. Exp. - Stat (R AFR) Inv in P" dataDxfId="468" dataCellStyle="Currency"/>
    <tableColumn id="202" xr3:uid="{D57839C4-4C7D-4145-AC20-7923A3C83BF8}" name="F. Exp. - Inst. (R AFR) E&amp;G" dataDxfId="467" dataCellStyle="Currency"/>
    <tableColumn id="203" xr3:uid="{AE2C1A69-7002-433A-B2DC-A8341E362716}" name="F. Exp. - Inst. (R AFR) Desg" dataDxfId="466" dataCellStyle="Currency"/>
    <tableColumn id="204" xr3:uid="{22CF3095-9BE0-4639-AD49-E13AFB41AC60}" name="F. Exp. - Inst. (R AFR) Aux" dataDxfId="465" dataCellStyle="Currency"/>
    <tableColumn id="205" xr3:uid="{6ED74B4C-36F5-43CC-AEFA-AFF657734B46}" name="F. Exp. - Inst. (R AFR) R Exp" dataDxfId="464" dataCellStyle="Currency"/>
    <tableColumn id="206" xr3:uid="{088FCDD4-88C4-40C9-B899-8AE1DC265FB7}" name="F. Exp. - Inst. (R AFR) Loan" dataDxfId="463" dataCellStyle="Currency"/>
    <tableColumn id="207" xr3:uid="{83657496-E063-4284-B833-8DF6D7C31C16}" name="F. Exp. - Inst. (R AFR) Annuity" dataDxfId="462" dataCellStyle="Currency"/>
    <tableColumn id="208" xr3:uid="{A12073DE-1A0E-4C76-912F-E4DDA4CEFDA1}" name="F. Exp. - Inst. (R AFR) Unexp" dataDxfId="461" dataCellStyle="Currency"/>
    <tableColumn id="209" xr3:uid="{9B09CDF6-05BF-4E6B-A6A0-2C7A431A7CD9}" name="F. Exp. - Inst. (R AFR) R of Ind" dataDxfId="460" dataCellStyle="Currency"/>
    <tableColumn id="210" xr3:uid="{8905474F-E07F-416F-A209-C2F4CE9E46C8}" name="F. Exp. - Inst. (R AFR) Inv in P" dataDxfId="459" dataCellStyle="Currency"/>
    <tableColumn id="211" xr3:uid="{4422B200-5ED4-4CFF-9974-FC1AFE6BAA36}" name="Fee Schlr E&amp;G" dataDxfId="458" dataCellStyle="Currency"/>
    <tableColumn id="212" xr3:uid="{3888F531-CC53-458F-B4C0-128D9FDD60A3}" name="Fee Schlr Desg" dataDxfId="457" dataCellStyle="Currency"/>
    <tableColumn id="213" xr3:uid="{3F485444-1C52-4971-B5AA-F963D10E2054}" name="Fee Schlr Aux" dataDxfId="456" dataCellStyle="Currency"/>
    <tableColumn id="214" xr3:uid="{EB637C2F-C3DC-4A8B-97C0-5B15AC8139E0}" name="Fee Schlr R Exp" dataDxfId="455" dataCellStyle="Currency"/>
    <tableColumn id="215" xr3:uid="{8945CCCA-3FB0-4DF5-ABB3-97BC2D1754A5}" name="Fee Schlr Loan" dataDxfId="454" dataCellStyle="Currency"/>
    <tableColumn id="216" xr3:uid="{7ABA0590-F8F2-4FAA-8721-89D1687F0C77}" name="Fee Schlr Annuity" dataDxfId="453" dataCellStyle="Currency"/>
    <tableColumn id="217" xr3:uid="{2F3BC72A-1B40-4E2F-BD49-D742722D216B}" name="Fee Schlr Unexp" dataDxfId="452" dataCellStyle="Currency"/>
    <tableColumn id="218" xr3:uid="{C7CD3C22-9783-493B-819D-963A7098C6CD}" name="Fee Schlr R of Ind" dataDxfId="451" dataCellStyle="Currency"/>
    <tableColumn id="219" xr3:uid="{E4327E99-3431-4B36-88B3-C38B273495DB}" name="Fee Schlr Inv in P" dataDxfId="450" dataCellStyle="Currency"/>
    <tableColumn id="220" xr3:uid="{7BE9D76E-DE76-4B28-9029-C268E1E3C2E9}" name="Fed G&amp;C E&amp;G" dataDxfId="449" dataCellStyle="Currency"/>
    <tableColumn id="221" xr3:uid="{E919707E-A36A-45DB-A7EC-022A17985F53}" name="Fed G&amp;C Desg" dataDxfId="448" dataCellStyle="Currency"/>
    <tableColumn id="222" xr3:uid="{E4A0B24B-4362-42C2-8E31-76A964B99255}" name="Fed G&amp;C Aux" dataDxfId="447" dataCellStyle="Currency"/>
    <tableColumn id="223" xr3:uid="{E509BBD2-8BBA-4E2D-A00C-5CCC3D4DD37D}" name="Fed G&amp;C R Exp" dataDxfId="446" dataCellStyle="Currency"/>
    <tableColumn id="224" xr3:uid="{69AF17A6-A010-40BE-9926-C07CCDB3294B}" name="Fed G&amp;C Loan" dataDxfId="445" dataCellStyle="Currency"/>
    <tableColumn id="225" xr3:uid="{AAC1640A-2CAA-4CC8-87BC-7244DB9B4D7A}" name="Fed G&amp;C Annuity" dataDxfId="444" dataCellStyle="Currency"/>
    <tableColumn id="226" xr3:uid="{0BF15C58-79B5-4EAE-B768-5CF003CA1B0F}" name="Fed G&amp;C Unexp" dataDxfId="443" dataCellStyle="Currency"/>
    <tableColumn id="227" xr3:uid="{9813293E-F1E7-4B97-AED9-3BCA4C4BED83}" name="Fed G&amp;C R of Ind" dataDxfId="442" dataCellStyle="Currency"/>
    <tableColumn id="228" xr3:uid="{AF6E22A3-5E45-4EEC-9217-DC5A46755CC4}" name="Fed G&amp;C Inv in P" dataDxfId="441" dataCellStyle="Currency"/>
    <tableColumn id="229" xr3:uid="{A5F8C3C0-22A4-4BF2-B92A-46FF675BDD7C}" name="Prof Fees E&amp;G" dataDxfId="440" dataCellStyle="Currency"/>
    <tableColumn id="230" xr3:uid="{93809411-B6ED-4B53-98DB-543B9373C21F}" name="Prof Fees Desg" dataDxfId="439" dataCellStyle="Currency"/>
    <tableColumn id="231" xr3:uid="{5CFC2F12-B8A5-4706-B5F2-766793C8E27A}" name="Prof Fees Aux" dataDxfId="438" dataCellStyle="Currency"/>
    <tableColumn id="232" xr3:uid="{F1AFFC06-6876-4C76-B55D-96D8F7C2AEF7}" name="Prof Fees R Exp" dataDxfId="437" dataCellStyle="Currency"/>
    <tableColumn id="233" xr3:uid="{F5604888-A88A-42B0-8DB0-D0DD62E124B0}" name="Prof Fees Loan" dataDxfId="436" dataCellStyle="Currency"/>
    <tableColumn id="234" xr3:uid="{75E881DF-EEB6-43C1-AD33-F2600EA97531}" name="Prof Fees Annuity" dataDxfId="435" dataCellStyle="Currency"/>
    <tableColumn id="235" xr3:uid="{DA337506-69CD-46A9-840B-8CD7316080CE}" name="Prof Fees Unexp" dataDxfId="434" dataCellStyle="Currency"/>
    <tableColumn id="236" xr3:uid="{CF59E715-F922-4008-98C6-93824D6FFE77}" name="Prof Fees R of Ind" dataDxfId="433" dataCellStyle="Currency"/>
    <tableColumn id="237" xr3:uid="{DC19CBBF-C1A3-40F4-BA5D-DCC7BB6355C5}" name="Prof Fees Inv in P" dataDxfId="432" dataCellStyle="Currency"/>
    <tableColumn id="238" xr3:uid="{155503E5-1C0C-4694-9BCA-B1E51E136A01}" name="H&amp;C (OS) E&amp;G" dataDxfId="431" dataCellStyle="Currency"/>
    <tableColumn id="239" xr3:uid="{50A616A3-A95B-415A-96BE-D7C52611B3CA}" name="H&amp;C (OS) Desg" dataDxfId="430" dataCellStyle="Currency"/>
    <tableColumn id="240" xr3:uid="{D2B3DE94-39E0-4129-8779-0E0873A696E2}" name="H&amp;C (OS) Aux" dataDxfId="429" dataCellStyle="Currency"/>
    <tableColumn id="241" xr3:uid="{D5A96B0F-E52D-4416-BB2E-930EB5A92A9E}" name="H&amp;C (OS) R Exp" dataDxfId="428" dataCellStyle="Currency"/>
    <tableColumn id="242" xr3:uid="{F5CCFCD0-FD59-4968-83FE-8B2CAB1D8DE7}" name="H&amp;C (OS) Loan" dataDxfId="427" dataCellStyle="Currency"/>
    <tableColumn id="243" xr3:uid="{3395C302-B1DB-4179-ACE0-33AB51BF5E56}" name="H&amp;C (OS) Annuity" dataDxfId="426" dataCellStyle="Currency"/>
    <tableColumn id="244" xr3:uid="{254315C3-E52A-4AAB-9BF7-07D21167F99D}" name="H&amp;C (OS) Unexp" dataDxfId="425" dataCellStyle="Currency"/>
    <tableColumn id="245" xr3:uid="{4B1BF704-F8B6-48DA-A8E4-96D88CE16073}" name="H&amp;C (OS) R of Ind" dataDxfId="424" dataCellStyle="Currency"/>
    <tableColumn id="246" xr3:uid="{CE9292CB-0C02-4DE1-AE35-6848649EE60E}" name="H&amp;C (OS) Inv in P" dataDxfId="423" dataCellStyle="Currency"/>
    <tableColumn id="247" xr3:uid="{26FA9A82-182D-4E6B-875F-F222FEA12FDD}" name="End &amp; Int Inc E&amp;G" dataDxfId="422" dataCellStyle="Currency"/>
    <tableColumn id="248" xr3:uid="{A2632B93-9EE4-41A5-93C2-E03839241BFB}" name="End &amp; Int Inc Desg" dataDxfId="421" dataCellStyle="Currency"/>
    <tableColumn id="249" xr3:uid="{F829996C-199A-462B-8BB5-115A53E00005}" name="End &amp; Int Inc Aux" dataDxfId="420" dataCellStyle="Currency"/>
    <tableColumn id="250" xr3:uid="{1FADD0B4-8437-48D6-93D9-6F921C250EEA}" name="End &amp; Int Inc R Exp" dataDxfId="419" dataCellStyle="Currency"/>
    <tableColumn id="251" xr3:uid="{6D772479-F381-4A12-B791-C1DBB6E9B1F7}" name="End &amp; Int Inc Loan" dataDxfId="418" dataCellStyle="Currency"/>
    <tableColumn id="252" xr3:uid="{ABD9B693-A074-4266-86C9-AD38000646A1}" name="End &amp; Int Inc Annuity" dataDxfId="417" dataCellStyle="Currency"/>
    <tableColumn id="253" xr3:uid="{1E5393F6-37BA-4536-B35D-321A8521E5BE}" name="End &amp; Int Inc Unexp" dataDxfId="416" dataCellStyle="Currency"/>
    <tableColumn id="254" xr3:uid="{F8E8F609-1690-45B9-BA7F-C9692059E2BC}" name="End &amp; Int Inc R of Ind" dataDxfId="415" dataCellStyle="Currency"/>
    <tableColumn id="255" xr3:uid="{2AE6CA8C-AE46-4C38-A13D-B983B19F3FC6}" name="End &amp; Int Inc Inv in P" dataDxfId="414" dataCellStyle="Currency"/>
    <tableColumn id="256" xr3:uid="{49B21125-1250-474D-832B-8141B9D70996}" name="Loc Gov G E&amp;G" dataDxfId="413" dataCellStyle="Currency"/>
    <tableColumn id="257" xr3:uid="{99F649F0-664E-4F90-A8B7-171DC492DE4C}" name="Loc Gov G Desg" dataDxfId="412" dataCellStyle="Currency"/>
    <tableColumn id="258" xr3:uid="{730246A7-741B-438A-A580-EABB9E485561}" name="Loc Gov G Aux" dataDxfId="411" dataCellStyle="Currency"/>
    <tableColumn id="259" xr3:uid="{505B8EA7-24FD-404D-93C5-036F215A660B}" name="Loc Gov G R Exp" dataDxfId="410" dataCellStyle="Currency"/>
    <tableColumn id="260" xr3:uid="{0B3C9D6E-06F5-4904-8EED-641AF754DC4B}" name="Loc Gov G Loan" dataDxfId="409" dataCellStyle="Currency"/>
    <tableColumn id="261" xr3:uid="{016926D8-CB0C-4A56-9F6A-5472B5A199B2}" name="Loc Gov G Annuity" dataDxfId="408" dataCellStyle="Currency"/>
    <tableColumn id="262" xr3:uid="{F0DF14B7-232E-43F7-85D9-CC44983B41FD}" name="Loc Gov G Unexp" dataDxfId="407" dataCellStyle="Currency"/>
    <tableColumn id="263" xr3:uid="{DF6830D9-E69B-438E-8069-99AE6381D9E0}" name="Loc Gov G R of Ind" dataDxfId="406" dataCellStyle="Currency"/>
    <tableColumn id="264" xr3:uid="{F73AFF59-51E8-450E-A352-09601220278B}" name="Loc Gov G Inv in P" dataDxfId="405" dataCellStyle="Currency"/>
    <tableColumn id="265" xr3:uid="{EFB6B5E0-1FFA-4EBC-9CBE-7E19A2EC00A7}" name="Pvt G&amp;G E&amp;G" dataDxfId="404" dataCellStyle="Currency"/>
    <tableColumn id="266" xr3:uid="{25B188BC-F433-4543-9130-44F3E55011B6}" name="Pvt G&amp;G Desg" dataDxfId="403" dataCellStyle="Currency"/>
    <tableColumn id="267" xr3:uid="{CB7FF555-AC4E-4112-BB0C-1BF384AF52C8}" name="Pvt G&amp;G Aux" dataDxfId="402" dataCellStyle="Currency"/>
    <tableColumn id="268" xr3:uid="{946EC586-2CFD-4C28-86CC-7AC92A743560}" name="Pvt G&amp;G R Exp" dataDxfId="401" dataCellStyle="Currency"/>
    <tableColumn id="269" xr3:uid="{FCCEBDB1-3BA6-46CD-92E9-EE14CF2CCB48}" name="Pvt G&amp;G Loan" dataDxfId="400" dataCellStyle="Currency"/>
    <tableColumn id="270" xr3:uid="{D06D5D69-7507-441E-88B5-EAE4A9CA8B56}" name="Pvt G&amp;G Annuity" dataDxfId="399" dataCellStyle="Currency"/>
    <tableColumn id="271" xr3:uid="{B2B535A9-1C40-405F-887B-0E391278986E}" name="Pvt G&amp;G Unexp" dataDxfId="398" dataCellStyle="Currency"/>
    <tableColumn id="272" xr3:uid="{C53E3C60-17E3-49C1-BC41-3DA5BF71A58F}" name="Pvt G&amp;G R of Ind" dataDxfId="397" dataCellStyle="Currency"/>
    <tableColumn id="273" xr3:uid="{80C369F0-CF42-4C68-89CD-258EACFE5F73}" name="Pvt G&amp;G Inv in P" dataDxfId="396" dataCellStyle="Currency"/>
    <tableColumn id="274" xr3:uid="{5F2E815D-D9B9-4348-8B2B-02A4CF5402A4}" name="S&amp;S E&amp;G" dataDxfId="395" dataCellStyle="Currency"/>
    <tableColumn id="275" xr3:uid="{EFD1C9F0-3558-48AC-97DD-AE06CBE2A935}" name="S&amp;S Desg" dataDxfId="394" dataCellStyle="Currency"/>
    <tableColumn id="276" xr3:uid="{749A739F-BAC5-464B-A4DE-C7FE445B8506}" name="S&amp;S Aux" dataDxfId="393" dataCellStyle="Currency"/>
    <tableColumn id="277" xr3:uid="{39F1F146-62AB-4387-B856-34735943BC33}" name="S&amp;S R Exp" dataDxfId="392" dataCellStyle="Currency"/>
    <tableColumn id="278" xr3:uid="{1637CFD2-AF60-4826-939C-42AF8C72EFB3}" name="S&amp;S Loan" dataDxfId="391" dataCellStyle="Currency"/>
    <tableColumn id="279" xr3:uid="{02876EC9-CC9A-4F7A-AA8B-A9A931D173AF}" name="S&amp;S Annuity" dataDxfId="390" dataCellStyle="Currency"/>
    <tableColumn id="280" xr3:uid="{1D8EACFB-BC71-4904-A439-54B648D61783}" name="S&amp;S Unexp" dataDxfId="389" dataCellStyle="Currency"/>
    <tableColumn id="281" xr3:uid="{E5E6AA34-0E19-4834-91F1-3993E68AE0A4}" name="S&amp;S R of Ind" dataDxfId="388" dataCellStyle="Currency"/>
    <tableColumn id="282" xr3:uid="{CB56E21B-33E4-4F53-99CA-69BA27D54CFE}" name="S&amp;S Inv in P" dataDxfId="387" dataCellStyle="Currency"/>
    <tableColumn id="283" xr3:uid="{CC11FE7F-591C-48B6-AAF8-80AFEA46B965}" name="Net Aux Ent E&amp;G" dataDxfId="386" dataCellStyle="Currency"/>
    <tableColumn id="284" xr3:uid="{80AA510D-655C-462B-A3FB-CE86BC490FBC}" name="Net Aux Ent Desg" dataDxfId="385" dataCellStyle="Currency"/>
    <tableColumn id="285" xr3:uid="{BA4FFFE4-E195-4811-B94D-0B6C4EDCC884}" name="Net Aux Ent Aux" dataDxfId="384" dataCellStyle="Currency"/>
    <tableColumn id="286" xr3:uid="{CFFD9458-4581-436F-81E5-95293BE03A45}" name="Net Aux Ent R Exp" dataDxfId="383" dataCellStyle="Currency"/>
    <tableColumn id="287" xr3:uid="{57CEC0A6-A78A-4679-A06C-1AFDC4FEFFDC}" name="Net Aux Ent Loan" dataDxfId="382" dataCellStyle="Currency"/>
    <tableColumn id="288" xr3:uid="{4A0F5A9B-4A92-4974-B3B9-7D2E47FE00CB}" name="Net Aux Ent Annuity" dataDxfId="381" dataCellStyle="Currency"/>
    <tableColumn id="289" xr3:uid="{5C14D7C0-D939-42F1-8260-ABBF6875FCE1}" name="Net Aux Ent Unexp" dataDxfId="380" dataCellStyle="Currency"/>
    <tableColumn id="290" xr3:uid="{D3B81954-C717-4E7B-BCC9-AE817DF25B41}" name="Net Aux Ent R of Ind" dataDxfId="379" dataCellStyle="Currency"/>
    <tableColumn id="291" xr3:uid="{60E21C0C-C02D-4C78-A4B5-5535142B9C22}" name="Net Aux Ent Inv in P" dataDxfId="378" dataCellStyle="Currency"/>
    <tableColumn id="292" xr3:uid="{35ABA6B4-6122-470D-AB2D-9EE711A16B98}" name="Oth Inc E&amp;G" dataDxfId="377" dataCellStyle="Currency"/>
    <tableColumn id="293" xr3:uid="{C7A63EDE-1F8D-4AA7-8990-ED8B4F48B2E2}" name="Oth Inc Desg" dataDxfId="376" dataCellStyle="Currency"/>
    <tableColumn id="294" xr3:uid="{AD8FB329-096B-4D22-BA57-9D47B57BCA85}" name="Oth Inc Aux" dataDxfId="375" dataCellStyle="Currency"/>
    <tableColumn id="295" xr3:uid="{04A9FA7D-5360-4A13-9A01-E0E494B6CF06}" name="Oth Inc R Exp" dataDxfId="374" dataCellStyle="Currency"/>
    <tableColumn id="296" xr3:uid="{D7B5F1C4-2FEF-4067-B4DB-EB18EE39A24C}" name="Oth Inc Loan" dataDxfId="373" dataCellStyle="Currency"/>
    <tableColumn id="297" xr3:uid="{6628F869-38AF-4293-9F9A-5176DB384883}" name="Oth Inc Annuity" dataDxfId="372" dataCellStyle="Currency"/>
    <tableColumn id="298" xr3:uid="{759D2CCC-CAD2-4B84-BDEF-70F1AE2C7001}" name="Oth Inc Unexp" dataDxfId="371" dataCellStyle="Currency"/>
    <tableColumn id="299" xr3:uid="{1D9908D2-2EDB-4643-917C-6FCC399380B0}" name="Oth Inc R of Ind" dataDxfId="370" dataCellStyle="Currency"/>
    <tableColumn id="300" xr3:uid="{C7DA4AF4-24D8-431E-8B94-A3A9DFA0B0FA}" name="Oth Inc Inv in P" dataDxfId="369" dataCellStyle="Currency"/>
    <tableColumn id="301" xr3:uid="{E765D375-DD0F-4DF9-8847-9AAB4C644D1B}" name="Instr E&amp;G" dataDxfId="368" dataCellStyle="Currency"/>
    <tableColumn id="302" xr3:uid="{F4F369D8-F4B1-4336-8C7B-684B8611229A}" name="Instr Desg" dataDxfId="367" dataCellStyle="Currency"/>
    <tableColumn id="303" xr3:uid="{CCC04D50-448C-4925-B180-6D39D1D8BBCD}" name="Instr Aux" dataDxfId="366" dataCellStyle="Currency"/>
    <tableColumn id="304" xr3:uid="{CBF1189C-615E-4DCD-BFF8-F6C79C6ED021}" name="Instr R Exp" dataDxfId="365" dataCellStyle="Currency"/>
    <tableColumn id="305" xr3:uid="{85179E30-C752-45FC-8E92-99F33C32430C}" name="Instr Loan" dataDxfId="364" dataCellStyle="Currency"/>
    <tableColumn id="306" xr3:uid="{B823C908-5678-4FB5-81E0-2FA55CE951E3}" name="Instr Annuity" dataDxfId="363" dataCellStyle="Currency"/>
    <tableColumn id="307" xr3:uid="{0F1B91ED-4E0C-44F3-B67C-72A1521D123C}" name="Instr Unexp" dataDxfId="362" dataCellStyle="Currency"/>
    <tableColumn id="308" xr3:uid="{FFEFA2A0-F176-4A99-B443-DDA86502F13D}" name="Instr R of Ind" dataDxfId="361" dataCellStyle="Currency"/>
    <tableColumn id="309" xr3:uid="{35B59AFD-6280-4903-AC53-872ECD25CE7C}" name="Instr Inv in P" dataDxfId="360" dataCellStyle="Currency"/>
    <tableColumn id="310" xr3:uid="{15E43020-AF95-4BE6-8A2A-5273A28DAE2A}" name="Res E&amp;G" dataDxfId="359" dataCellStyle="Currency"/>
    <tableColumn id="311" xr3:uid="{45C32FC6-EFDC-4F65-B74D-688F215133E0}" name="Res Desg" dataDxfId="358" dataCellStyle="Currency"/>
    <tableColumn id="312" xr3:uid="{E2258D95-C958-48D5-B98C-EB138885C154}" name="Res Aux" dataDxfId="357" dataCellStyle="Currency"/>
    <tableColumn id="313" xr3:uid="{56FF7823-FEEF-4CFF-BC64-E117E54E3596}" name="Res R Exp" dataDxfId="356" dataCellStyle="Currency"/>
    <tableColumn id="314" xr3:uid="{B56ECAB9-D2E5-49A3-B02F-10E68CA3DA54}" name="Res Loan" dataDxfId="355" dataCellStyle="Currency"/>
    <tableColumn id="315" xr3:uid="{658F470E-EC91-431B-9C41-956EB832A98A}" name="Res Annuity" dataDxfId="354" dataCellStyle="Currency"/>
    <tableColumn id="316" xr3:uid="{6763FEEE-3B4D-4AE2-8797-D5CCD6050FA4}" name="Res Unexp" dataDxfId="353" dataCellStyle="Currency"/>
    <tableColumn id="317" xr3:uid="{A60466D3-BC59-47FF-9CA6-AB7E435E2C9A}" name="Res R of Ind" dataDxfId="352" dataCellStyle="Currency"/>
    <tableColumn id="318" xr3:uid="{87F82718-DCE2-438D-8A3F-5453F9405087}" name="Res Inv in P" dataDxfId="351" dataCellStyle="Currency"/>
    <tableColumn id="319" xr3:uid="{70B3885C-55DC-4870-82FB-5E2BE5B88F24}" name="Pub Srv E&amp;G" dataDxfId="350" dataCellStyle="Currency"/>
    <tableColumn id="320" xr3:uid="{EB229DCA-8BEF-4D58-9BB5-7BA42CBA3DB0}" name="Pub Srv Desg" dataDxfId="349" dataCellStyle="Currency"/>
    <tableColumn id="321" xr3:uid="{63DAFD45-6542-4CD6-B4DD-CFDD54808F8C}" name="Pub Srv Aux" dataDxfId="348" dataCellStyle="Currency"/>
    <tableColumn id="322" xr3:uid="{2C9A7F34-E6B6-4B85-B7F0-95C5CFD41963}" name="Pub Srv R Exp" dataDxfId="347" dataCellStyle="Currency"/>
    <tableColumn id="323" xr3:uid="{E283C8F3-60A4-4BF3-ACC6-F1BDF174F93D}" name="Pub Srv Loan" dataDxfId="346" dataCellStyle="Currency"/>
    <tableColumn id="324" xr3:uid="{D67705EE-6ACF-49D3-B17C-B359CB8B34E8}" name="Pub Srv Annuity" dataDxfId="345" dataCellStyle="Currency"/>
    <tableColumn id="325" xr3:uid="{2308F6F2-CB34-4E89-8826-00310B207671}" name="Pub Srv Unexp" dataDxfId="344" dataCellStyle="Currency"/>
    <tableColumn id="326" xr3:uid="{D1769FF6-383A-4024-821B-B0B4B9699651}" name="Pub Srv R of Ind" dataDxfId="343" dataCellStyle="Currency"/>
    <tableColumn id="327" xr3:uid="{D1866B6E-165D-43B4-9B20-D156DBEB1A16}" name="Pub Srv Inv in P" dataDxfId="342" dataCellStyle="Currency"/>
    <tableColumn id="328" xr3:uid="{370F0325-34CB-4E5D-A43A-2623F2CF4D8F}" name="H&amp;C (OU) E&amp;G" dataDxfId="341" dataCellStyle="Currency"/>
    <tableColumn id="329" xr3:uid="{97E8304D-00BF-43A9-958E-B65B904CE426}" name="H&amp;C (OU) Desg" dataDxfId="340" dataCellStyle="Currency"/>
    <tableColumn id="330" xr3:uid="{295EAC07-798F-42FE-B426-5810CE95358C}" name="H&amp;C (OU) Aux" dataDxfId="339" dataCellStyle="Currency"/>
    <tableColumn id="331" xr3:uid="{C8F3FC58-1E2D-4057-875D-CA594287F574}" name="H&amp;C (OU) R Exp" dataDxfId="338" dataCellStyle="Currency"/>
    <tableColumn id="332" xr3:uid="{DF79067A-ABC0-44D4-BD0A-FDBB58924A13}" name="H&amp;C (OU) Loan" dataDxfId="337" dataCellStyle="Currency"/>
    <tableColumn id="333" xr3:uid="{93F686FE-E949-4F5D-942B-738A1C4B4461}" name="H&amp;C (OU) Annuity" dataDxfId="336" dataCellStyle="Currency"/>
    <tableColumn id="334" xr3:uid="{D099487B-97ED-4814-AF11-87D7279DC2CA}" name="H&amp;C (OU) Unexp" dataDxfId="335" dataCellStyle="Currency"/>
    <tableColumn id="335" xr3:uid="{F02B71C8-721E-422F-A5C3-78E705B9C672}" name="H&amp;C (OU) R of Ind" dataDxfId="334" dataCellStyle="Currency"/>
    <tableColumn id="336" xr3:uid="{25DE2D10-7146-4806-B0E8-E0BD26512D0C}" name="H&amp;C (OU) Inv in P" dataDxfId="333" dataCellStyle="Currency"/>
    <tableColumn id="337" xr3:uid="{57729D3A-5F19-4CD8-ABB3-B44366348E51}" name="Acad Sup E&amp;G" dataDxfId="332" dataCellStyle="Currency"/>
    <tableColumn id="338" xr3:uid="{90303266-C39D-4448-A961-64A534F57298}" name="Acad Sup Desg" dataDxfId="331" dataCellStyle="Currency"/>
    <tableColumn id="339" xr3:uid="{0097D8D2-20E0-41AF-88C4-A1A092D1E73F}" name="Acad Sup Aux" dataDxfId="330" dataCellStyle="Currency"/>
    <tableColumn id="340" xr3:uid="{8F65ED53-D8AB-4D84-9501-1EFA35EAB570}" name="Acad Sup R Exp" dataDxfId="329" dataCellStyle="Currency"/>
    <tableColumn id="341" xr3:uid="{A31B8F7D-832C-4751-B4C6-8A3E374DACC5}" name="Acad Sup Loan" dataDxfId="328" dataCellStyle="Currency"/>
    <tableColumn id="342" xr3:uid="{2599481E-F81B-4E50-8A76-131B6651AA06}" name="Acad Sup Annuity" dataDxfId="327" dataCellStyle="Currency"/>
    <tableColumn id="343" xr3:uid="{5B518E4C-92EE-4B70-9704-F6542B3B7785}" name="Acad Sup Unexp" dataDxfId="326" dataCellStyle="Currency"/>
    <tableColumn id="344" xr3:uid="{6B8D3EED-7402-4099-A1F2-71A33DE17CB5}" name="Acad Sup R of Ind" dataDxfId="325" dataCellStyle="Currency"/>
    <tableColumn id="345" xr3:uid="{932A9966-47B8-44A5-A874-922D07505C4D}" name="Acad Sup Inv in P" dataDxfId="324" dataCellStyle="Currency"/>
    <tableColumn id="346" xr3:uid="{AC44718B-4667-4984-8EDF-374B70004905}" name="Stu Svc E&amp;G" dataDxfId="323" dataCellStyle="Currency"/>
    <tableColumn id="347" xr3:uid="{3EB23916-F6A0-45F8-95E6-E56198E92A90}" name="Stu Svc Desg" dataDxfId="322" dataCellStyle="Currency"/>
    <tableColumn id="348" xr3:uid="{9AC2DBC3-3022-4F89-BE0B-8D7E3970C373}" name="Stu Svc Aux" dataDxfId="321" dataCellStyle="Currency"/>
    <tableColumn id="349" xr3:uid="{E7530599-E14B-4671-9A37-C6CB6FB2C83C}" name="Stu Svc R Exp" dataDxfId="320" dataCellStyle="Currency"/>
    <tableColumn id="350" xr3:uid="{4938C246-7E52-4833-A4A8-3FDE7A9DF5AF}" name="Stu Svc Loan" dataDxfId="319" dataCellStyle="Currency"/>
    <tableColumn id="351" xr3:uid="{6E6069DB-9AB2-4708-B3B8-7F38E67ED0ED}" name="Stu Svc Annuity" dataDxfId="318" dataCellStyle="Currency"/>
    <tableColumn id="352" xr3:uid="{1B270D3E-00E9-4852-A5B4-D20D87FB3345}" name="Stu Svc Unexp" dataDxfId="317" dataCellStyle="Currency"/>
    <tableColumn id="353" xr3:uid="{B38FD6E2-813B-4EB7-8511-BB2A61D45CD1}" name="Stu Svc R of Ind" dataDxfId="316" dataCellStyle="Currency"/>
    <tableColumn id="354" xr3:uid="{D65874D5-6B58-47DF-A585-8858210DDBA4}" name="Stu Svc Inv in P" dataDxfId="315" dataCellStyle="Currency"/>
    <tableColumn id="355" xr3:uid="{9CC3670B-16EE-43C0-8E84-BB61A3BDEF26}" name="Inst. Spt E&amp;G" dataDxfId="314" dataCellStyle="Currency"/>
    <tableColumn id="356" xr3:uid="{F2BBCFE3-F816-4A7D-9270-03F9D4F60D57}" name="Inst. Spt Desg" dataDxfId="313" dataCellStyle="Currency"/>
    <tableColumn id="357" xr3:uid="{71E9AB9F-0D21-4845-B610-D27E7986240B}" name="Inst. Spt Aux" dataDxfId="312" dataCellStyle="Currency"/>
    <tableColumn id="358" xr3:uid="{F887D7A6-DFA2-4BF1-9A9F-DA95899934F8}" name="Inst. Spt R Exp" dataDxfId="311" dataCellStyle="Currency"/>
    <tableColumn id="359" xr3:uid="{0ABED88E-290C-49B2-8050-4CE25D5FE6E9}" name="Inst. Spt Loan" dataDxfId="310" dataCellStyle="Currency"/>
    <tableColumn id="360" xr3:uid="{58C88FEA-C30C-4CCF-9961-C5775A8EA6D6}" name="Inst. Spt Annuity" dataDxfId="309" dataCellStyle="Currency"/>
    <tableColumn id="361" xr3:uid="{3A7C2AC7-757E-4271-A03A-88B277F78BFE}" name="Inst. Spt Unexp" dataDxfId="308" dataCellStyle="Currency"/>
    <tableColumn id="362" xr3:uid="{8F9B0010-46AC-4A5E-ADAC-67F0566A2F5B}" name="Inst. Spt R of Ind" dataDxfId="307" dataCellStyle="Currency"/>
    <tableColumn id="363" xr3:uid="{B0042B09-4A7E-4757-B0EE-709E96C40D43}" name="Inst. Spt Inv in P" dataDxfId="306" dataCellStyle="Currency"/>
    <tableColumn id="364" xr3:uid="{7251F2F9-F563-4DBF-BB26-D9D3250828F7}" name="M&amp;O Plnt E&amp;G" dataDxfId="305" dataCellStyle="Currency"/>
    <tableColumn id="365" xr3:uid="{0C87DDD9-1797-4DA2-B159-C4533438C093}" name="M&amp;O Plnt Desg" dataDxfId="304" dataCellStyle="Currency"/>
    <tableColumn id="366" xr3:uid="{AB2ADF05-44FF-4E6D-A74E-ACCDA0CD56F7}" name="M&amp;O Plnt Aux" dataDxfId="303" dataCellStyle="Currency"/>
    <tableColumn id="367" xr3:uid="{10B73CEF-103C-4952-B2ED-03ACAE936EE0}" name="M&amp;O Plnt R Exp" dataDxfId="302" dataCellStyle="Currency"/>
    <tableColumn id="368" xr3:uid="{FA2649E7-4623-4072-A8AC-155A6FF597DE}" name="M&amp;O Plnt Loan" dataDxfId="301" dataCellStyle="Currency"/>
    <tableColumn id="369" xr3:uid="{EC2FBA22-25A1-41FF-9EC5-6E4648611CC9}" name="M&amp;O Plnt Annuity" dataDxfId="300" dataCellStyle="Currency"/>
    <tableColumn id="370" xr3:uid="{1450A393-74FA-4B60-A1DA-34C48A9D8D61}" name="M&amp;O Plnt Unexp" dataDxfId="299" dataCellStyle="Currency"/>
    <tableColumn id="371" xr3:uid="{C7CD8D55-E12C-4DAD-BC25-C109BA5EA62C}" name="M&amp;O Plnt R of Ind" dataDxfId="298" dataCellStyle="Currency"/>
    <tableColumn id="372" xr3:uid="{8878CD2C-DA1A-4859-9DB7-C000C85C7393}" name="M&amp;O Plnt Inv in P" dataDxfId="297" dataCellStyle="Currency"/>
    <tableColumn id="373" xr3:uid="{ABB5F4A9-ACE3-4CA1-B6F9-039D35CE3385}" name="Schl &amp; Fell E&amp;G" dataDxfId="296" dataCellStyle="Currency"/>
    <tableColumn id="374" xr3:uid="{E381784C-3EE2-4523-A35D-FCF2953B3BD1}" name="Schl &amp; Fell Desg" dataDxfId="295" dataCellStyle="Currency"/>
    <tableColumn id="375" xr3:uid="{4D6B6B26-B874-44F4-B3C9-D4FC7A2653B6}" name="Schl &amp; Fell Aux" dataDxfId="294" dataCellStyle="Currency"/>
    <tableColumn id="376" xr3:uid="{FF87B8E1-C8CD-47F2-AB3C-B7A798404372}" name="Schl &amp; Fell R Exp" dataDxfId="293" dataCellStyle="Currency"/>
    <tableColumn id="377" xr3:uid="{F0786BBE-3383-45C6-84E6-485FBFFCAE35}" name="Schl &amp; Fell Loan" dataDxfId="292" dataCellStyle="Currency"/>
    <tableColumn id="378" xr3:uid="{9CE398A9-0996-430C-AC11-59B263508135}" name="Schl &amp; Fell Annuity" dataDxfId="291" dataCellStyle="Currency"/>
    <tableColumn id="379" xr3:uid="{3646F791-B6A0-4B3A-A033-806A13C44315}" name="Schl &amp; Fell Unexp" dataDxfId="290" dataCellStyle="Currency"/>
    <tableColumn id="380" xr3:uid="{1BB25341-F377-4C25-8BAF-F05ECE12216C}" name="Schl &amp; Fell R of Ind" dataDxfId="289" dataCellStyle="Currency"/>
    <tableColumn id="381" xr3:uid="{AA4593BC-3D99-4353-86B9-4EB557653476}" name="Schl &amp; Fell Inv in P" dataDxfId="288" dataCellStyle="Currency"/>
    <tableColumn id="382" xr3:uid="{B152D38C-A6AF-4C74-9946-6E326D8D0C89}" name="Aux Ent E&amp;G" dataDxfId="287" dataCellStyle="Currency"/>
    <tableColumn id="383" xr3:uid="{908D46E0-61BD-4032-BFF3-D5C553E66C0B}" name="Aux Ent Desg" dataDxfId="286" dataCellStyle="Currency"/>
    <tableColumn id="384" xr3:uid="{A1661A5B-23BD-4869-A072-DD256F302AF2}" name="Aux Ent Aux" dataDxfId="285" dataCellStyle="Currency"/>
    <tableColumn id="385" xr3:uid="{27B596B7-5046-47CC-A8AD-6F9530B15C0C}" name="Aux Ent R Exp" dataDxfId="284" dataCellStyle="Currency"/>
    <tableColumn id="386" xr3:uid="{456D9CC0-C3D9-40A3-AE94-9EE3DBBC0DBB}" name="Aux Ent Loan" dataDxfId="283" dataCellStyle="Currency"/>
    <tableColumn id="387" xr3:uid="{1E722D26-C904-4DEC-8712-6DF8C428B201}" name="Aux Ent Annuity" dataDxfId="282" dataCellStyle="Currency"/>
    <tableColumn id="388" xr3:uid="{2D77ACD5-02DC-4B5E-B97B-158DF67BEF68}" name="Aux Ent Unexp" dataDxfId="281" dataCellStyle="Currency"/>
    <tableColumn id="389" xr3:uid="{F2A7AF0A-72B1-481C-8FF7-07F70B2DE936}" name="Aux Ent R of Ind" dataDxfId="280" dataCellStyle="Currency"/>
    <tableColumn id="390" xr3:uid="{A813422A-0830-42FA-99A5-D10599FB0005}" name="Aux Ent Inv in P" dataDxfId="279" dataCellStyle="Currency"/>
    <tableColumn id="391" xr3:uid="{DDC7D3A2-4725-4900-A821-324CD4A0C6FF}" name="Cap Out fund E&amp;G" dataDxfId="278" dataCellStyle="Currency"/>
    <tableColumn id="392" xr3:uid="{0B0C2886-5C06-436E-A7E1-89ED3D45156C}" name="Cap Out fund Desg" dataDxfId="277" dataCellStyle="Currency"/>
    <tableColumn id="393" xr3:uid="{D2154BA0-29E5-405D-B50C-64B4C94E106B}" name="Cap Out fund Aux" dataDxfId="276" dataCellStyle="Currency"/>
    <tableColumn id="394" xr3:uid="{138A612B-026A-4E60-8214-08FD965F8C91}" name="Cap Out fund R Exp" dataDxfId="275" dataCellStyle="Currency"/>
    <tableColumn id="395" xr3:uid="{3C2FA427-6991-4E17-A406-7A7634F79C1F}" name="Cap Out fund Loan" dataDxfId="274" dataCellStyle="Currency"/>
    <tableColumn id="396" xr3:uid="{EBFA926D-5CE5-40AF-9D1A-441CB341DDA9}" name="Cap Out fund Annuity" dataDxfId="273" dataCellStyle="Currency"/>
    <tableColumn id="397" xr3:uid="{EF81ECCB-3F47-44B8-8E00-2C27777C5117}" name="Cap Out fund Unexp" dataDxfId="272" dataCellStyle="Currency"/>
    <tableColumn id="398" xr3:uid="{8C2CA138-ECE9-4FED-9325-6757486C3D4D}" name="Cap Out fund R of Ind" dataDxfId="271" dataCellStyle="Currency"/>
    <tableColumn id="399" xr3:uid="{ADC0D5D9-51D9-41DC-96E1-C8D6F08E0080}" name="Cap Out fund Inv in P" dataDxfId="270" dataCellStyle="Currency"/>
    <tableColumn id="400" xr3:uid="{63A55FEA-BC96-45E2-9113-F6C512683A6A}" name="Oth Exp E&amp;G" dataDxfId="269" dataCellStyle="Currency"/>
    <tableColumn id="401" xr3:uid="{DC850FCA-3474-4359-BFB4-3601E0C94289}" name="Oth Exp Desg" dataDxfId="268" dataCellStyle="Currency"/>
    <tableColumn id="402" xr3:uid="{761E5E3C-F447-487F-9F79-04C35EF107DF}" name="Oth Exp Aux" dataDxfId="267" dataCellStyle="Currency"/>
    <tableColumn id="403" xr3:uid="{71D12271-437D-4F83-8041-7E22F363CE57}" name="Oth Exp R Exp" dataDxfId="266" dataCellStyle="Currency"/>
    <tableColumn id="404" xr3:uid="{D4513239-4FFC-4754-9906-1CB47F7ED7D5}" name="Oth Exp Loan" dataDxfId="265" dataCellStyle="Currency"/>
    <tableColumn id="405" xr3:uid="{850434EF-DA9A-43BC-B159-DC20D36CDEC1}" name="Oth Exp Annuity" dataDxfId="264" dataCellStyle="Currency"/>
    <tableColumn id="406" xr3:uid="{5F49035C-1762-4894-BC31-76B28E0CD177}" name="Oth Exp Unexp" dataDxfId="263" dataCellStyle="Currency"/>
    <tableColumn id="407" xr3:uid="{050CB912-CAD6-428F-BA43-2977E6400FEA}" name="Oth Exp R of Ind" dataDxfId="262" dataCellStyle="Currency"/>
    <tableColumn id="408" xr3:uid="{EB994829-1082-4684-8F71-24C59A2E6A42}" name="Oth Exp Inv in P" dataDxfId="261" dataCellStyle="Currency"/>
    <tableColumn id="409" xr3:uid="{F01F7E59-E4CF-415F-A2DD-7D5E2943FCC6}" name="Cap Out n-Fund E&amp;G" dataDxfId="260" dataCellStyle="Currency"/>
    <tableColumn id="410" xr3:uid="{1C8EA7A8-7C30-458B-BA10-7E0DEFFBBF37}" name="Cap Out n-Fund Desg" dataDxfId="259" dataCellStyle="Currency"/>
    <tableColumn id="411" xr3:uid="{FCADB3B3-376A-4575-9120-9939DA3F1352}" name="Cap Out n-Fund Aux" dataDxfId="258" dataCellStyle="Currency"/>
    <tableColumn id="412" xr3:uid="{571BABCC-A7C9-4D02-B9EF-3F53470565E1}" name="Cap Out n-Fund R Exp" dataDxfId="257" dataCellStyle="Currency"/>
    <tableColumn id="413" xr3:uid="{6AC56EF1-BD5D-4508-84E3-E141E9D70C85}" name="Cap Out n-Fund Loan" dataDxfId="256" dataCellStyle="Currency"/>
    <tableColumn id="414" xr3:uid="{843E3300-2828-45F5-8B9F-CEB269456399}" name="Cap Out n-Fund Annuity" dataDxfId="255" dataCellStyle="Currency"/>
    <tableColumn id="415" xr3:uid="{3B1AEBA8-20E3-430D-B211-987DCC899264}" name="Cap Out n-Fund Unexp" dataDxfId="254" dataCellStyle="Currency"/>
    <tableColumn id="416" xr3:uid="{B63F127B-51F1-4841-8D68-EB6E56AEB8A1}" name="Cap Out n-Fund R of Ind" dataDxfId="253" dataCellStyle="Currency"/>
    <tableColumn id="417" xr3:uid="{00B2005E-A03B-493B-A07D-D6AEA62B6FD4}" name="Cap Out n-Fund Inv in P" dataDxfId="252" dataCellStyle="Currency"/>
    <tableColumn id="418" xr3:uid="{ADA04DE2-32B7-45FD-BCB9-F0637EE3984F}" name="M&amp;Nm Xfrs E&amp;G" dataDxfId="251" dataCellStyle="Currency"/>
    <tableColumn id="419" xr3:uid="{4D35B864-D5A4-42B4-BBB1-53E2B783883C}" name="M&amp;Nm Xfrs Desg" dataDxfId="250" dataCellStyle="Currency"/>
    <tableColumn id="420" xr3:uid="{F8FD029A-BA7A-4216-805A-779406F3DE00}" name="M&amp;Nm Xfrs Aux" dataDxfId="249" dataCellStyle="Currency"/>
    <tableColumn id="421" xr3:uid="{12AB78E5-9302-44FF-9665-B221C51E8BBA}" name="M&amp;Nm Xfrs R Exp" dataDxfId="248" dataCellStyle="Currency"/>
    <tableColumn id="422" xr3:uid="{F01E66B8-3DC1-47B3-AB89-DDC7D545A99A}" name="M&amp;Nm Xfrs Loan" dataDxfId="247" dataCellStyle="Currency"/>
    <tableColumn id="423" xr3:uid="{B54CE08A-23E7-4A53-9746-9CE1F1E4FA62}" name="M&amp;Nm Xfrs Annuity" dataDxfId="246" dataCellStyle="Currency"/>
    <tableColumn id="424" xr3:uid="{604BA7CB-E835-4943-BAA1-ABFCF1AF1E0E}" name="M&amp;Nm Xfrs Unexp" dataDxfId="245" dataCellStyle="Currency"/>
    <tableColumn id="425" xr3:uid="{4CEF6F39-6F87-4865-AAAE-CFA56EBD695E}" name="M&amp;Nm Xfrs R of Ind" dataDxfId="244" dataCellStyle="Currency"/>
    <tableColumn id="426" xr3:uid="{C06A3288-63C2-42FB-B80E-C137A91BFF41}" name="M&amp;Nm Xfrs Inv in P" dataDxfId="243" dataCellStyle="Currency"/>
    <tableColumn id="427" xr3:uid="{2F303887-D2CB-4F41-A42F-38DEA4EED7C5}" name="Bond Xfrs In E&amp;G" dataDxfId="242" dataCellStyle="Currency"/>
    <tableColumn id="428" xr3:uid="{F07F2553-8766-4F2A-B348-9BBFFABA1F63}" name="Bond Xfrs In Desg" dataDxfId="241" dataCellStyle="Currency"/>
    <tableColumn id="429" xr3:uid="{911D58EA-C189-4B63-AD47-29AEC9C69D2F}" name="Bond Xfrs In Aux" dataDxfId="240" dataCellStyle="Currency"/>
    <tableColumn id="430" xr3:uid="{5839A985-C316-4129-8C7E-4AA4157C3351}" name="Bond Xfrs In R Exp" dataDxfId="239" dataCellStyle="Currency"/>
    <tableColumn id="431" xr3:uid="{88D4BCE5-8719-4C9D-8B6E-CADED1117F26}" name="Bond Xfrs In Loan" dataDxfId="238" dataCellStyle="Currency"/>
    <tableColumn id="432" xr3:uid="{4DFF9B44-363E-4899-9D31-0D5FE60C5312}" name="Bond Xfrs In Annuity" dataDxfId="237" dataCellStyle="Currency"/>
    <tableColumn id="433" xr3:uid="{72256058-E905-4D54-A283-BBE6A70219CA}" name="Bond Xfrs In Unexp" dataDxfId="236" dataCellStyle="Currency"/>
    <tableColumn id="434" xr3:uid="{B0BF2D61-F15A-45C1-991B-1EE156E5A77D}" name="Bond Xfrs In R of Ind" dataDxfId="235" dataCellStyle="Currency"/>
    <tableColumn id="435" xr3:uid="{3975BEF1-7848-4BC6-8093-96E99F2B99E0}" name="Bond Xfrs In Inv in P" dataDxfId="234" dataCellStyle="Currency"/>
    <tableColumn id="436" xr3:uid="{1287DF05-026C-4C9A-84FE-2A93F8723E49}" name="Debt Srv Pay E&amp;G" dataDxfId="233" dataCellStyle="Currency"/>
    <tableColumn id="437" xr3:uid="{3B24EC72-0E86-4926-BB21-C8E854303FD5}" name="Debt Srv Pay Desg" dataDxfId="232" dataCellStyle="Currency"/>
    <tableColumn id="438" xr3:uid="{366419C9-4B1F-48FC-95A0-CDF269F2D130}" name="Debt Srv Pay Aux" dataDxfId="231" dataCellStyle="Currency"/>
    <tableColumn id="439" xr3:uid="{DB35EF65-FA3C-4CFE-BB74-C77225CEF946}" name="Debt Srv Pay R Exp" dataDxfId="230" dataCellStyle="Currency"/>
    <tableColumn id="440" xr3:uid="{71EB5E04-A760-4D89-8E6E-6C484C0F7C64}" name="Debt Srv Pay Loan" dataDxfId="229" dataCellStyle="Currency"/>
    <tableColumn id="441" xr3:uid="{3045EB70-5D73-4579-A77A-332290B3A1B4}" name="Debt Srv Pay Annuity" dataDxfId="228" dataCellStyle="Currency"/>
    <tableColumn id="442" xr3:uid="{DDBAA893-3EC8-4B8A-9B85-224A11842E12}" name="Debt Srv Pay Unexp" dataDxfId="227" dataCellStyle="Currency"/>
    <tableColumn id="443" xr3:uid="{A998764F-0A37-4923-9032-F9CBB25C901A}" name="Debt Srv Pay R of Ind" dataDxfId="226" dataCellStyle="Currency"/>
    <tableColumn id="444" xr3:uid="{13E06895-9AC0-44CB-BDE1-09358327ADCE}" name="Debt Srv Pay Inv in P" dataDxfId="225" dataCellStyle="Currency"/>
    <tableColumn id="445" xr3:uid="{42FB555E-47C0-4489-8B6F-C94C0C0F03A9}" name="Unreal G/L E&amp;G" dataDxfId="224" dataCellStyle="Currency"/>
    <tableColumn id="446" xr3:uid="{2F4697AE-5BBC-437E-9698-64C90ED4D839}" name="Unreal G/L Desg" dataDxfId="223" dataCellStyle="Currency"/>
    <tableColumn id="447" xr3:uid="{F2E80F6E-5D1D-42F0-802A-CD9AB8ABEC99}" name="Unreal G/L Aux" dataDxfId="222" dataCellStyle="Currency"/>
    <tableColumn id="448" xr3:uid="{DD84D6F8-8073-4669-8E52-3639BDD85AE3}" name="Unreal G/L R Exp" dataDxfId="221" dataCellStyle="Currency"/>
    <tableColumn id="449" xr3:uid="{C60107BC-3533-4B2B-BB78-3DF72B32CA70}" name="Unreal G/L Loan" dataDxfId="220" dataCellStyle="Currency"/>
    <tableColumn id="450" xr3:uid="{6DB5E8D5-BD69-45F7-A5A1-0CDCC6F0C944}" name="Unreal G/L Annuity" dataDxfId="219" dataCellStyle="Currency"/>
    <tableColumn id="451" xr3:uid="{968BCA6E-F8E9-4779-A680-54809253F51F}" name="Unreal G/L Unexp" dataDxfId="218" dataCellStyle="Currency"/>
    <tableColumn id="452" xr3:uid="{0A312B76-7E50-44B8-AC17-DE783F3B7618}" name="Unreal G/L R of Ind" dataDxfId="217" dataCellStyle="Currency"/>
    <tableColumn id="453" xr3:uid="{39A4DD87-B025-469D-B9AC-8B4EDB40BC3F}" name="Unreal G/L Inv in P" dataDxfId="216" dataCellStyle="Currency"/>
    <tableColumn id="454" xr3:uid="{AD4AB0F4-4F9E-44C6-B97D-F2F0E3E52070}" name="Add End E&amp;G" dataDxfId="215" dataCellStyle="Currency"/>
    <tableColumn id="455" xr3:uid="{69DE6286-B40C-45F4-B7F9-A9C8887C49FA}" name="Add End Desg" dataDxfId="214" dataCellStyle="Currency"/>
    <tableColumn id="456" xr3:uid="{35EB8878-43CD-4FA2-AA12-837AD1F04452}" name="Add End Aux" dataDxfId="213" dataCellStyle="Currency"/>
    <tableColumn id="457" xr3:uid="{A7E6D057-8B76-4276-8B18-741C68F101FE}" name="Add End R Exp" dataDxfId="212" dataCellStyle="Currency"/>
    <tableColumn id="458" xr3:uid="{36C7240F-1364-4EED-AE0F-859D8E1BE826}" name="Add End Loan" dataDxfId="211" dataCellStyle="Currency"/>
    <tableColumn id="459" xr3:uid="{73D9E767-F194-474B-BDBE-0D394A63B423}" name="Add End Annuity" dataDxfId="210" dataCellStyle="Currency"/>
    <tableColumn id="460" xr3:uid="{1D057E89-0885-46DD-8A8F-259EFE7E23C0}" name="Add End Unexp" dataDxfId="209" dataCellStyle="Currency"/>
    <tableColumn id="461" xr3:uid="{9B3CC55B-A168-4C37-8D0C-E92427DAA240}" name="Add End R of Ind" dataDxfId="208" dataCellStyle="Currency"/>
    <tableColumn id="462" xr3:uid="{6EB40A95-2FE3-40EA-A8E8-6BBE6F8FB2A4}" name="Add End Inv in P" dataDxfId="207" dataCellStyle="Currency"/>
    <tableColumn id="463" xr3:uid="{0A97CB54-3DFE-4473-A0F9-189B4D2111D6}" name="Bond Proceeds E&amp;G" dataDxfId="206" dataCellStyle="Currency"/>
    <tableColumn id="464" xr3:uid="{A5CA5397-83B3-42C9-A943-31830352C8AA}" name="Bond Proceeds Desg" dataDxfId="205" dataCellStyle="Currency"/>
    <tableColumn id="465" xr3:uid="{ADC77305-40D5-4972-8E00-09952C672D2F}" name="Bond Proceeds Aux" dataDxfId="204" dataCellStyle="Currency"/>
    <tableColumn id="466" xr3:uid="{1B83D595-B677-4AAA-B363-315A77E984D4}" name="Bond Proceeds R Exp" dataDxfId="203" dataCellStyle="Currency"/>
    <tableColumn id="467" xr3:uid="{2406C158-8AA3-495C-A882-56753CF03940}" name="Bond Proceeds Loan" dataDxfId="202" dataCellStyle="Currency"/>
    <tableColumn id="468" xr3:uid="{72534666-9423-4503-B27F-9371325F0643}" name="Bond Proceeds Annuity" dataDxfId="201" dataCellStyle="Currency"/>
    <tableColumn id="469" xr3:uid="{37A13FE8-E1DC-4389-8DD9-2762E4654D69}" name="Bond Proceeds Unexp" dataDxfId="200" dataCellStyle="Currency"/>
    <tableColumn id="470" xr3:uid="{EBBF83AF-0DF1-48AA-BA5A-457EA07FD92A}" name="Bond Proceeds R of Ind" dataDxfId="199" dataCellStyle="Currency"/>
    <tableColumn id="471" xr3:uid="{21250BD4-6A16-4315-9878-59F6921E639F}" name="Bond Proceeds Inv in P" dataDxfId="198" dataCellStyle="Currency"/>
    <tableColumn id="472" xr3:uid="{D11E7412-7301-4137-8C41-3C602FCA1E12}" name="Dep Exp E&amp;G" dataDxfId="197" dataCellStyle="Currency"/>
    <tableColumn id="473" xr3:uid="{E3EA52A6-CDC3-44DD-9FEB-92E84AE9BF12}" name="Dep Exp Desg" dataDxfId="196" dataCellStyle="Currency"/>
    <tableColumn id="474" xr3:uid="{0A99B94F-C503-46F2-9B0D-F3FFBDA3461F}" name="Dep Exp Aux" dataDxfId="195" dataCellStyle="Currency"/>
    <tableColumn id="475" xr3:uid="{34CCD933-FB58-4F9F-8672-D42872B15318}" name="Dep Exp R Exp" dataDxfId="194" dataCellStyle="Currency"/>
    <tableColumn id="476" xr3:uid="{436C28CE-12A8-473F-9BE1-880F9B9F098E}" name="Dep Exp Loan" dataDxfId="193" dataCellStyle="Currency"/>
    <tableColumn id="477" xr3:uid="{421B251E-050D-4ADB-B1DA-CFDC2A2315D0}" name="Dep Exp Annuity" dataDxfId="192" dataCellStyle="Currency"/>
    <tableColumn id="478" xr3:uid="{605BCA9F-6E15-495A-974C-1C363E31E636}" name="Dep Exp Unexp" dataDxfId="191" dataCellStyle="Currency"/>
    <tableColumn id="479" xr3:uid="{4B9236AA-B09E-4D4B-AFFE-E46370988345}" name="Dep Exp R of Ind" dataDxfId="190" dataCellStyle="Currency"/>
    <tableColumn id="480" xr3:uid="{B42F9DB8-4056-4F73-9F90-3B6238BFBA76}" name="Dep Exp Inv in P" dataDxfId="189" dataCellStyle="Currency"/>
    <tableColumn id="481" xr3:uid="{04B2EF6E-70B9-4313-AAE7-FA5E7AF65A28}" name="Xfr Cap Sys E&amp;G" dataDxfId="188" dataCellStyle="Currency"/>
    <tableColumn id="482" xr3:uid="{314557C4-7319-4D3B-AEAC-42CC0270280A}" name="Xfr Cap Sys Desg" dataDxfId="187" dataCellStyle="Currency"/>
    <tableColumn id="483" xr3:uid="{FE4A7C6D-D0D3-4FDC-A587-57C5754F2ED6}" name="Xfr Cap Sys Aux" dataDxfId="186" dataCellStyle="Currency"/>
    <tableColumn id="484" xr3:uid="{601E8643-1694-4231-89A5-D5C00DA90A7D}" name="Xfr Cap Sys R Exp" dataDxfId="185" dataCellStyle="Currency"/>
    <tableColumn id="485" xr3:uid="{13AEFFA3-E39B-43E6-9329-D84674894950}" name="Xfr Cap Sys Loan" dataDxfId="184" dataCellStyle="Currency"/>
    <tableColumn id="486" xr3:uid="{B8E1EA7E-D36E-4165-867F-51E549E86246}" name="Xfr Cap Sys Annuity" dataDxfId="183" dataCellStyle="Currency"/>
    <tableColumn id="487" xr3:uid="{025B3987-3CE8-4D72-B39C-DF1B3B6C5FD8}" name="Xfr Cap Sys Unexp" dataDxfId="182" dataCellStyle="Currency"/>
    <tableColumn id="488" xr3:uid="{3A8D81A8-65C8-4DD9-B15D-47F1BD8CC009}" name="Xfr Cap Sys R of Ind" dataDxfId="181" dataCellStyle="Currency"/>
    <tableColumn id="489" xr3:uid="{FE0A0B8E-E8B5-47A2-88C1-4F002A598BDB}" name="Xfr Cap Sys Inv in P" dataDxfId="180" dataCellStyle="Currency"/>
    <tableColumn id="490" xr3:uid="{5556E4CA-8BC8-4887-9DDD-1B4E7766C3CA}" name="OPEB Exp E&amp;G" dataDxfId="179" dataCellStyle="Currency"/>
    <tableColumn id="491" xr3:uid="{7ABB190E-8F6B-4334-92FA-C632F4972EB3}" name="OPEB Exp Desg" dataDxfId="178" dataCellStyle="Currency"/>
    <tableColumn id="492" xr3:uid="{43E7EED1-C62F-4927-B545-15F9BA6A4674}" name="OPEB Exp Aux" dataDxfId="177" dataCellStyle="Currency"/>
    <tableColumn id="493" xr3:uid="{D7F9C520-81F7-4E36-8BD0-3E4A9E68C608}" name="OPEB Exp R Exp" dataDxfId="176" dataCellStyle="Currency"/>
    <tableColumn id="494" xr3:uid="{F6BAEC76-13E6-4D4C-BDAF-118E886AF0F8}" name="OPEB Exp Loan" dataDxfId="175" dataCellStyle="Currency"/>
    <tableColumn id="495" xr3:uid="{B51A1243-1C2D-48A8-91DF-4D9904F3E81B}" name="OPEB Exp Annuity" dataDxfId="174" dataCellStyle="Currency"/>
    <tableColumn id="496" xr3:uid="{7FB3C3D0-9A74-4A90-A557-05BCD6654956}" name="OPEB Exp Unexp" dataDxfId="173" dataCellStyle="Currency"/>
    <tableColumn id="497" xr3:uid="{1D56359B-CF48-49CC-8B3D-1FBE25A2920F}" name="OPEB Exp R of Ind" dataDxfId="172" dataCellStyle="Currency"/>
    <tableColumn id="498" xr3:uid="{210822C5-BB41-4D42-8F50-AF0440A07B66}" name="OPEB Exp Inv in P" dataDxfId="171" dataCellStyle="Currency"/>
    <tableColumn id="499" xr3:uid="{2E6A9E9E-1A1E-45E4-8B25-B851269347FB}" name="Non-Cash Cap E&amp;G" dataDxfId="170" dataCellStyle="Currency"/>
    <tableColumn id="500" xr3:uid="{ABCEC5E1-8799-44ED-A81C-C68A5ABA11AE}" name="Non-Cash Cap Desg" dataDxfId="169" dataCellStyle="Currency"/>
    <tableColumn id="501" xr3:uid="{ABE0A4DF-03BF-4EFD-9682-8EDCE1D830B8}" name="Non-Cash Cap Aux" dataDxfId="168" dataCellStyle="Currency"/>
    <tableColumn id="502" xr3:uid="{AE80B95B-A6D6-41CA-94B7-A6DE90CE913F}" name="Non-Cash Cap R Exp" dataDxfId="167" dataCellStyle="Currency"/>
    <tableColumn id="503" xr3:uid="{11535ECA-FDF8-4608-B0F2-F64AAA49E65B}" name="Non-Cash Cap Loan" dataDxfId="166" dataCellStyle="Currency"/>
    <tableColumn id="504" xr3:uid="{C4DBD220-D6D3-4CBB-8B1B-266E7B292858}" name="Non-Cash Cap Annuity" dataDxfId="165" dataCellStyle="Currency"/>
    <tableColumn id="505" xr3:uid="{A5D1B95D-67FC-4168-A93A-5E4A68AF8AFE}" name="Non-Cash Cap Unexp" dataDxfId="164" dataCellStyle="Currency"/>
    <tableColumn id="506" xr3:uid="{C99E1D34-C63A-4CA0-BB75-6266B527D711}" name="Non-Cash Cap R of Ind" dataDxfId="163" dataCellStyle="Currency"/>
    <tableColumn id="507" xr3:uid="{D2D3570F-C309-4AA1-9E31-72283C019F2C}" name="Non-Cash Cap Inv in P" dataDxfId="162" dataCellStyle="Currency"/>
    <tableColumn id="508" xr3:uid="{C77E9313-5E08-4296-BD72-87FBE14ED73B}" name="Cap Out E&amp;G" dataDxfId="161" dataCellStyle="Currency"/>
    <tableColumn id="509" xr3:uid="{F6986898-60AE-4B29-A222-8AF1ABD670C1}" name="Cap Out Desg" dataDxfId="160" dataCellStyle="Currency"/>
    <tableColumn id="510" xr3:uid="{8EE26AFD-D564-493F-95D8-2C9A4FD83B54}" name="Cap Out Aux" dataDxfId="159" dataCellStyle="Currency"/>
    <tableColumn id="511" xr3:uid="{52F48731-3B01-428C-B160-FD20AD61E778}" name="Cap Out R Exp" dataDxfId="158" dataCellStyle="Currency"/>
    <tableColumn id="512" xr3:uid="{6AD2F78B-F36A-4538-9FA4-8528ACA4A490}" name="Cap Out Loan" dataDxfId="157" dataCellStyle="Currency"/>
    <tableColumn id="513" xr3:uid="{DD552FD3-32A1-41E2-AD70-CC1FA86ED449}" name="Cap Out Annuity" dataDxfId="156" dataCellStyle="Currency"/>
    <tableColumn id="514" xr3:uid="{9166FCAB-C661-44DF-A8F7-86F57B62A171}" name="Cap Out Unexp" dataDxfId="155" dataCellStyle="Currency"/>
    <tableColumn id="515" xr3:uid="{2604F6D9-477D-493E-801C-79F92B005157}" name="Cap Out R of Ind" dataDxfId="154" dataCellStyle="Currency"/>
    <tableColumn id="516" xr3:uid="{254F9ED1-5C6E-41B5-A3FE-924C0DDB49CD}" name="Cap Out Inv in P" dataDxfId="153" dataCellStyle="Currency"/>
    <tableColumn id="517" xr3:uid="{6642D88B-E382-46BD-BDD6-DB970145BC17}" name="SRECNA" dataDxfId="152" dataCellStyle="Currency"/>
    <tableColumn id="518" xr3:uid="{F4C5E767-6C36-454D-9D89-35D7EBC9EF0E}" name="SRECNA T &amp; F (Total Gross)" dataDxfId="151" dataCellStyle="Currency"/>
    <tableColumn id="519" xr3:uid="{44906935-830E-4192-8037-D120FF8A76B8}" name="SRECNA R-AFR, W,Exp,Schl" dataDxfId="150" dataCellStyle="Currency"/>
    <tableColumn id="520" xr3:uid="{EFDAF55A-6CBA-45A2-BDEF-12B2D0D273A2}" name="Cost Study Inst." dataDxfId="149" dataCellStyle="Currency"/>
    <tableColumn id="521" xr3:uid="{629417FC-240D-47ED-B0BB-20B21E2BBB98}" name="Cost Study Resh" dataDxfId="148" dataCellStyle="Currency"/>
    <tableColumn id="522" xr3:uid="{26381863-05B0-4A66-9A65-8C1BB8A42770}" name="Cost Study Pub Svc" dataDxfId="147" dataCellStyle="Currency"/>
    <tableColumn id="583" xr3:uid="{EA0DD048-EFE9-441A-94CD-E0E63953CD38}" name="Cost Study H&amp;C" dataDxfId="146" dataCellStyle="Currency"/>
    <tableColumn id="523" xr3:uid="{E886E20B-09DE-410F-A45A-354A8EC193FA}" name="Cost Study Aca Sppt" dataDxfId="145" dataCellStyle="Currency"/>
    <tableColumn id="524" xr3:uid="{B132DA0F-6697-4F51-85B0-BF372776BAAB}" name="Cost Study Stu Svcs" dataDxfId="144" dataCellStyle="Currency"/>
    <tableColumn id="525" xr3:uid="{B478B393-E9AA-45D6-83D1-64DA7BCE9F16}" name="Cost Study Inst. Sppt" dataDxfId="143" dataCellStyle="Currency"/>
    <tableColumn id="526" xr3:uid="{CAC4E086-1247-4D20-A0B5-39A778C19C7A}" name="Cost Study Op &amp; Maint" dataDxfId="142" dataCellStyle="Currency"/>
    <tableColumn id="527" xr3:uid="{F9594145-C1A0-43F2-8253-9CEDE367F7EB}" name="Cost Study Schl &amp; Fell" dataDxfId="141" dataCellStyle="Currency"/>
    <tableColumn id="528" xr3:uid="{243FB2CC-D830-4A42-98B1-9A0E1D5B293F}" name="Cost Study Aux" dataDxfId="140" dataCellStyle="Currency"/>
    <tableColumn id="529" xr3:uid="{4074163B-7016-48B1-8BFF-C41A068D48D5}" name="Cost Study Intr C. Ath" dataDxfId="139" dataCellStyle="Currency"/>
    <tableColumn id="530" xr3:uid="{F1D75CFF-B63F-47FA-94E0-B4E7D2323656}" name="Space Fed PT Inst." dataDxfId="138" dataCellStyle="Currency"/>
    <tableColumn id="531" xr3:uid="{8839C29B-C0D1-4E9B-B2AC-189C48C08A9E}" name="Space Fed PT Resh" dataDxfId="137" dataCellStyle="Currency"/>
    <tableColumn id="532" xr3:uid="{759BD156-BA73-4861-8754-5639DA5D261C}" name="Space Fed PT Pub Svc" dataDxfId="136" dataCellStyle="Currency"/>
    <tableColumn id="533" xr3:uid="{06018393-2045-4404-8800-A87FC4CFE1BC}" name="Space Fed PT H &amp; C" dataDxfId="135" dataCellStyle="Currency"/>
    <tableColumn id="534" xr3:uid="{0B284C91-5972-45B7-85C6-57FDB0CF1027}" name="Space Fed PT Aca Sppt" dataDxfId="134" dataCellStyle="Currency"/>
    <tableColumn id="535" xr3:uid="{9FD7D4EE-650E-40D6-BBC0-B5072E52593B}" name="Space Fed PT Stu Svcs" dataDxfId="133" dataCellStyle="Currency"/>
    <tableColumn id="536" xr3:uid="{E39ABEE7-0647-4736-B9D7-EAF71BD6F29C}" name="Space Fed PT Inst. Sppt" dataDxfId="132" dataCellStyle="Currency"/>
    <tableColumn id="537" xr3:uid="{BD815E15-4FB6-40F3-B681-381DA00A02A6}" name="Space Fed PT Op &amp; Maint" dataDxfId="131" dataCellStyle="Currency"/>
    <tableColumn id="538" xr3:uid="{1B9947C9-C407-4E3D-8DAE-8F282FA5A542}" name="Space Fed PT Schl &amp; Fell" dataDxfId="130" dataCellStyle="Currency"/>
    <tableColumn id="539" xr3:uid="{80AFF23C-DB9E-44FD-837E-AD09279D7DCF}" name="Space St. PT Inst." dataDxfId="129" dataCellStyle="Currency"/>
    <tableColumn id="540" xr3:uid="{4FB2E143-41C7-4E2F-A132-F59F3FC61989}" name="Space St. PT Resh" dataDxfId="128" dataCellStyle="Currency"/>
    <tableColumn id="541" xr3:uid="{5A99D5BF-74BA-4CED-92BE-1E994CC2D064}" name="Space St. PT Pub Svc" dataDxfId="127" dataCellStyle="Currency"/>
    <tableColumn id="542" xr3:uid="{E5794906-9752-454D-B4F8-42E69934D1FC}" name="Space St. PT H&amp;C" dataDxfId="126" dataCellStyle="Currency"/>
    <tableColumn id="543" xr3:uid="{DD2C23B9-C9AB-4A3E-A6E8-5D93778D2DDC}" name="Space St. PT Aca Sppt" dataDxfId="125" dataCellStyle="Currency"/>
    <tableColumn id="544" xr3:uid="{7B3EC0F5-2B06-4B63-81C6-E6168D32D452}" name="Space St. PT Stu Svcs" dataDxfId="124" dataCellStyle="Currency"/>
    <tableColumn id="545" xr3:uid="{8A6AF651-8827-4E91-9FA2-30CEFABB28C5}" name="Space St. PT Inst. Sppt" dataDxfId="123" dataCellStyle="Currency"/>
    <tableColumn id="546" xr3:uid="{CC28D748-8370-4E57-B0F5-8DD88031B674}" name="Space St. PT Op &amp; Maint" dataDxfId="122" dataCellStyle="Currency"/>
    <tableColumn id="547" xr3:uid="{DBDF9C09-D88D-4F9D-882F-3C3FB404E1CC}" name="Space St. PT Schl &amp; Fell" dataDxfId="121" dataCellStyle="Currency"/>
    <tableColumn id="548" xr3:uid="{B3A5EA1D-0FE9-44D1-8145-41649198EF56}" name="CS. Adj S &amp; Srv H&amp;C Rev, etc." dataDxfId="120" dataCellStyle="Currency"/>
    <tableColumn id="549" xr3:uid="{66D2CDF9-CF66-4CB5-BFFA-71F04653D734}" name="CS. Adj Disc &amp; Allow" dataDxfId="119" dataCellStyle="Currency"/>
    <tableColumn id="550" xr3:uid="{BD945274-95A4-42F5-8F9B-7BDB3AFD4FEE}" name="SRECNA Inst." dataDxfId="118" dataCellStyle="Currency"/>
    <tableColumn id="551" xr3:uid="{D60E0E04-732E-4B78-80AB-D2F56220357F}" name="SRECNA Resh" dataDxfId="117" dataCellStyle="Currency"/>
    <tableColumn id="552" xr3:uid="{94B51C26-53E2-49D7-BF83-C19C78612619}" name="SRECNA Pub Svc" dataDxfId="116" dataCellStyle="Currency"/>
    <tableColumn id="553" xr3:uid="{57E01B79-9487-4F80-91FC-F95C259DF687}" name="SRECNA H&amp;C" dataDxfId="115" dataCellStyle="Currency"/>
    <tableColumn id="554" xr3:uid="{16C596E0-846F-4C0C-A2FF-2D2E466A7E24}" name="SRECNA Aca Sppt" dataDxfId="114" dataCellStyle="Currency"/>
    <tableColumn id="555" xr3:uid="{B8C7D1DB-CDE5-413C-91CB-C1DED94EED2D}" name="SRECNA Stu Svcs" dataDxfId="113" dataCellStyle="Currency"/>
    <tableColumn id="556" xr3:uid="{ED4008DE-7F30-4D95-B96B-BBEBDF8F3588}" name="SRECNA Inst. Sppt" dataDxfId="112" dataCellStyle="Currency"/>
    <tableColumn id="557" xr3:uid="{143E1A72-D6E1-42D5-840B-910EC1A85488}" name="SRECNA Op &amp; Maint" dataDxfId="111" dataCellStyle="Currency"/>
    <tableColumn id="558" xr3:uid="{267B5E58-3989-433D-919D-51413C443691}" name="SRECNA Schl &amp; Fell" dataDxfId="110" dataCellStyle="Currency"/>
    <tableColumn id="559" xr3:uid="{423274C7-86BC-452E-AAD9-ACB8E7D64573}" name="SRECNA Aux" dataDxfId="109" dataCellStyle="Currency"/>
    <tableColumn id="574" xr3:uid="{3C54AFD0-5313-42C3-BAB8-E8BD3E1E651F}" name="SRECNA Cap Out fund" dataDxfId="108" dataCellStyle="Currency">
      <calculatedColumnFormula>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calculatedColumnFormula>
    </tableColumn>
    <tableColumn id="576" xr3:uid="{D938F708-D61D-487E-8DCD-00061A07939F}" name="SRECNA Oth Exp" dataDxfId="107" dataCellStyle="Currency">
      <calculatedColumnFormula>SUM(Input[[#This Row],[Oth Exp E&amp;G]],Input[[#This Row],[Oth Exp Desg]],Input[[#This Row],[Oth Exp Aux]],Input[[#This Row],[Oth Exp R Exp]],Input[[#This Row],[Oth Exp Loan]],Input[[#This Row],[Oth Exp Annuity]],Input[[#This Row],[Oth Exp Unexp]],Input[[#This Row],[Oth Exp R of Ind]],Input[[#This Row],[Oth Exp Inv in P]])</calculatedColumnFormula>
    </tableColumn>
    <tableColumn id="560" xr3:uid="{9EE2F47A-E915-4FC3-BD50-49F820E164D4}" name="Footnote Rev Rec'd" dataDxfId="106" dataCellStyle="Currency"/>
    <tableColumn id="561" xr3:uid="{702F0391-2F7D-46E2-9BBE-D298357ED504}" name="Footnote Non Exp" dataDxfId="105"/>
    <tableColumn id="562" xr3:uid="{3CE0935E-C13E-47A4-9F91-963CA49A72B1}" name="Contact Name" dataDxfId="104"/>
    <tableColumn id="563" xr3:uid="{0218CB34-D75C-42EF-A6A7-113CE57F7240}" name="Contact Phone" dataDxfId="103"/>
    <tableColumn id="564" xr3:uid="{83EEDE56-DA3D-48BE-89C7-F53217D28C7F}" name="Contact Email" dataDxfId="102"/>
    <tableColumn id="579" xr3:uid="{6555DAA7-6FAC-4367-9F5A-EEE3B3A3C75C}" name="Contact Name (alt)" dataDxfId="101"/>
    <tableColumn id="580" xr3:uid="{426FDA72-F709-47D4-A51F-E268E556803B}" name="Contact Phone (alt)" dataDxfId="100"/>
    <tableColumn id="581" xr3:uid="{F7A572EC-C05E-4F98-AE14-9D9A15FC9920}" name="Contact Email (alt)" dataDxfId="99"/>
    <tableColumn id="565" xr3:uid="{92443E6A-43F8-4696-B664-CFD5CECFAF07}" name="FTSE" dataDxfId="98">
      <calculatedColumnFormula array="1">IFERROR(_xlfn.IFS(Input[[#This Row],[Type]]="HRI",VLOOKUP(Input[[#This Row],[Institution Name]],FTSEHRI[],9,FALSE),Input[[#This Row],[Type]]="UNIV",VLOOKUP(Input[[#This Row],[Institution Name]],FTSEUNIV[],9,FALSE),OR(Input[[#This Row],[Type]]="TSTC",Input[[#This Row],[Type]]="LSC"),VLOOKUP(Input[[#This Row],[Institution Name]],FTSETSTC[],8,FALSE)),"N/A")</calculatedColumnFormula>
    </tableColumn>
    <tableColumn id="566" xr3:uid="{54BBABFF-765E-4BA3-8553-A84476407785}" name="FTFE" dataDxfId="97">
      <calculatedColumnFormula array="1">IFERROR(_xlfn.IFS(Input[[#This Row],[Type]]="HRI",VLOOKUP(Input[[#This Row],[Institution Name]],FTSEHRI[],11,FALSE),Input[[#This Row],[Type]]="UNIV",VLOOKUP(Input[[#This Row],[Institution Name]],FTSEUNIV[],11,FALSE),Input[[#This Row],[Type]]="TSTC",VLOOKUP(Input[[#This Row],[Institution Name]],FTSETSTC[],10,FALSE)),"N/A")</calculatedColumnFormula>
    </tableColumn>
    <tableColumn id="567" xr3:uid="{8E0E417A-36D8-480A-8115-A0529B5F7C9B}" name="State _x000a_Revenue" dataDxfId="96">
      <calculatedColumnFormula>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calculatedColumnFormula>
    </tableColumn>
    <tableColumn id="575" xr3:uid="{437BFF9A-C978-4617-9AFD-867B8C9CB2DB}" name="Constitutional _x000a_Funds Revenue" dataDxfId="95">
      <calculatedColumnFormula>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calculatedColumnFormula>
    </tableColumn>
    <tableColumn id="571" xr3:uid="{DD1E8796-E2BD-4C8D-BB35-FC81E5FE5806}" name="Federal _x000a_Revenue" dataDxfId="94">
      <calculatedColumnFormula>SUM(Input[[#This Row],[Fed G&amp;C E&amp;G]],Input[[#This Row],[Fed G&amp;C Desg]],Input[[#This Row],[Fed G&amp;C R Exp]],Input[[#This Row],[Fed G&amp;C Loan]],Input[[#This Row],[Fed G&amp;C Annuity]],Input[[#This Row],[Fed G&amp;C Unexp]],Input[[#This Row],[Fed G&amp;C R of Ind]],Input[[#This Row],[Fed G&amp;C Inv in P]])</calculatedColumnFormula>
    </tableColumn>
    <tableColumn id="572" xr3:uid="{6B62AC17-CFED-4F65-B25D-822D7343AE35}" name="Institutional _x000a_Revenue" dataDxfId="93">
      <calculatedColumnFormula>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calculatedColumnFormula>
    </tableColumn>
    <tableColumn id="569" xr3:uid="{E72A6334-79D0-42A0-9E1D-F0265E270F11}" name="Net Tuition_x000a_Revenue" dataDxfId="92">
      <calculatedColumnFormula>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calculatedColumnFormula>
    </tableColumn>
    <tableColumn id="570" xr3:uid="{97935B6C-44D8-41C2-9FB9-50830E2073FA}" name="Net Fees_x000a_Revenue" dataDxfId="91">
      <calculatedColumnFormula>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calculatedColumnFormula>
    </tableColumn>
    <tableColumn id="577" xr3:uid="{C05F9D0D-0FFB-4890-BE9B-647D1FC2DA6E}" name="Other_x000a_Revenue" dataDxfId="90">
      <calculatedColumnFormula>SUM(Input[[#This Row],[Oth Inc E&amp;G]],Input[[#This Row],[Oth Exp Desg]],Input[[#This Row],[Oth Exp R Exp]],Input[[#This Row],[Oth Exp Loan]],Input[[#This Row],[Oth Exp Annuity]],Input[[#This Row],[Oth Exp Unexp]],Input[[#This Row],[Oth Exp R of Ind]],Input[[#This Row],[Oth Exp Inv in P]])</calculatedColumnFormula>
    </tableColumn>
    <tableColumn id="582" xr3:uid="{2FCF4AC1-5D7C-4DBB-B8F8-7D14A1722AB6}" name="Instruction_x000a_Uses" dataDxfId="89">
      <calculatedColumnFormula>SUM(Input[[#This Row],[Instr E&amp;G]],Input[[#This Row],[Instr Desg]],Input[[#This Row],[Instr R Exp]],Input[[#This Row],[Instr Loan]],Input[[#This Row],[Instr Annuity]],Input[[#This Row],[Instr Unexp]],Input[[#This Row],[Instr R of Ind]],Input[[#This Row],[Instr Inv in P]])</calculatedColumnFormula>
    </tableColumn>
    <tableColumn id="584" xr3:uid="{357A3B46-92B0-40AD-B9CE-D090ADF0714D}" name="Research_x000a_Uses" dataDxfId="88">
      <calculatedColumnFormula>SUM(Input[[#This Row],[Res E&amp;G]],Input[[#This Row],[Res Desg]],Input[[#This Row],[Res R Exp]],Input[[#This Row],[Res Loan]],Input[[#This Row],[Res Annuity]],Input[[#This Row],[Res Unexp]],Input[[#This Row],[Res R of Ind]],Input[[#This Row],[Res Inv in P]])</calculatedColumnFormula>
    </tableColumn>
    <tableColumn id="587" xr3:uid="{2ADA2E59-3D89-4AE5-855E-18D545F2A286}" name="Academic_x000a_Uses" dataDxfId="87">
      <calculatedColumnFormula>SUM(Input[[#This Row],[Acad Sup E&amp;G]],Input[[#This Row],[Acad Sup Desg]],Input[[#This Row],[Acad Sup R Exp]],Input[[#This Row],[Acad Sup Loan]],Input[[#This Row],[Acad Sup Annuity]],Input[[#This Row],[Acad Sup Unexp]],Input[[#This Row],[Acad Sup R of Ind]],Input[[#This Row],[Acad Sup Inv in P]])</calculatedColumnFormula>
    </tableColumn>
    <tableColumn id="588" xr3:uid="{002F1E4D-934E-4C4E-B1F8-0E0C661F0F1D}" name="Student_x000a_Uses" dataDxfId="86">
      <calculatedColumnFormula>SUM(Input[[#This Row],[Stu Svc E&amp;G]],Input[[#This Row],[Stu Svc Desg]],Input[[#This Row],[Stu Svc R Exp]],Input[[#This Row],[Stu Svc Loan]],Input[[#This Row],[Stu Svc Annuity]],Input[[#This Row],[Stu Svc Unexp]],Input[[#This Row],[Stu Svc R of Ind]],Input[[#This Row],[Stu Svc Inv in P]])</calculatedColumnFormula>
    </tableColumn>
    <tableColumn id="589" xr3:uid="{BBCEEFA6-A49C-4909-9B4F-759EDC4A7D0B}" name="Institutional_x000a_Uses" dataDxfId="85">
      <calculatedColumnFormula>SUM(Input[[#This Row],[Inst. Spt E&amp;G]],Input[[#This Row],[Inst. Spt Desg]],Input[[#This Row],[Inst. Spt R Exp]],Input[[#This Row],[Inst. Spt Loan]],Input[[#This Row],[Inst. Spt Annuity]],Input[[#This Row],[Inst. Spt Unexp]],Input[[#This Row],[Inst. Spt R of Ind]],Input[[#This Row],[Inst. Spt Inv in P]])</calculatedColumnFormula>
    </tableColumn>
    <tableColumn id="590" xr3:uid="{18ECA800-7BCE-421A-AC53-2AD67D78B6FA}" name="Operations_x000a_Uses" dataDxfId="84">
      <calculatedColumnFormula>SUM(Input[[#This Row],[M&amp;O Plnt E&amp;G]],Input[[#This Row],[M&amp;O Plnt Desg]],Input[[#This Row],[M&amp;O Plnt R Exp]],Input[[#This Row],[M&amp;O Plnt Loan]],Input[[#This Row],[M&amp;O Plnt Annuity]],Input[[#This Row],[M&amp;O Plnt Unexp]],Input[[#This Row],[M&amp;O Plnt R of Ind]],Input[[#This Row],[M&amp;O Plnt Inv in P]])</calculatedColumnFormula>
    </tableColumn>
    <tableColumn id="591" xr3:uid="{F5FDAA53-CB44-4E8E-A7B2-F8B4767F5641}" name="Scholarships_x000a_Uses" dataDxfId="83">
      <calculatedColumnFormula>SUM(Input[[#This Row],[Schl &amp; Fell E&amp;G]],Input[[#This Row],[Schl &amp; Fell Desg]],Input[[#This Row],[Schl &amp; Fell R Exp]],Input[[#This Row],[Schl &amp; Fell Loan]],Input[[#This Row],[Schl &amp; Fell Annuity]],Input[[#This Row],[Schl &amp; Fell Unexp]],Input[[#This Row],[Schl &amp; Fell R of Ind]],Input[[#This Row],[Schl &amp; Fell Inv in P]])</calculatedColumnFormula>
    </tableColumn>
    <tableColumn id="595" xr3:uid="{1BC73B57-BE79-46F6-96B9-1A9AD66ADAFA}" name="Capital_x000a_Uses" dataDxfId="82">
      <calculatedColumnFormula>SUM(Input[[#This Row],[Cap Out fund E&amp;G]],Input[[#This Row],[Cap Out fund Desg]],Input[[#This Row],[Cap Out fund R Exp]],Input[[#This Row],[Cap Out fund Loan]],Input[[#This Row],[Cap Out fund Annuity]],Input[[#This Row],[Cap Out fund Unexp]],Input[[#This Row],[Cap Out fund R of Ind]],Input[[#This Row],[Cap Out fund Inv in P]])</calculatedColumnFormula>
    </tableColumn>
    <tableColumn id="594" xr3:uid="{F87B0435-3FE7-4D7C-9837-6230D443A97A}" name="Other_x000a_Uses" dataDxfId="81">
      <calculatedColumnFormula>SUM(Input[[#This Row],[Oth Exp E&amp;G]],Input[[#This Row],[Oth Exp Desg]],Input[[#This Row],[Oth Exp R Exp]],Input[[#This Row],[Oth Exp Loan]],Input[[#This Row],[Oth Exp Annuity]],Input[[#This Row],[Oth Exp Unexp]],Input[[#This Row],[Oth Exp R of Ind]],Input[[#This Row],[Oth Exp Inv in P]],Input[[#This Row],[Oth Exp Inv in P]])</calculatedColumnFormula>
    </tableColumn>
  </tableColumns>
  <tableStyleInfo name="Standard"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EAD9C2C-0AC3-45E3-B753-CE677925EF6A}" name="FTSEHRI" displayName="FTSEHRI" ref="A6:J75" totalsRowCount="1" headerRowDxfId="80" dataDxfId="78" totalsRowDxfId="77" headerRowBorderDxfId="79" totalsRowBorderDxfId="76" totalsRowCellStyle="Total">
  <tableColumns count="10">
    <tableColumn id="1" xr3:uid="{A57CF8CD-AFFE-45C5-93CF-5FF6ABB06495}" name="Academic Institutions" dataDxfId="75" totalsRowDxfId="74"/>
    <tableColumn id="2" xr3:uid="{D33070C8-21EA-4464-B49B-6CA8DBE65E2E}" name="FICE" dataDxfId="73" totalsRowDxfId="72"/>
    <tableColumn id="5" xr3:uid="{6EA14E49-B993-4CA7-97F2-8A66B253442E}" name="Undergraduate" totalsRowFunction="sum" dataDxfId="71" totalsRowDxfId="70"/>
    <tableColumn id="6" xr3:uid="{157DB134-3FDE-4AA9-B945-EE897B5C060B}" name="Master's¹" totalsRowFunction="sum" dataDxfId="69" totalsRowDxfId="68"/>
    <tableColumn id="7" xr3:uid="{D9F7820A-D76D-4B4B-BE27-CEC55A888790}" name="Doctoral" totalsRowFunction="sum" dataDxfId="67" totalsRowDxfId="66"/>
    <tableColumn id="8" xr3:uid="{DBFA32FE-22EF-457A-BAE7-819219CEA0AC}" name="Total" totalsRowFunction="sum" dataDxfId="65" totalsRowDxfId="64"/>
    <tableColumn id="9" xr3:uid="{248737EE-352C-44CD-8E75-4202E53FB6C1}" name="Prof &amp; Special-Prof Headcount" totalsRowFunction="sum" dataDxfId="63" totalsRowDxfId="62"/>
    <tableColumn id="11" xr3:uid="{4D9DBEB9-D5F2-4D25-AB68-8E8032785B82}" name="Full-Time Student_x000a_Equivalents²" totalsRowFunction="sum" dataDxfId="61" totalsRowDxfId="60"/>
    <tableColumn id="3" xr3:uid="{D663EB21-89A3-443C-A18A-50F1ABCF1996}" name="State Funded _x000a_FTSE³" totalsRowFunction="sum" dataDxfId="59" totalsRowDxfId="58">
      <calculatedColumnFormula>VLOOKUP(FTSEHRI[[#This Row],[FICE]],#REF!,9,FALSE)</calculatedColumnFormula>
    </tableColumn>
    <tableColumn id="4" xr3:uid="{EEE76F66-B728-4ECB-82C1-81C67E76CEB8}" name="T/TT Fall_x000a_Faculty FTE⁴" totalsRowFunction="sum" dataDxfId="57" totalsRowDxfId="56"/>
  </tableColumns>
  <tableStyleInfo name="Standard"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3B20C32-735D-4D2C-A909-85A8B4F86612}" name="FTSETSTC" displayName="FTSETSTC" ref="A84:I94" totalsRowCount="1" headerRowDxfId="55" dataDxfId="53" totalsRowDxfId="52" headerRowBorderDxfId="54" totalsRowBorderDxfId="51" totalsRowCellStyle="Total">
  <autoFilter ref="A84:I93" xr:uid="{43B20C32-735D-4D2C-A909-85A8B4F86612}"/>
  <sortState xmlns:xlrd2="http://schemas.microsoft.com/office/spreadsheetml/2017/richdata2" ref="A85:I93">
    <sortCondition ref="A84:A93"/>
  </sortState>
  <tableColumns count="9">
    <tableColumn id="1" xr3:uid="{2B834AF0-248C-46B7-A541-6166ECB840DC}" name="Academic Institutions" dataDxfId="50" totalsRowDxfId="49"/>
    <tableColumn id="2" xr3:uid="{8FED00F2-E749-46CF-978E-2AAB6BE257F7}" name="FICE" dataDxfId="48" totalsRowDxfId="47" dataCellStyle="FICE"/>
    <tableColumn id="3" xr3:uid="{7B665B04-BC9C-4442-887E-20349AFE4A70}" name="Academic_x000a_ SCH" totalsRowFunction="sum" dataDxfId="46" totalsRowDxfId="45"/>
    <tableColumn id="4" xr3:uid="{F42D3D1B-3549-48F7-A77D-F8978848338F}" name="Technical_x000a_ SCH" totalsRowFunction="sum" dataDxfId="44" totalsRowDxfId="43"/>
    <tableColumn id="5" xr3:uid="{7745A62B-C47D-41AF-B619-C51572C8DCD4}" name="BAT SCH" totalsRowFunction="sum" dataDxfId="42" totalsRowDxfId="41"/>
    <tableColumn id="6" xr3:uid="{6AD689E8-890C-4673-8035-7DE210533789}" name="Continuing Ed. SCH" totalsRowFunction="sum" dataDxfId="40" totalsRowDxfId="39"/>
    <tableColumn id="11" xr3:uid="{0E354DD6-9AB8-4005-9EC1-1014CB6F6983}" name="Full-Time Student_x000a_Equivalents1" totalsRowFunction="sum" dataDxfId="38" totalsRowDxfId="37"/>
    <tableColumn id="7" xr3:uid="{E432EA53-8BC4-42F1-B712-3B663ED9BD4E}" name="State Funded _x000a_FTSE²" totalsRowLabel="16,522.21" dataDxfId="36" totalsRowDxfId="35"/>
    <tableColumn id="8" xr3:uid="{D40D2D1D-521F-4912-8CC6-64EE6D0C461F}" name="Fall _x000a_Faculty FTE" totalsRowFunction="sum" dataDxfId="34" totalsRowDxfId="33"/>
  </tableColumns>
  <tableStyleInfo name="Standard"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52EB5A9E-7E5A-4ECD-B39F-0C235A993460}" name="FTSEUNIV" displayName="FTSEUNIV" ref="A100:J137" totalsRowCount="1" headerRowDxfId="32" dataDxfId="30" totalsRowDxfId="28" headerRowBorderDxfId="31" tableBorderDxfId="29" totalsRowBorderDxfId="27">
  <autoFilter ref="A100:J136" xr:uid="{52EB5A9E-7E5A-4ECD-B39F-0C235A993460}"/>
  <tableColumns count="10">
    <tableColumn id="1" xr3:uid="{AAD2F8DD-0F0C-45B4-BF59-F0F5A52E638B}" name="Academic Institutions" dataDxfId="26" totalsRowDxfId="25"/>
    <tableColumn id="3" xr3:uid="{C4C67583-8C32-4AE5-97BE-7C608D3A3534}" name="FICE" dataDxfId="24" totalsRowDxfId="23" dataCellStyle="FICE"/>
    <tableColumn id="4" xr3:uid="{568B134D-5CC1-48C0-AA68-8927BAB16C5D}" name="Undergraduate" totalsRowFunction="sum" dataDxfId="22" totalsRowDxfId="21"/>
    <tableColumn id="5" xr3:uid="{AA52E41D-8437-4349-AA16-1D2979E4D26E}" name="Master's" totalsRowFunction="sum" dataDxfId="20" totalsRowDxfId="19"/>
    <tableColumn id="6" xr3:uid="{35507DC4-F919-4B25-8743-B4ECA1318541}" name="Doctoral" totalsRowFunction="sum" dataDxfId="18" totalsRowDxfId="17"/>
    <tableColumn id="7" xr3:uid="{C5A07A4F-8038-4448-959F-2EA844E0D009}" name="Professional &amp; Special-Prof" totalsRowFunction="sum" dataDxfId="16" totalsRowDxfId="15"/>
    <tableColumn id="8" xr3:uid="{BAC73261-64D8-4E10-A20A-42B9CC9DF9E2}" name="Optometry" totalsRowFunction="sum" dataDxfId="14" totalsRowDxfId="13"/>
    <tableColumn id="9" xr3:uid="{5EE57D48-0179-4E3F-B501-ABB2AE7B17CC}" name="Full-Time Student_x000a_Equivalents¹" totalsRowFunction="sum" dataDxfId="12" totalsRowDxfId="11"/>
    <tableColumn id="10" xr3:uid="{B671470C-B04A-4DF8-80C2-F562BC883043}" name="State Funded _x000a_FTSE²" totalsRowFunction="sum" dataDxfId="10" totalsRowDxfId="9"/>
    <tableColumn id="11" xr3:uid="{5E5F796B-0569-4BC3-BB39-B71D54D9246A}" name="T/TT Fall_x000a_Faculty FTE³" totalsRowFunction="sum" dataDxfId="8" totalsRowDxfId="7"/>
  </tableColumns>
  <tableStyleInfo name="Standard" showFirstColumn="0" showLastColumn="0" showRowStripes="1" showColumnStripes="0"/>
</table>
</file>

<file path=xl/theme/theme1.xml><?xml version="1.0" encoding="utf-8"?>
<a:theme xmlns:a="http://schemas.openxmlformats.org/drawingml/2006/main" name="Theme1">
  <a:themeElements>
    <a:clrScheme name="Branding">
      <a:dk1>
        <a:sysClr val="windowText" lastClr="000000"/>
      </a:dk1>
      <a:lt1>
        <a:sysClr val="window" lastClr="FFFFFF"/>
      </a:lt1>
      <a:dk2>
        <a:srgbClr val="323232"/>
      </a:dk2>
      <a:lt2>
        <a:srgbClr val="E3DED1"/>
      </a:lt2>
      <a:accent1>
        <a:srgbClr val="003E52"/>
      </a:accent1>
      <a:accent2>
        <a:srgbClr val="007DA4"/>
      </a:accent2>
      <a:accent3>
        <a:srgbClr val="87D1E6"/>
      </a:accent3>
      <a:accent4>
        <a:srgbClr val="F4B223"/>
      </a:accent4>
      <a:accent5>
        <a:srgbClr val="F6DFA4"/>
      </a:accent5>
      <a:accent6>
        <a:srgbClr val="FFFFFF"/>
      </a:accent6>
      <a:hlink>
        <a:srgbClr val="0000FF"/>
      </a:hlink>
      <a:folHlink>
        <a:srgbClr val="0000FF"/>
      </a:folHlink>
    </a:clrScheme>
    <a:fontScheme name="THECB1">
      <a:majorFont>
        <a:latin typeface="Overpass"/>
        <a:ea typeface=""/>
        <a:cs typeface=""/>
      </a:majorFont>
      <a:minorFont>
        <a:latin typeface="Overpas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apps.highered.texas.gov/resumes/" TargetMode="External"/><Relationship Id="rId2" Type="http://schemas.openxmlformats.org/officeDocument/2006/relationships/hyperlink" Target="https://reportcenter.highered.texas.gov/agency-publication/almanac/" TargetMode="External"/><Relationship Id="rId1" Type="http://schemas.openxmlformats.org/officeDocument/2006/relationships/hyperlink" Target="http://www.txhigheredaccountability.org/AcctPublic/" TargetMode="External"/><Relationship Id="rId5" Type="http://schemas.openxmlformats.org/officeDocument/2006/relationships/hyperlink" Target="http://fonts.google.com/specimen/Overpass" TargetMode="External"/><Relationship Id="rId4" Type="http://schemas.openxmlformats.org/officeDocument/2006/relationships/hyperlink" Target="https://fonts.google.com/specimen/Overpass" TargetMode="External"/></Relationships>
</file>

<file path=xl/worksheets/_rels/sheet10.xml.rels><?xml version="1.0" encoding="UTF-8" standalone="yes"?>
<Relationships xmlns="http://schemas.openxmlformats.org/package/2006/relationships"><Relationship Id="rId3" Type="http://schemas.openxmlformats.org/officeDocument/2006/relationships/hyperlink" Target="http://www.collegeforalltexans.com/apps/financialaid/tofa.cfm?Kind=W" TargetMode="External"/><Relationship Id="rId7" Type="http://schemas.openxmlformats.org/officeDocument/2006/relationships/drawing" Target="../drawings/drawing9.xml"/><Relationship Id="rId2" Type="http://schemas.openxmlformats.org/officeDocument/2006/relationships/hyperlink" Target="http://www.collegeforalltexans.com/apps/financialaid/tofa.cfm?Kind=E" TargetMode="External"/><Relationship Id="rId1" Type="http://schemas.openxmlformats.org/officeDocument/2006/relationships/hyperlink" Target="http://www.collegeforalltexans.com/" TargetMode="External"/><Relationship Id="rId6" Type="http://schemas.openxmlformats.org/officeDocument/2006/relationships/hyperlink" Target="https://fmx.cpa.state.tx.us/fmx/pubs/afrrptreq/universities/index.php?section=organization&amp;page=tuition" TargetMode="External"/><Relationship Id="rId5" Type="http://schemas.openxmlformats.org/officeDocument/2006/relationships/hyperlink" Target="https://fmx.cpa.state.tx.us/fmx/pubs/afrrptreq/universities/index.php?section=organization&amp;page=tuition" TargetMode="External"/><Relationship Id="rId4" Type="http://schemas.openxmlformats.org/officeDocument/2006/relationships/hyperlink" Target="https://www.nacubo.org/" TargetMode="Externa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0.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1.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table" Target="../tables/table1.xml"/><Relationship Id="rId1" Type="http://schemas.openxmlformats.org/officeDocument/2006/relationships/vmlDrawing" Target="../drawings/vmlDrawing6.v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12.xml"/><Relationship Id="rId1" Type="http://schemas.openxmlformats.org/officeDocument/2006/relationships/printerSettings" Target="../printerSettings/printerSettings9.bin"/><Relationship Id="rId5" Type="http://schemas.openxmlformats.org/officeDocument/2006/relationships/table" Target="../tables/table4.xml"/><Relationship Id="rId4" Type="http://schemas.openxmlformats.org/officeDocument/2006/relationships/table" Target="../tables/table3.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fonts.google.com/specimen/Overpass" TargetMode="External"/><Relationship Id="rId1" Type="http://schemas.openxmlformats.org/officeDocument/2006/relationships/hyperlink" Target="https://fonts.google.com/specimen/Overpass"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fonts.google.com/specimen/Overpass" TargetMode="External"/><Relationship Id="rId1" Type="http://schemas.openxmlformats.org/officeDocument/2006/relationships/hyperlink" Target="https://fonts.google.com/specimen/Overpas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http://fonts.google.com/specimen/Overpass" TargetMode="External"/><Relationship Id="rId1" Type="http://schemas.openxmlformats.org/officeDocument/2006/relationships/hyperlink" Target="https://fonts.google.com/specimen/Overpass"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http://fonts.google.com/specimen/Overpass" TargetMode="External"/><Relationship Id="rId1" Type="http://schemas.openxmlformats.org/officeDocument/2006/relationships/hyperlink" Target="https://fonts.google.com/specimen/Overpass"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5D679-6508-4043-A6C0-505D10F36162}">
  <sheetPr codeName="Sheet01">
    <tabColor theme="0"/>
  </sheetPr>
  <dimension ref="A1:AX58"/>
  <sheetViews>
    <sheetView tabSelected="1" zoomScale="70" zoomScaleNormal="70" workbookViewId="0">
      <selection sqref="A1:V2"/>
    </sheetView>
  </sheetViews>
  <sheetFormatPr defaultColWidth="8.83203125" defaultRowHeight="21" x14ac:dyDescent="0.55000000000000004"/>
  <cols>
    <col min="1" max="22" width="6.33203125" style="23" customWidth="1"/>
    <col min="23" max="33" width="6.58203125" style="23" customWidth="1"/>
    <col min="34" max="34" width="5.58203125" style="23" customWidth="1"/>
    <col min="35" max="16384" width="8.83203125" style="23"/>
  </cols>
  <sheetData>
    <row r="1" spans="1:50" s="54" customFormat="1" ht="27" customHeight="1" x14ac:dyDescent="0.55000000000000004">
      <c r="A1" s="395" t="s">
        <v>0</v>
      </c>
      <c r="B1" s="395"/>
      <c r="C1" s="395"/>
      <c r="D1" s="395"/>
      <c r="E1" s="395"/>
      <c r="F1" s="395"/>
      <c r="G1" s="395"/>
      <c r="H1" s="395"/>
      <c r="I1" s="395"/>
      <c r="J1" s="395"/>
      <c r="K1" s="395"/>
      <c r="L1" s="395"/>
      <c r="M1" s="395"/>
      <c r="N1" s="395"/>
      <c r="O1" s="395"/>
      <c r="P1" s="395"/>
      <c r="Q1" s="395"/>
      <c r="R1" s="395"/>
      <c r="S1" s="395"/>
      <c r="T1" s="395"/>
      <c r="U1" s="395"/>
      <c r="V1" s="395"/>
      <c r="W1" s="12"/>
      <c r="X1" s="388" t="s">
        <v>1854</v>
      </c>
      <c r="Y1" s="389"/>
      <c r="Z1" s="389"/>
      <c r="AA1" s="389"/>
      <c r="AB1" s="389"/>
      <c r="AC1" s="389"/>
      <c r="AD1" s="389"/>
      <c r="AE1" s="389"/>
      <c r="AF1" s="389"/>
      <c r="AG1" s="390"/>
      <c r="AH1" s="12"/>
    </row>
    <row r="2" spans="1:50" s="54" customFormat="1" ht="27" customHeight="1" x14ac:dyDescent="0.55000000000000004">
      <c r="A2" s="395"/>
      <c r="B2" s="395"/>
      <c r="C2" s="395"/>
      <c r="D2" s="395"/>
      <c r="E2" s="395"/>
      <c r="F2" s="395"/>
      <c r="G2" s="395"/>
      <c r="H2" s="395"/>
      <c r="I2" s="395"/>
      <c r="J2" s="395"/>
      <c r="K2" s="395"/>
      <c r="L2" s="395"/>
      <c r="M2" s="395"/>
      <c r="N2" s="395"/>
      <c r="O2" s="395"/>
      <c r="P2" s="395"/>
      <c r="Q2" s="395"/>
      <c r="R2" s="395"/>
      <c r="S2" s="395"/>
      <c r="T2" s="395"/>
      <c r="U2" s="395"/>
      <c r="V2" s="395"/>
      <c r="W2" s="12"/>
      <c r="X2" s="398" t="s">
        <v>1851</v>
      </c>
      <c r="Y2" s="399"/>
      <c r="Z2" s="399"/>
      <c r="AA2" s="399"/>
      <c r="AB2" s="399"/>
      <c r="AC2" s="399"/>
      <c r="AD2" s="399"/>
      <c r="AE2" s="399"/>
      <c r="AF2" s="399"/>
      <c r="AG2" s="214"/>
      <c r="AH2" s="12"/>
    </row>
    <row r="3" spans="1:50" s="201" customFormat="1" ht="34.950000000000003" customHeight="1" x14ac:dyDescent="0.55000000000000004">
      <c r="A3" s="400" t="s">
        <v>1840</v>
      </c>
      <c r="B3" s="400"/>
      <c r="C3" s="400"/>
      <c r="D3" s="400"/>
      <c r="E3" s="400"/>
      <c r="F3" s="400"/>
      <c r="G3" s="400"/>
      <c r="H3" s="400"/>
      <c r="I3" s="400"/>
      <c r="J3" s="400"/>
      <c r="K3" s="400"/>
      <c r="L3" s="400"/>
      <c r="M3" s="400"/>
      <c r="N3" s="400"/>
      <c r="O3" s="400"/>
      <c r="P3" s="400"/>
      <c r="Q3" s="400"/>
      <c r="R3" s="400"/>
      <c r="S3" s="400"/>
      <c r="T3" s="400"/>
      <c r="U3" s="400"/>
      <c r="V3" s="400"/>
      <c r="W3" s="12"/>
      <c r="X3" s="398"/>
      <c r="Y3" s="399"/>
      <c r="Z3" s="399"/>
      <c r="AA3" s="399"/>
      <c r="AB3" s="399"/>
      <c r="AC3" s="399"/>
      <c r="AD3" s="399"/>
      <c r="AE3" s="399"/>
      <c r="AF3" s="399"/>
      <c r="AG3" s="214"/>
      <c r="AH3" s="12"/>
      <c r="AI3" s="54"/>
      <c r="AJ3" s="54"/>
      <c r="AK3" s="54"/>
      <c r="AL3" s="54"/>
      <c r="AM3" s="54"/>
      <c r="AN3" s="54"/>
      <c r="AO3" s="54"/>
      <c r="AP3" s="54"/>
      <c r="AQ3" s="54"/>
      <c r="AR3" s="54"/>
      <c r="AS3" s="54"/>
      <c r="AT3" s="54"/>
      <c r="AU3" s="54"/>
      <c r="AV3" s="54"/>
      <c r="AW3" s="54"/>
      <c r="AX3" s="54"/>
    </row>
    <row r="4" spans="1:50" customFormat="1" ht="27" customHeight="1" x14ac:dyDescent="0.55000000000000004">
      <c r="A4" s="401" t="str">
        <f>"Publish Date: "&amp;TEXT(Hidden!$A$4,"MMMM D, YYYY")</f>
        <v>Publish Date: April 22, 2025</v>
      </c>
      <c r="B4" s="401"/>
      <c r="C4" s="401"/>
      <c r="D4" s="401"/>
      <c r="E4" s="401"/>
      <c r="F4" s="401"/>
      <c r="G4" s="401"/>
      <c r="H4" s="401"/>
      <c r="I4" s="401"/>
      <c r="J4" s="401"/>
      <c r="K4" s="401"/>
      <c r="L4" s="401"/>
      <c r="M4" s="401"/>
      <c r="N4" s="401"/>
      <c r="O4" s="401"/>
      <c r="P4" s="401"/>
      <c r="Q4" s="401"/>
      <c r="R4" s="401"/>
      <c r="S4" s="401"/>
      <c r="T4" s="401"/>
      <c r="U4" s="401"/>
      <c r="V4" s="401"/>
      <c r="W4" s="12"/>
      <c r="X4" s="398"/>
      <c r="Y4" s="399"/>
      <c r="Z4" s="399"/>
      <c r="AA4" s="399"/>
      <c r="AB4" s="399"/>
      <c r="AC4" s="399"/>
      <c r="AD4" s="399"/>
      <c r="AE4" s="399"/>
      <c r="AF4" s="399"/>
      <c r="AG4" s="214"/>
      <c r="AH4" s="12"/>
    </row>
    <row r="5" spans="1:50" customFormat="1" ht="27" customHeight="1" x14ac:dyDescent="0.55000000000000004">
      <c r="A5" s="1"/>
      <c r="B5" s="1"/>
      <c r="C5" s="1"/>
      <c r="D5" s="1"/>
      <c r="E5" s="1"/>
      <c r="F5" s="1"/>
      <c r="G5" s="1"/>
      <c r="H5" s="1"/>
      <c r="I5" s="1"/>
      <c r="J5" s="1"/>
      <c r="K5" s="1"/>
      <c r="L5" s="1"/>
      <c r="M5" s="1"/>
      <c r="N5" s="1"/>
      <c r="O5" s="1"/>
      <c r="P5" s="1"/>
      <c r="Q5" s="1"/>
      <c r="R5" s="1"/>
      <c r="S5" s="1"/>
      <c r="T5" s="1"/>
      <c r="U5" s="1"/>
      <c r="V5" s="1"/>
      <c r="W5" s="12"/>
      <c r="X5" s="216"/>
      <c r="Y5" s="391" t="s">
        <v>1852</v>
      </c>
      <c r="Z5" s="391"/>
      <c r="AA5" s="391"/>
      <c r="AB5" s="202" t="s">
        <v>1853</v>
      </c>
      <c r="AC5" s="202"/>
      <c r="AD5" s="202"/>
      <c r="AE5" s="202"/>
      <c r="AF5" s="202"/>
      <c r="AG5" s="215"/>
      <c r="AH5" s="12"/>
    </row>
    <row r="6" spans="1:50" s="54" customFormat="1" ht="34.950000000000003" customHeight="1" thickBot="1" x14ac:dyDescent="0.6">
      <c r="A6" s="397" t="s">
        <v>1631</v>
      </c>
      <c r="B6" s="397"/>
      <c r="C6" s="397"/>
      <c r="D6" s="397"/>
      <c r="E6" s="397"/>
      <c r="F6" s="397"/>
      <c r="G6" s="397"/>
      <c r="H6" s="397"/>
      <c r="I6" s="397"/>
      <c r="J6" s="397"/>
      <c r="K6" s="397"/>
      <c r="L6" s="397"/>
      <c r="M6" s="397"/>
      <c r="N6" s="397"/>
      <c r="O6" s="397"/>
      <c r="P6" s="397"/>
      <c r="Q6" s="397"/>
      <c r="R6" s="397"/>
      <c r="S6" s="397"/>
      <c r="T6" s="397"/>
      <c r="U6" s="397"/>
      <c r="V6" s="397"/>
      <c r="W6" s="12"/>
      <c r="X6" s="12"/>
      <c r="Y6" s="12"/>
      <c r="Z6" s="12"/>
      <c r="AA6" s="12"/>
      <c r="AB6" s="12"/>
      <c r="AC6" s="12"/>
      <c r="AD6" s="12"/>
      <c r="AE6" s="12"/>
      <c r="AF6" s="12"/>
      <c r="AG6" s="12"/>
      <c r="AH6" s="12"/>
    </row>
    <row r="7" spans="1:50" ht="27" customHeight="1" x14ac:dyDescent="0.55000000000000004">
      <c r="A7" s="396" t="s">
        <v>1920</v>
      </c>
      <c r="B7" s="396"/>
      <c r="C7" s="396"/>
      <c r="D7" s="396"/>
      <c r="E7" s="396"/>
      <c r="F7" s="396"/>
      <c r="G7" s="396"/>
      <c r="H7" s="396"/>
      <c r="I7" s="396"/>
      <c r="J7" s="396"/>
      <c r="K7" s="396"/>
      <c r="L7" s="396"/>
      <c r="M7" s="396"/>
      <c r="N7" s="396"/>
      <c r="O7" s="396"/>
      <c r="P7" s="396"/>
      <c r="Q7" s="396"/>
      <c r="R7" s="396"/>
      <c r="S7" s="396"/>
      <c r="T7" s="396"/>
      <c r="U7" s="396"/>
      <c r="V7" s="396"/>
      <c r="W7" s="12"/>
      <c r="X7" s="12"/>
      <c r="Y7" s="221" t="s">
        <v>1887</v>
      </c>
      <c r="Z7" s="222"/>
      <c r="AA7" s="222"/>
      <c r="AB7" s="222"/>
      <c r="AC7" s="222"/>
      <c r="AD7" s="223"/>
      <c r="AE7" s="12"/>
      <c r="AF7" s="12"/>
      <c r="AG7" s="12"/>
      <c r="AH7" s="12"/>
    </row>
    <row r="8" spans="1:50" ht="27" customHeight="1" x14ac:dyDescent="0.55000000000000004">
      <c r="A8" s="396"/>
      <c r="B8" s="396"/>
      <c r="C8" s="396"/>
      <c r="D8" s="396"/>
      <c r="E8" s="396"/>
      <c r="F8" s="396"/>
      <c r="G8" s="396"/>
      <c r="H8" s="396"/>
      <c r="I8" s="396"/>
      <c r="J8" s="396"/>
      <c r="K8" s="396"/>
      <c r="L8" s="396"/>
      <c r="M8" s="396"/>
      <c r="N8" s="396"/>
      <c r="O8" s="396"/>
      <c r="P8" s="396"/>
      <c r="Q8" s="396"/>
      <c r="R8" s="396"/>
      <c r="S8" s="396"/>
      <c r="T8" s="396"/>
      <c r="U8" s="396"/>
      <c r="V8" s="396"/>
      <c r="W8" s="12"/>
      <c r="X8" s="12"/>
      <c r="Y8" s="224" t="s">
        <v>1863</v>
      </c>
      <c r="Z8" s="218"/>
      <c r="AA8" s="218"/>
      <c r="AB8" s="218"/>
      <c r="AC8" s="218"/>
      <c r="AD8" s="225"/>
      <c r="AE8" s="12"/>
      <c r="AF8" s="12"/>
      <c r="AG8" s="12"/>
      <c r="AH8" s="12"/>
    </row>
    <row r="9" spans="1:50" s="54" customFormat="1" ht="27" customHeight="1" x14ac:dyDescent="0.55000000000000004">
      <c r="A9" s="396"/>
      <c r="B9" s="396"/>
      <c r="C9" s="396"/>
      <c r="D9" s="396"/>
      <c r="E9" s="396"/>
      <c r="F9" s="396"/>
      <c r="G9" s="396"/>
      <c r="H9" s="396"/>
      <c r="I9" s="396"/>
      <c r="J9" s="396"/>
      <c r="K9" s="396"/>
      <c r="L9" s="396"/>
      <c r="M9" s="396"/>
      <c r="N9" s="396"/>
      <c r="O9" s="396"/>
      <c r="P9" s="396"/>
      <c r="Q9" s="396"/>
      <c r="R9" s="396"/>
      <c r="S9" s="396"/>
      <c r="T9" s="396"/>
      <c r="U9" s="396"/>
      <c r="V9" s="396"/>
      <c r="W9" s="12"/>
      <c r="X9" s="12"/>
      <c r="Y9" s="392" t="s">
        <v>1888</v>
      </c>
      <c r="Z9" s="393"/>
      <c r="AA9" s="393"/>
      <c r="AB9" s="393"/>
      <c r="AC9" s="393"/>
      <c r="AD9" s="394"/>
      <c r="AE9" s="12"/>
      <c r="AF9" s="12"/>
      <c r="AG9" s="12"/>
      <c r="AH9" s="12"/>
    </row>
    <row r="10" spans="1:50" ht="27" customHeight="1" x14ac:dyDescent="0.55000000000000004">
      <c r="A10" s="385" t="s">
        <v>811</v>
      </c>
      <c r="B10" s="385"/>
      <c r="C10" s="385"/>
      <c r="D10" s="385"/>
      <c r="E10" s="385"/>
      <c r="F10" s="385"/>
      <c r="G10" s="386" t="s">
        <v>808</v>
      </c>
      <c r="H10" s="387"/>
      <c r="I10" s="387"/>
      <c r="J10" s="387"/>
      <c r="K10" s="387"/>
      <c r="L10" s="387"/>
      <c r="M10" s="387"/>
      <c r="N10" s="387"/>
      <c r="O10" s="387"/>
      <c r="P10" s="387"/>
      <c r="Q10" s="387"/>
      <c r="R10" s="387"/>
      <c r="S10" s="387"/>
      <c r="T10" s="387"/>
      <c r="U10" s="387"/>
      <c r="V10" s="387"/>
      <c r="W10" s="12"/>
      <c r="X10" s="12"/>
      <c r="Y10" s="382" t="s">
        <v>1855</v>
      </c>
      <c r="Z10" s="383"/>
      <c r="AA10" s="383"/>
      <c r="AB10" s="383"/>
      <c r="AC10" s="383"/>
      <c r="AD10" s="384"/>
      <c r="AE10" s="12"/>
      <c r="AF10" s="12"/>
      <c r="AG10" s="12"/>
      <c r="AH10" s="12"/>
    </row>
    <row r="11" spans="1:50" ht="27" customHeight="1" x14ac:dyDescent="0.55000000000000004">
      <c r="A11" s="385" t="s">
        <v>812</v>
      </c>
      <c r="B11" s="385"/>
      <c r="C11" s="385"/>
      <c r="D11" s="385"/>
      <c r="E11" s="385"/>
      <c r="F11" s="385"/>
      <c r="G11" s="386" t="s">
        <v>810</v>
      </c>
      <c r="H11" s="387"/>
      <c r="I11" s="387"/>
      <c r="J11" s="387"/>
      <c r="K11" s="387"/>
      <c r="L11" s="387"/>
      <c r="M11" s="387"/>
      <c r="N11" s="387"/>
      <c r="O11" s="387"/>
      <c r="P11" s="387"/>
      <c r="Q11" s="387"/>
      <c r="R11" s="387"/>
      <c r="S11" s="387"/>
      <c r="T11" s="387"/>
      <c r="U11" s="387"/>
      <c r="V11" s="387"/>
      <c r="W11" s="12"/>
      <c r="X11" s="12"/>
      <c r="Y11" s="379" t="s">
        <v>1</v>
      </c>
      <c r="Z11" s="380"/>
      <c r="AA11" s="380"/>
      <c r="AB11" s="380"/>
      <c r="AC11" s="380"/>
      <c r="AD11" s="381"/>
      <c r="AE11" s="12"/>
      <c r="AF11" s="12"/>
      <c r="AG11" s="12"/>
      <c r="AH11" s="12"/>
    </row>
    <row r="12" spans="1:50" ht="27" customHeight="1" thickBot="1" x14ac:dyDescent="0.6">
      <c r="A12" s="385" t="s">
        <v>813</v>
      </c>
      <c r="B12" s="385"/>
      <c r="C12" s="385"/>
      <c r="D12" s="385"/>
      <c r="E12" s="385"/>
      <c r="F12" s="385"/>
      <c r="G12" s="386" t="s">
        <v>809</v>
      </c>
      <c r="H12" s="387"/>
      <c r="I12" s="387"/>
      <c r="J12" s="387"/>
      <c r="K12" s="387"/>
      <c r="L12" s="387"/>
      <c r="M12" s="387"/>
      <c r="N12" s="387"/>
      <c r="O12" s="387"/>
      <c r="P12" s="387"/>
      <c r="Q12" s="387"/>
      <c r="R12" s="387"/>
      <c r="S12" s="387"/>
      <c r="T12" s="387"/>
      <c r="U12" s="387"/>
      <c r="V12" s="387"/>
      <c r="W12" s="12"/>
      <c r="X12" s="12"/>
      <c r="Y12" s="376" t="s">
        <v>1889</v>
      </c>
      <c r="Z12" s="377"/>
      <c r="AA12" s="377"/>
      <c r="AB12" s="377"/>
      <c r="AC12" s="377"/>
      <c r="AD12" s="378"/>
      <c r="AE12" s="12"/>
      <c r="AF12" s="12"/>
      <c r="AG12" s="12"/>
      <c r="AH12" s="12"/>
    </row>
    <row r="13" spans="1:50" ht="27" customHeight="1" x14ac:dyDescent="0.55000000000000004">
      <c r="A13" s="205"/>
      <c r="B13" s="205"/>
      <c r="C13" s="205"/>
      <c r="D13" s="205"/>
      <c r="E13" s="205"/>
      <c r="F13" s="205"/>
      <c r="G13" s="217"/>
      <c r="H13" s="217"/>
      <c r="I13" s="217"/>
      <c r="J13" s="217"/>
      <c r="K13" s="217"/>
      <c r="L13" s="217"/>
      <c r="M13" s="217"/>
      <c r="N13" s="217"/>
      <c r="O13" s="217"/>
      <c r="P13" s="217"/>
      <c r="Q13" s="217"/>
      <c r="R13" s="217"/>
      <c r="S13" s="217"/>
      <c r="T13" s="217"/>
      <c r="U13" s="217"/>
      <c r="V13" s="199"/>
      <c r="W13" s="12"/>
      <c r="X13" s="12"/>
      <c r="Y13" s="12"/>
      <c r="Z13" s="12"/>
      <c r="AA13" s="12"/>
      <c r="AB13" s="12"/>
      <c r="AC13" s="12"/>
      <c r="AD13" s="12"/>
      <c r="AE13" s="12"/>
      <c r="AF13" s="12"/>
      <c r="AG13" s="12"/>
      <c r="AH13" s="12"/>
    </row>
    <row r="14" spans="1:50" ht="27" customHeight="1" x14ac:dyDescent="0.55000000000000004">
      <c r="A14" s="405" t="s">
        <v>2</v>
      </c>
      <c r="B14" s="405"/>
      <c r="C14" s="405"/>
      <c r="D14" s="405"/>
      <c r="E14" s="405"/>
      <c r="F14" s="405"/>
      <c r="G14" s="402" t="s">
        <v>1895</v>
      </c>
      <c r="H14" s="402"/>
      <c r="I14" s="402"/>
      <c r="J14" s="402"/>
      <c r="K14" s="402"/>
      <c r="L14" s="402"/>
      <c r="M14" s="402"/>
      <c r="N14" s="402"/>
      <c r="O14" s="402"/>
      <c r="P14" s="402"/>
      <c r="Q14" s="402"/>
      <c r="R14" s="402"/>
      <c r="S14" s="402"/>
      <c r="T14" s="402"/>
      <c r="U14" s="402"/>
      <c r="V14" s="402"/>
      <c r="W14" s="12"/>
      <c r="X14" s="12"/>
      <c r="Y14" s="12"/>
      <c r="Z14" s="12"/>
      <c r="AA14" s="12"/>
      <c r="AB14" s="12"/>
      <c r="AC14" s="12"/>
      <c r="AD14" s="12"/>
      <c r="AE14" s="12"/>
      <c r="AF14" s="12"/>
      <c r="AG14" s="12"/>
      <c r="AH14" s="12"/>
    </row>
    <row r="15" spans="1:50" ht="27" customHeight="1" x14ac:dyDescent="0.55000000000000004">
      <c r="A15" s="205"/>
      <c r="B15" s="205"/>
      <c r="C15" s="205"/>
      <c r="D15" s="205"/>
      <c r="E15" s="205"/>
      <c r="F15" s="205"/>
      <c r="G15" s="402"/>
      <c r="H15" s="402"/>
      <c r="I15" s="402"/>
      <c r="J15" s="402"/>
      <c r="K15" s="402"/>
      <c r="L15" s="402"/>
      <c r="M15" s="402"/>
      <c r="N15" s="402"/>
      <c r="O15" s="402"/>
      <c r="P15" s="402"/>
      <c r="Q15" s="402"/>
      <c r="R15" s="402"/>
      <c r="S15" s="402"/>
      <c r="T15" s="402"/>
      <c r="U15" s="402"/>
      <c r="V15" s="402"/>
      <c r="W15" s="12"/>
      <c r="X15" s="12"/>
      <c r="Y15" s="230"/>
      <c r="Z15" s="230"/>
      <c r="AA15" s="230"/>
      <c r="AB15" s="230"/>
      <c r="AC15" s="230"/>
      <c r="AD15" s="230"/>
      <c r="AE15" s="230"/>
      <c r="AF15" s="12"/>
      <c r="AG15" s="12"/>
      <c r="AH15" s="12"/>
    </row>
    <row r="16" spans="1:50" ht="34.950000000000003" customHeight="1" x14ac:dyDescent="0.55000000000000004">
      <c r="A16" s="397" t="s">
        <v>1862</v>
      </c>
      <c r="B16" s="397"/>
      <c r="C16" s="397"/>
      <c r="D16" s="397"/>
      <c r="E16" s="397"/>
      <c r="F16" s="397"/>
      <c r="G16" s="397"/>
      <c r="H16" s="397"/>
      <c r="I16" s="397"/>
      <c r="J16" s="397"/>
      <c r="K16" s="397"/>
      <c r="L16" s="397"/>
      <c r="M16" s="397"/>
      <c r="N16" s="397"/>
      <c r="O16" s="397"/>
      <c r="P16" s="397"/>
      <c r="Q16" s="397"/>
      <c r="R16" s="397"/>
      <c r="S16" s="397"/>
      <c r="T16" s="397"/>
      <c r="U16" s="397"/>
      <c r="V16" s="397"/>
      <c r="W16" s="12"/>
      <c r="X16" s="12"/>
      <c r="Y16" s="230"/>
      <c r="Z16" s="230"/>
      <c r="AA16" s="230"/>
      <c r="AB16" s="230"/>
      <c r="AC16" s="230"/>
      <c r="AD16" s="230"/>
      <c r="AE16" s="230"/>
      <c r="AF16" s="12"/>
      <c r="AG16" s="12"/>
      <c r="AH16" s="12"/>
    </row>
    <row r="17" spans="1:34" ht="27" customHeight="1" x14ac:dyDescent="0.55000000000000004">
      <c r="A17" s="396" t="s">
        <v>1884</v>
      </c>
      <c r="B17" s="396"/>
      <c r="C17" s="396"/>
      <c r="D17" s="396"/>
      <c r="E17" s="396"/>
      <c r="F17" s="396"/>
      <c r="G17" s="396"/>
      <c r="H17" s="396"/>
      <c r="I17" s="396"/>
      <c r="J17" s="396"/>
      <c r="K17" s="396"/>
      <c r="L17" s="396"/>
      <c r="M17" s="396"/>
      <c r="N17" s="396"/>
      <c r="O17" s="396"/>
      <c r="P17" s="396"/>
      <c r="Q17" s="396"/>
      <c r="R17" s="396"/>
      <c r="S17" s="396"/>
      <c r="T17" s="396"/>
      <c r="U17" s="396"/>
      <c r="V17" s="396"/>
      <c r="W17" s="207"/>
      <c r="X17" s="207"/>
      <c r="Y17" s="207"/>
      <c r="Z17" s="207"/>
      <c r="AA17" s="207"/>
      <c r="AB17" s="207"/>
      <c r="AC17" s="207"/>
      <c r="AD17" s="207"/>
      <c r="AE17" s="207"/>
      <c r="AF17" s="207"/>
      <c r="AG17" s="207"/>
      <c r="AH17" s="207"/>
    </row>
    <row r="18" spans="1:34" ht="27" customHeight="1" x14ac:dyDescent="0.55000000000000004">
      <c r="A18" s="396"/>
      <c r="B18" s="396"/>
      <c r="C18" s="396"/>
      <c r="D18" s="396"/>
      <c r="E18" s="396"/>
      <c r="F18" s="396"/>
      <c r="G18" s="396"/>
      <c r="H18" s="396"/>
      <c r="I18" s="396"/>
      <c r="J18" s="396"/>
      <c r="K18" s="396"/>
      <c r="L18" s="396"/>
      <c r="M18" s="396"/>
      <c r="N18" s="396"/>
      <c r="O18" s="396"/>
      <c r="P18" s="396"/>
      <c r="Q18" s="396"/>
      <c r="R18" s="396"/>
      <c r="S18" s="396"/>
      <c r="T18" s="396"/>
      <c r="U18" s="396"/>
      <c r="V18" s="396"/>
      <c r="W18" s="207"/>
      <c r="X18" s="207"/>
      <c r="Y18" s="207"/>
      <c r="Z18" s="207"/>
      <c r="AA18" s="207"/>
      <c r="AB18" s="207"/>
      <c r="AC18" s="207"/>
      <c r="AD18" s="207"/>
      <c r="AE18" s="207"/>
      <c r="AF18" s="207"/>
      <c r="AG18" s="207"/>
      <c r="AH18" s="207"/>
    </row>
    <row r="19" spans="1:34" ht="27" customHeight="1" x14ac:dyDescent="0.55000000000000004">
      <c r="A19" s="405" t="s">
        <v>834</v>
      </c>
      <c r="B19" s="405"/>
      <c r="C19" s="405"/>
      <c r="D19" s="405"/>
      <c r="E19" s="405"/>
      <c r="F19" s="405"/>
      <c r="G19" s="402" t="s">
        <v>1892</v>
      </c>
      <c r="H19" s="402"/>
      <c r="I19" s="402"/>
      <c r="J19" s="402"/>
      <c r="K19" s="402"/>
      <c r="L19" s="402"/>
      <c r="M19" s="402"/>
      <c r="N19" s="402"/>
      <c r="O19" s="402"/>
      <c r="P19" s="402"/>
      <c r="Q19" s="402"/>
      <c r="R19" s="402"/>
      <c r="S19" s="402"/>
      <c r="T19" s="402"/>
      <c r="U19" s="402"/>
      <c r="V19" s="402"/>
      <c r="W19" s="207"/>
      <c r="X19" s="207"/>
      <c r="Y19" s="207"/>
      <c r="Z19" s="207"/>
      <c r="AA19" s="207"/>
      <c r="AB19" s="207"/>
      <c r="AC19" s="207"/>
      <c r="AD19" s="207"/>
      <c r="AE19" s="207"/>
      <c r="AF19" s="207"/>
      <c r="AG19" s="207"/>
      <c r="AH19" s="207"/>
    </row>
    <row r="20" spans="1:34" ht="27" customHeight="1" x14ac:dyDescent="0.55000000000000004">
      <c r="A20" s="404"/>
      <c r="B20" s="404"/>
      <c r="C20" s="404"/>
      <c r="D20" s="404"/>
      <c r="E20" s="404"/>
      <c r="F20" s="404"/>
      <c r="G20" s="402"/>
      <c r="H20" s="402"/>
      <c r="I20" s="402"/>
      <c r="J20" s="402"/>
      <c r="K20" s="402"/>
      <c r="L20" s="402"/>
      <c r="M20" s="402"/>
      <c r="N20" s="402"/>
      <c r="O20" s="402"/>
      <c r="P20" s="402"/>
      <c r="Q20" s="402"/>
      <c r="R20" s="402"/>
      <c r="S20" s="402"/>
      <c r="T20" s="402"/>
      <c r="U20" s="402"/>
      <c r="V20" s="402"/>
      <c r="W20" s="207"/>
      <c r="X20" s="207"/>
      <c r="Y20" s="207"/>
      <c r="Z20" s="207"/>
      <c r="AA20" s="207"/>
      <c r="AB20" s="207"/>
      <c r="AC20" s="207"/>
      <c r="AD20" s="207"/>
      <c r="AE20" s="207"/>
      <c r="AF20" s="207"/>
      <c r="AG20" s="207"/>
      <c r="AH20" s="207"/>
    </row>
    <row r="21" spans="1:34" ht="27" customHeight="1" x14ac:dyDescent="0.55000000000000004">
      <c r="A21" s="404"/>
      <c r="B21" s="404"/>
      <c r="C21" s="404"/>
      <c r="D21" s="404"/>
      <c r="E21" s="404"/>
      <c r="F21" s="404"/>
      <c r="G21" s="402"/>
      <c r="H21" s="402"/>
      <c r="I21" s="402"/>
      <c r="J21" s="402"/>
      <c r="K21" s="402"/>
      <c r="L21" s="402"/>
      <c r="M21" s="402"/>
      <c r="N21" s="402"/>
      <c r="O21" s="402"/>
      <c r="P21" s="402"/>
      <c r="Q21" s="402"/>
      <c r="R21" s="402"/>
      <c r="S21" s="402"/>
      <c r="T21" s="402"/>
      <c r="U21" s="402"/>
      <c r="V21" s="402"/>
      <c r="W21" s="207"/>
      <c r="X21" s="207"/>
      <c r="Y21" s="207"/>
      <c r="Z21" s="207"/>
      <c r="AA21" s="207"/>
      <c r="AB21" s="207"/>
      <c r="AC21" s="207"/>
      <c r="AD21" s="207"/>
      <c r="AE21" s="207"/>
      <c r="AF21" s="207"/>
      <c r="AG21" s="207"/>
      <c r="AH21" s="207"/>
    </row>
    <row r="22" spans="1:34" ht="27" customHeight="1" x14ac:dyDescent="0.55000000000000004">
      <c r="A22" s="403" t="s">
        <v>835</v>
      </c>
      <c r="B22" s="403"/>
      <c r="C22" s="403"/>
      <c r="D22" s="403"/>
      <c r="E22" s="403"/>
      <c r="F22" s="403"/>
      <c r="G22" s="402" t="s">
        <v>1893</v>
      </c>
      <c r="H22" s="402"/>
      <c r="I22" s="402"/>
      <c r="J22" s="402"/>
      <c r="K22" s="402"/>
      <c r="L22" s="402"/>
      <c r="M22" s="402"/>
      <c r="N22" s="402"/>
      <c r="O22" s="402"/>
      <c r="P22" s="402"/>
      <c r="Q22" s="402"/>
      <c r="R22" s="402"/>
      <c r="S22" s="402"/>
      <c r="T22" s="402"/>
      <c r="U22" s="402"/>
      <c r="V22" s="402"/>
      <c r="W22" s="207"/>
      <c r="X22" s="207"/>
      <c r="Y22" s="207"/>
      <c r="Z22" s="207"/>
      <c r="AA22" s="207"/>
      <c r="AB22" s="207"/>
      <c r="AC22" s="207"/>
      <c r="AD22" s="207"/>
      <c r="AE22" s="207"/>
      <c r="AF22" s="207"/>
      <c r="AG22" s="207"/>
      <c r="AH22" s="207"/>
    </row>
    <row r="23" spans="1:34" ht="27" customHeight="1" x14ac:dyDescent="0.55000000000000004">
      <c r="A23" s="200"/>
      <c r="B23" s="200"/>
      <c r="C23" s="200"/>
      <c r="D23" s="200"/>
      <c r="E23" s="200"/>
      <c r="F23" s="200"/>
      <c r="G23" s="402"/>
      <c r="H23" s="402"/>
      <c r="I23" s="402"/>
      <c r="J23" s="402"/>
      <c r="K23" s="402"/>
      <c r="L23" s="402"/>
      <c r="M23" s="402"/>
      <c r="N23" s="402"/>
      <c r="O23" s="402"/>
      <c r="P23" s="402"/>
      <c r="Q23" s="402"/>
      <c r="R23" s="402"/>
      <c r="S23" s="402"/>
      <c r="T23" s="402"/>
      <c r="U23" s="402"/>
      <c r="V23" s="402"/>
      <c r="W23" s="207"/>
      <c r="X23" s="207"/>
      <c r="Y23" s="207"/>
      <c r="Z23" s="207"/>
      <c r="AA23" s="207"/>
      <c r="AB23" s="207"/>
      <c r="AC23" s="207"/>
      <c r="AD23" s="207"/>
      <c r="AE23" s="207"/>
      <c r="AF23" s="207"/>
      <c r="AG23" s="207"/>
      <c r="AH23" s="207"/>
    </row>
    <row r="24" spans="1:34" ht="27" customHeight="1" x14ac:dyDescent="0.55000000000000004">
      <c r="A24" s="200"/>
      <c r="B24" s="200"/>
      <c r="C24" s="200"/>
      <c r="D24" s="200"/>
      <c r="E24" s="200"/>
      <c r="F24" s="200"/>
      <c r="G24" s="402"/>
      <c r="H24" s="402"/>
      <c r="I24" s="402"/>
      <c r="J24" s="402"/>
      <c r="K24" s="402"/>
      <c r="L24" s="402"/>
      <c r="M24" s="402"/>
      <c r="N24" s="402"/>
      <c r="O24" s="402"/>
      <c r="P24" s="402"/>
      <c r="Q24" s="402"/>
      <c r="R24" s="402"/>
      <c r="S24" s="402"/>
      <c r="T24" s="402"/>
      <c r="U24" s="402"/>
      <c r="V24" s="402"/>
      <c r="W24" s="207"/>
      <c r="X24" s="207"/>
      <c r="Y24" s="207"/>
      <c r="Z24" s="207"/>
      <c r="AA24" s="207"/>
      <c r="AB24" s="207"/>
      <c r="AC24" s="207"/>
      <c r="AD24" s="207"/>
      <c r="AE24" s="207"/>
      <c r="AF24" s="207"/>
      <c r="AG24" s="207"/>
      <c r="AH24" s="207"/>
    </row>
    <row r="25" spans="1:34" ht="27" customHeight="1" x14ac:dyDescent="0.55000000000000004">
      <c r="A25" s="200"/>
      <c r="B25" s="200"/>
      <c r="C25" s="200"/>
      <c r="D25" s="200"/>
      <c r="E25" s="200"/>
      <c r="F25" s="200"/>
      <c r="G25" s="402"/>
      <c r="H25" s="402"/>
      <c r="I25" s="402"/>
      <c r="J25" s="402"/>
      <c r="K25" s="402"/>
      <c r="L25" s="402"/>
      <c r="M25" s="402"/>
      <c r="N25" s="402"/>
      <c r="O25" s="402"/>
      <c r="P25" s="402"/>
      <c r="Q25" s="402"/>
      <c r="R25" s="402"/>
      <c r="S25" s="402"/>
      <c r="T25" s="402"/>
      <c r="U25" s="402"/>
      <c r="V25" s="402"/>
      <c r="W25" s="207"/>
      <c r="X25" s="207"/>
      <c r="Y25" s="207"/>
      <c r="Z25" s="207"/>
      <c r="AA25" s="207"/>
      <c r="AB25" s="207"/>
      <c r="AC25" s="207"/>
      <c r="AD25" s="207"/>
      <c r="AE25" s="207"/>
      <c r="AF25" s="207"/>
      <c r="AG25" s="207"/>
      <c r="AH25" s="207"/>
    </row>
    <row r="26" spans="1:34" ht="27" customHeight="1" x14ac:dyDescent="0.55000000000000004">
      <c r="A26" s="403" t="s">
        <v>838</v>
      </c>
      <c r="B26" s="403"/>
      <c r="C26" s="403"/>
      <c r="D26" s="403"/>
      <c r="E26" s="403"/>
      <c r="F26" s="403"/>
      <c r="G26" s="402" t="s">
        <v>1894</v>
      </c>
      <c r="H26" s="402"/>
      <c r="I26" s="402"/>
      <c r="J26" s="402"/>
      <c r="K26" s="402"/>
      <c r="L26" s="402"/>
      <c r="M26" s="402"/>
      <c r="N26" s="402"/>
      <c r="O26" s="402"/>
      <c r="P26" s="402"/>
      <c r="Q26" s="402"/>
      <c r="R26" s="402"/>
      <c r="S26" s="402"/>
      <c r="T26" s="402"/>
      <c r="U26" s="402"/>
      <c r="V26" s="402"/>
      <c r="W26" s="207"/>
      <c r="X26" s="207"/>
      <c r="Y26" s="207"/>
      <c r="Z26" s="207"/>
      <c r="AA26" s="207"/>
      <c r="AB26" s="207"/>
      <c r="AC26" s="207"/>
      <c r="AD26" s="207"/>
      <c r="AE26" s="207"/>
      <c r="AF26" s="207"/>
      <c r="AG26" s="207"/>
      <c r="AH26" s="207"/>
    </row>
    <row r="27" spans="1:34" ht="27" customHeight="1" x14ac:dyDescent="0.55000000000000004">
      <c r="A27" s="200"/>
      <c r="B27" s="200"/>
      <c r="C27" s="200"/>
      <c r="D27" s="200"/>
      <c r="E27" s="200"/>
      <c r="F27" s="200"/>
      <c r="G27" s="402"/>
      <c r="H27" s="402"/>
      <c r="I27" s="402"/>
      <c r="J27" s="402"/>
      <c r="K27" s="402"/>
      <c r="L27" s="402"/>
      <c r="M27" s="402"/>
      <c r="N27" s="402"/>
      <c r="O27" s="402"/>
      <c r="P27" s="402"/>
      <c r="Q27" s="402"/>
      <c r="R27" s="402"/>
      <c r="S27" s="402"/>
      <c r="T27" s="402"/>
      <c r="U27" s="402"/>
      <c r="V27" s="402"/>
      <c r="W27" s="207"/>
      <c r="X27" s="207"/>
      <c r="Y27" s="207"/>
      <c r="Z27" s="207"/>
      <c r="AA27" s="207"/>
      <c r="AB27" s="207"/>
      <c r="AC27" s="207"/>
      <c r="AD27" s="207"/>
      <c r="AE27" s="207"/>
      <c r="AF27" s="207"/>
      <c r="AG27" s="207"/>
      <c r="AH27" s="207"/>
    </row>
    <row r="28" spans="1:34" ht="27" customHeight="1" x14ac:dyDescent="0.55000000000000004">
      <c r="A28" s="200"/>
      <c r="B28" s="200"/>
      <c r="C28" s="200"/>
      <c r="D28" s="200"/>
      <c r="E28" s="200"/>
      <c r="F28" s="200"/>
      <c r="G28" s="402"/>
      <c r="H28" s="402"/>
      <c r="I28" s="402"/>
      <c r="J28" s="402"/>
      <c r="K28" s="402"/>
      <c r="L28" s="402"/>
      <c r="M28" s="402"/>
      <c r="N28" s="402"/>
      <c r="O28" s="402"/>
      <c r="P28" s="402"/>
      <c r="Q28" s="402"/>
      <c r="R28" s="402"/>
      <c r="S28" s="402"/>
      <c r="T28" s="402"/>
      <c r="U28" s="402"/>
      <c r="V28" s="402"/>
      <c r="W28" s="207"/>
      <c r="X28" s="207"/>
      <c r="Y28" s="207"/>
      <c r="Z28" s="207"/>
      <c r="AA28" s="207"/>
      <c r="AB28" s="207"/>
      <c r="AC28" s="207"/>
      <c r="AD28" s="207"/>
      <c r="AE28" s="207"/>
      <c r="AF28" s="207"/>
      <c r="AG28" s="207"/>
      <c r="AH28" s="207"/>
    </row>
    <row r="29" spans="1:34" ht="27" customHeight="1" x14ac:dyDescent="0.55000000000000004">
      <c r="A29" s="200"/>
      <c r="B29" s="200"/>
      <c r="C29" s="200"/>
      <c r="D29" s="200"/>
      <c r="E29" s="200"/>
      <c r="F29" s="200"/>
      <c r="G29" s="402"/>
      <c r="H29" s="402"/>
      <c r="I29" s="402"/>
      <c r="J29" s="402"/>
      <c r="K29" s="402"/>
      <c r="L29" s="402"/>
      <c r="M29" s="402"/>
      <c r="N29" s="402"/>
      <c r="O29" s="402"/>
      <c r="P29" s="402"/>
      <c r="Q29" s="402"/>
      <c r="R29" s="402"/>
      <c r="S29" s="402"/>
      <c r="T29" s="402"/>
      <c r="U29" s="402"/>
      <c r="V29" s="402"/>
      <c r="W29" s="207"/>
      <c r="X29" s="207"/>
      <c r="Y29" s="207"/>
      <c r="Z29" s="207"/>
      <c r="AA29" s="207"/>
      <c r="AB29" s="207"/>
      <c r="AC29" s="207"/>
      <c r="AD29" s="207"/>
      <c r="AE29" s="207"/>
      <c r="AF29" s="207"/>
      <c r="AG29" s="207"/>
      <c r="AH29" s="207"/>
    </row>
    <row r="30" spans="1:34" ht="27" customHeight="1" x14ac:dyDescent="0.55000000000000004">
      <c r="A30" s="403" t="s">
        <v>1861</v>
      </c>
      <c r="B30" s="403"/>
      <c r="C30" s="403"/>
      <c r="D30" s="403"/>
      <c r="E30" s="403"/>
      <c r="F30" s="403"/>
      <c r="G30" s="402" t="s">
        <v>1918</v>
      </c>
      <c r="H30" s="402"/>
      <c r="I30" s="402"/>
      <c r="J30" s="402"/>
      <c r="K30" s="402"/>
      <c r="L30" s="402"/>
      <c r="M30" s="402"/>
      <c r="N30" s="402"/>
      <c r="O30" s="402"/>
      <c r="P30" s="402"/>
      <c r="Q30" s="402"/>
      <c r="R30" s="402"/>
      <c r="S30" s="402"/>
      <c r="T30" s="402"/>
      <c r="U30" s="402"/>
      <c r="V30" s="402"/>
      <c r="W30" s="207"/>
      <c r="X30" s="207"/>
      <c r="Y30" s="207"/>
      <c r="Z30" s="207"/>
      <c r="AA30" s="207"/>
      <c r="AB30" s="207"/>
      <c r="AC30" s="207"/>
      <c r="AD30" s="207"/>
      <c r="AE30" s="207"/>
      <c r="AF30" s="207"/>
      <c r="AG30" s="207"/>
      <c r="AH30" s="207"/>
    </row>
    <row r="31" spans="1:34" ht="27" customHeight="1" x14ac:dyDescent="0.55000000000000004">
      <c r="A31" s="200"/>
      <c r="B31" s="200"/>
      <c r="C31" s="200"/>
      <c r="D31" s="200"/>
      <c r="E31" s="200"/>
      <c r="F31" s="200"/>
      <c r="G31" s="402"/>
      <c r="H31" s="402"/>
      <c r="I31" s="402"/>
      <c r="J31" s="402"/>
      <c r="K31" s="402"/>
      <c r="L31" s="402"/>
      <c r="M31" s="402"/>
      <c r="N31" s="402"/>
      <c r="O31" s="402"/>
      <c r="P31" s="402"/>
      <c r="Q31" s="402"/>
      <c r="R31" s="402"/>
      <c r="S31" s="402"/>
      <c r="T31" s="402"/>
      <c r="U31" s="402"/>
      <c r="V31" s="402"/>
      <c r="W31" s="207"/>
      <c r="X31" s="207"/>
      <c r="Y31" s="207"/>
      <c r="Z31" s="207"/>
      <c r="AA31" s="207"/>
      <c r="AB31" s="207"/>
      <c r="AC31" s="207"/>
      <c r="AD31" s="207"/>
      <c r="AE31" s="207"/>
      <c r="AF31" s="207"/>
      <c r="AG31" s="207"/>
      <c r="AH31" s="207"/>
    </row>
    <row r="32" spans="1:34" ht="27" customHeight="1" x14ac:dyDescent="0.55000000000000004">
      <c r="A32" s="200"/>
      <c r="B32" s="200"/>
      <c r="C32" s="200"/>
      <c r="D32" s="200"/>
      <c r="E32" s="200"/>
      <c r="F32" s="200"/>
      <c r="G32" s="402"/>
      <c r="H32" s="402"/>
      <c r="I32" s="402"/>
      <c r="J32" s="402"/>
      <c r="K32" s="402"/>
      <c r="L32" s="402"/>
      <c r="M32" s="402"/>
      <c r="N32" s="402"/>
      <c r="O32" s="402"/>
      <c r="P32" s="402"/>
      <c r="Q32" s="402"/>
      <c r="R32" s="402"/>
      <c r="S32" s="402"/>
      <c r="T32" s="402"/>
      <c r="U32" s="402"/>
      <c r="V32" s="402"/>
      <c r="W32" s="207"/>
      <c r="X32" s="207"/>
      <c r="Y32" s="207"/>
      <c r="Z32" s="207"/>
      <c r="AA32" s="207"/>
      <c r="AB32" s="207"/>
      <c r="AC32" s="207"/>
      <c r="AD32" s="207"/>
      <c r="AE32" s="207"/>
      <c r="AF32" s="207"/>
      <c r="AG32" s="207"/>
      <c r="AH32" s="207"/>
    </row>
    <row r="33" spans="1:34" ht="27" customHeight="1" x14ac:dyDescent="0.55000000000000004">
      <c r="A33" s="200"/>
      <c r="B33" s="200"/>
      <c r="C33" s="200"/>
      <c r="D33" s="200"/>
      <c r="E33" s="200"/>
      <c r="F33" s="200"/>
      <c r="G33" s="402"/>
      <c r="H33" s="402"/>
      <c r="I33" s="402"/>
      <c r="J33" s="402"/>
      <c r="K33" s="402"/>
      <c r="L33" s="402"/>
      <c r="M33" s="402"/>
      <c r="N33" s="402"/>
      <c r="O33" s="402"/>
      <c r="P33" s="402"/>
      <c r="Q33" s="402"/>
      <c r="R33" s="402"/>
      <c r="S33" s="402"/>
      <c r="T33" s="402"/>
      <c r="U33" s="402"/>
      <c r="V33" s="402"/>
      <c r="W33" s="207"/>
      <c r="X33" s="207"/>
      <c r="Y33" s="207"/>
      <c r="Z33" s="207"/>
      <c r="AA33" s="207"/>
      <c r="AB33" s="207"/>
      <c r="AC33" s="207"/>
      <c r="AD33" s="207"/>
      <c r="AE33" s="207"/>
      <c r="AF33" s="207"/>
      <c r="AG33" s="207"/>
      <c r="AH33" s="207"/>
    </row>
    <row r="34" spans="1:34" ht="34.950000000000003" customHeight="1" x14ac:dyDescent="0.55000000000000004">
      <c r="A34" s="397" t="s">
        <v>1848</v>
      </c>
      <c r="B34" s="397"/>
      <c r="C34" s="397"/>
      <c r="D34" s="397"/>
      <c r="E34" s="397"/>
      <c r="F34" s="397"/>
      <c r="G34" s="397"/>
      <c r="H34" s="397"/>
      <c r="I34" s="397"/>
      <c r="J34" s="397"/>
      <c r="K34" s="397"/>
      <c r="L34" s="397"/>
      <c r="M34" s="397"/>
      <c r="N34" s="397"/>
      <c r="O34" s="397"/>
      <c r="P34" s="397"/>
      <c r="Q34" s="397"/>
      <c r="R34" s="397"/>
      <c r="S34" s="397"/>
      <c r="T34" s="397"/>
      <c r="U34" s="397"/>
      <c r="V34" s="397"/>
      <c r="W34" s="207"/>
      <c r="X34" s="207"/>
      <c r="Y34" s="207"/>
      <c r="Z34" s="207"/>
      <c r="AA34" s="207"/>
      <c r="AB34" s="207"/>
      <c r="AC34" s="207"/>
      <c r="AD34" s="207"/>
      <c r="AE34" s="207"/>
      <c r="AF34" s="207"/>
      <c r="AG34" s="207"/>
      <c r="AH34" s="207"/>
    </row>
    <row r="35" spans="1:34" ht="27" customHeight="1" x14ac:dyDescent="0.55000000000000004">
      <c r="A35" s="396" t="s">
        <v>1881</v>
      </c>
      <c r="B35" s="396"/>
      <c r="C35" s="396"/>
      <c r="D35" s="396"/>
      <c r="E35" s="396"/>
      <c r="F35" s="396"/>
      <c r="G35" s="396"/>
      <c r="H35" s="396"/>
      <c r="I35" s="396"/>
      <c r="J35" s="396"/>
      <c r="K35" s="396"/>
      <c r="L35" s="396"/>
      <c r="M35" s="396"/>
      <c r="N35" s="396"/>
      <c r="O35" s="396"/>
      <c r="P35" s="396"/>
      <c r="Q35" s="396"/>
      <c r="R35" s="396"/>
      <c r="S35" s="396"/>
      <c r="T35" s="396"/>
      <c r="U35" s="396"/>
      <c r="V35" s="396"/>
      <c r="W35" s="207"/>
      <c r="X35" s="207"/>
      <c r="Y35" s="207"/>
      <c r="Z35" s="207"/>
      <c r="AA35" s="207"/>
      <c r="AB35" s="207"/>
      <c r="AC35" s="207"/>
      <c r="AD35" s="207"/>
      <c r="AE35" s="207"/>
      <c r="AF35" s="207"/>
      <c r="AG35" s="207"/>
      <c r="AH35" s="207"/>
    </row>
    <row r="36" spans="1:34" ht="27" customHeight="1" x14ac:dyDescent="0.55000000000000004">
      <c r="A36" s="396"/>
      <c r="B36" s="396"/>
      <c r="C36" s="396"/>
      <c r="D36" s="396"/>
      <c r="E36" s="396"/>
      <c r="F36" s="396"/>
      <c r="G36" s="396"/>
      <c r="H36" s="396"/>
      <c r="I36" s="396"/>
      <c r="J36" s="396"/>
      <c r="K36" s="396"/>
      <c r="L36" s="396"/>
      <c r="M36" s="396"/>
      <c r="N36" s="396"/>
      <c r="O36" s="396"/>
      <c r="P36" s="396"/>
      <c r="Q36" s="396"/>
      <c r="R36" s="396"/>
      <c r="S36" s="396"/>
      <c r="T36" s="396"/>
      <c r="U36" s="396"/>
      <c r="V36" s="396"/>
      <c r="W36" s="207"/>
      <c r="X36" s="207"/>
      <c r="Y36" s="207"/>
      <c r="Z36" s="207"/>
      <c r="AA36" s="207"/>
      <c r="AB36" s="207"/>
      <c r="AC36" s="207"/>
      <c r="AD36" s="207"/>
      <c r="AE36" s="207"/>
      <c r="AF36" s="207"/>
      <c r="AG36" s="207"/>
      <c r="AH36" s="207"/>
    </row>
    <row r="37" spans="1:34" ht="27" customHeight="1" x14ac:dyDescent="0.55000000000000004">
      <c r="A37" s="403" t="s">
        <v>1849</v>
      </c>
      <c r="B37" s="403"/>
      <c r="C37" s="403"/>
      <c r="D37" s="403"/>
      <c r="E37" s="403"/>
      <c r="F37" s="403"/>
      <c r="G37" s="402" t="s">
        <v>1883</v>
      </c>
      <c r="H37" s="402"/>
      <c r="I37" s="402"/>
      <c r="J37" s="402"/>
      <c r="K37" s="402"/>
      <c r="L37" s="402"/>
      <c r="M37" s="402"/>
      <c r="N37" s="402"/>
      <c r="O37" s="402"/>
      <c r="P37" s="402"/>
      <c r="Q37" s="402"/>
      <c r="R37" s="402"/>
      <c r="S37" s="402"/>
      <c r="T37" s="402"/>
      <c r="U37" s="402"/>
      <c r="V37" s="402"/>
      <c r="W37" s="207"/>
      <c r="X37" s="207"/>
      <c r="Y37" s="207"/>
      <c r="Z37" s="207"/>
      <c r="AA37" s="207"/>
      <c r="AB37" s="207"/>
      <c r="AC37" s="207"/>
      <c r="AD37" s="207"/>
      <c r="AE37" s="207"/>
      <c r="AF37" s="207"/>
      <c r="AG37" s="207"/>
      <c r="AH37" s="207"/>
    </row>
    <row r="38" spans="1:34" ht="27" customHeight="1" x14ac:dyDescent="0.55000000000000004">
      <c r="A38" s="199"/>
      <c r="B38" s="199"/>
      <c r="C38" s="199"/>
      <c r="D38" s="199"/>
      <c r="E38" s="199"/>
      <c r="F38" s="199"/>
      <c r="G38" s="402"/>
      <c r="H38" s="402"/>
      <c r="I38" s="402"/>
      <c r="J38" s="402"/>
      <c r="K38" s="402"/>
      <c r="L38" s="402"/>
      <c r="M38" s="402"/>
      <c r="N38" s="402"/>
      <c r="O38" s="402"/>
      <c r="P38" s="402"/>
      <c r="Q38" s="402"/>
      <c r="R38" s="402"/>
      <c r="S38" s="402"/>
      <c r="T38" s="402"/>
      <c r="U38" s="402"/>
      <c r="V38" s="402"/>
      <c r="W38" s="207"/>
      <c r="X38" s="207"/>
      <c r="Y38" s="207"/>
      <c r="Z38" s="207"/>
      <c r="AA38" s="207"/>
      <c r="AB38" s="207"/>
      <c r="AC38" s="207"/>
      <c r="AD38" s="207"/>
      <c r="AE38" s="207"/>
      <c r="AF38" s="207"/>
      <c r="AG38" s="207"/>
      <c r="AH38" s="207"/>
    </row>
    <row r="39" spans="1:34" ht="27" customHeight="1" x14ac:dyDescent="0.55000000000000004">
      <c r="A39" s="403" t="s">
        <v>1850</v>
      </c>
      <c r="B39" s="403"/>
      <c r="C39" s="403"/>
      <c r="D39" s="403"/>
      <c r="E39" s="403"/>
      <c r="F39" s="403"/>
      <c r="G39" s="402" t="s">
        <v>1882</v>
      </c>
      <c r="H39" s="402"/>
      <c r="I39" s="402"/>
      <c r="J39" s="402"/>
      <c r="K39" s="402"/>
      <c r="L39" s="402"/>
      <c r="M39" s="402"/>
      <c r="N39" s="402"/>
      <c r="O39" s="402"/>
      <c r="P39" s="402"/>
      <c r="Q39" s="402"/>
      <c r="R39" s="402"/>
      <c r="S39" s="402"/>
      <c r="T39" s="402"/>
      <c r="U39" s="402"/>
      <c r="V39" s="402"/>
      <c r="W39" s="207"/>
      <c r="X39" s="207"/>
      <c r="Y39" s="207"/>
      <c r="Z39" s="207"/>
      <c r="AA39" s="207"/>
      <c r="AB39" s="207"/>
      <c r="AC39" s="207"/>
      <c r="AD39" s="207"/>
      <c r="AE39" s="207"/>
      <c r="AF39" s="207"/>
      <c r="AG39" s="207"/>
      <c r="AH39" s="207"/>
    </row>
    <row r="40" spans="1:34" ht="27" customHeight="1" x14ac:dyDescent="0.55000000000000004">
      <c r="A40" s="199"/>
      <c r="B40" s="199"/>
      <c r="C40" s="199"/>
      <c r="D40" s="199"/>
      <c r="E40" s="199"/>
      <c r="F40" s="199"/>
      <c r="G40" s="402"/>
      <c r="H40" s="402"/>
      <c r="I40" s="402"/>
      <c r="J40" s="402"/>
      <c r="K40" s="402"/>
      <c r="L40" s="402"/>
      <c r="M40" s="402"/>
      <c r="N40" s="402"/>
      <c r="O40" s="402"/>
      <c r="P40" s="402"/>
      <c r="Q40" s="402"/>
      <c r="R40" s="402"/>
      <c r="S40" s="402"/>
      <c r="T40" s="402"/>
      <c r="U40" s="402"/>
      <c r="V40" s="402"/>
      <c r="W40" s="207"/>
      <c r="X40" s="207"/>
      <c r="Y40" s="207"/>
      <c r="Z40" s="207"/>
      <c r="AA40" s="207"/>
      <c r="AB40" s="207"/>
      <c r="AC40" s="207"/>
      <c r="AD40" s="207"/>
      <c r="AE40" s="207"/>
      <c r="AF40" s="207"/>
      <c r="AG40" s="207"/>
      <c r="AH40" s="207"/>
    </row>
    <row r="41" spans="1:34" ht="34.950000000000003" customHeight="1" x14ac:dyDescent="0.55000000000000004">
      <c r="A41" s="397" t="s">
        <v>1916</v>
      </c>
      <c r="B41" s="397"/>
      <c r="C41" s="397"/>
      <c r="D41" s="397"/>
      <c r="E41" s="397"/>
      <c r="F41" s="397"/>
      <c r="G41" s="397"/>
      <c r="H41" s="397"/>
      <c r="I41" s="397"/>
      <c r="J41" s="397"/>
      <c r="K41" s="397"/>
      <c r="L41" s="397"/>
      <c r="M41" s="397"/>
      <c r="N41" s="397"/>
      <c r="O41" s="397"/>
      <c r="P41" s="397"/>
      <c r="Q41" s="397"/>
      <c r="R41" s="397"/>
      <c r="S41" s="397"/>
      <c r="T41" s="397"/>
      <c r="U41" s="397"/>
      <c r="V41" s="397"/>
      <c r="W41" s="207"/>
      <c r="X41" s="207"/>
      <c r="Y41" s="207"/>
      <c r="Z41" s="207"/>
      <c r="AA41" s="207"/>
      <c r="AB41" s="207"/>
      <c r="AC41" s="207"/>
      <c r="AD41" s="207"/>
      <c r="AE41" s="207"/>
      <c r="AF41" s="207"/>
      <c r="AG41" s="207"/>
      <c r="AH41" s="207"/>
    </row>
    <row r="42" spans="1:34" ht="27" customHeight="1" x14ac:dyDescent="0.55000000000000004">
      <c r="A42" s="409" t="s">
        <v>1917</v>
      </c>
      <c r="B42" s="409"/>
      <c r="C42" s="409"/>
      <c r="D42" s="409"/>
      <c r="E42" s="409"/>
      <c r="F42" s="409"/>
      <c r="G42" s="409"/>
      <c r="H42" s="409"/>
      <c r="I42" s="409"/>
      <c r="J42" s="409"/>
      <c r="K42" s="409"/>
      <c r="L42" s="409"/>
      <c r="M42" s="409"/>
      <c r="N42" s="409"/>
      <c r="O42" s="409"/>
      <c r="P42" s="409"/>
      <c r="Q42" s="409"/>
      <c r="R42" s="409"/>
      <c r="S42" s="409"/>
      <c r="T42" s="409"/>
      <c r="U42" s="409"/>
      <c r="V42" s="409"/>
      <c r="W42" s="207"/>
      <c r="X42" s="207"/>
      <c r="Y42" s="207"/>
      <c r="Z42" s="207"/>
      <c r="AA42" s="207"/>
      <c r="AB42" s="207"/>
      <c r="AC42" s="207"/>
      <c r="AD42" s="207"/>
      <c r="AE42" s="207"/>
      <c r="AF42" s="207"/>
      <c r="AG42" s="207"/>
      <c r="AH42" s="207"/>
    </row>
    <row r="43" spans="1:34" ht="27" customHeight="1" x14ac:dyDescent="0.55000000000000004">
      <c r="A43" s="409"/>
      <c r="B43" s="409"/>
      <c r="C43" s="409"/>
      <c r="D43" s="409"/>
      <c r="E43" s="409"/>
      <c r="F43" s="409"/>
      <c r="G43" s="409"/>
      <c r="H43" s="409"/>
      <c r="I43" s="409"/>
      <c r="J43" s="409"/>
      <c r="K43" s="409"/>
      <c r="L43" s="409"/>
      <c r="M43" s="409"/>
      <c r="N43" s="409"/>
      <c r="O43" s="409"/>
      <c r="P43" s="409"/>
      <c r="Q43" s="409"/>
      <c r="R43" s="409"/>
      <c r="S43" s="409"/>
      <c r="T43" s="409"/>
      <c r="U43" s="409"/>
      <c r="V43" s="409"/>
      <c r="W43" s="207"/>
      <c r="X43" s="207"/>
      <c r="Y43" s="207"/>
      <c r="Z43" s="207"/>
      <c r="AA43" s="207"/>
      <c r="AB43" s="207"/>
      <c r="AC43" s="207"/>
      <c r="AD43" s="207"/>
      <c r="AE43" s="207"/>
      <c r="AF43" s="207"/>
      <c r="AG43" s="207"/>
      <c r="AH43" s="207"/>
    </row>
    <row r="44" spans="1:34" ht="27" customHeight="1" x14ac:dyDescent="0.55000000000000004">
      <c r="A44" s="409"/>
      <c r="B44" s="409"/>
      <c r="C44" s="409"/>
      <c r="D44" s="409"/>
      <c r="E44" s="409"/>
      <c r="F44" s="409"/>
      <c r="G44" s="409"/>
      <c r="H44" s="409"/>
      <c r="I44" s="409"/>
      <c r="J44" s="409"/>
      <c r="K44" s="409"/>
      <c r="L44" s="409"/>
      <c r="M44" s="409"/>
      <c r="N44" s="409"/>
      <c r="O44" s="409"/>
      <c r="P44" s="409"/>
      <c r="Q44" s="409"/>
      <c r="R44" s="409"/>
      <c r="S44" s="409"/>
      <c r="T44" s="409"/>
      <c r="U44" s="409"/>
      <c r="V44" s="409"/>
      <c r="W44" s="207"/>
      <c r="X44" s="207"/>
      <c r="Y44" s="207"/>
      <c r="Z44" s="207"/>
      <c r="AA44" s="207"/>
      <c r="AB44" s="207"/>
      <c r="AC44" s="207"/>
      <c r="AD44" s="207"/>
      <c r="AE44" s="207"/>
      <c r="AF44" s="207"/>
      <c r="AG44" s="207"/>
      <c r="AH44" s="207"/>
    </row>
    <row r="45" spans="1:34" ht="27" customHeight="1" x14ac:dyDescent="0.55000000000000004">
      <c r="A45" s="403" t="s">
        <v>802</v>
      </c>
      <c r="B45" s="403"/>
      <c r="C45" s="403"/>
      <c r="D45" s="403"/>
      <c r="E45" s="403"/>
      <c r="F45" s="403"/>
      <c r="G45" s="402" t="s">
        <v>1886</v>
      </c>
      <c r="H45" s="402"/>
      <c r="I45" s="402"/>
      <c r="J45" s="402"/>
      <c r="K45" s="402"/>
      <c r="L45" s="402"/>
      <c r="M45" s="402"/>
      <c r="N45" s="402"/>
      <c r="O45" s="402"/>
      <c r="P45" s="402"/>
      <c r="Q45" s="402"/>
      <c r="R45" s="402"/>
      <c r="S45" s="402"/>
      <c r="T45" s="402"/>
      <c r="U45" s="402"/>
      <c r="V45" s="402"/>
      <c r="W45" s="207"/>
      <c r="X45" s="207"/>
      <c r="Y45" s="207"/>
      <c r="Z45" s="207"/>
      <c r="AA45" s="207"/>
      <c r="AB45" s="207"/>
      <c r="AC45" s="207"/>
      <c r="AD45" s="207"/>
      <c r="AE45" s="207"/>
      <c r="AF45" s="207"/>
      <c r="AG45" s="207"/>
      <c r="AH45" s="207"/>
    </row>
    <row r="46" spans="1:34" ht="27" customHeight="1" x14ac:dyDescent="0.55000000000000004">
      <c r="A46" s="12"/>
      <c r="B46" s="12"/>
      <c r="C46" s="12"/>
      <c r="D46" s="12"/>
      <c r="E46" s="12"/>
      <c r="F46" s="12"/>
      <c r="G46" s="402"/>
      <c r="H46" s="402"/>
      <c r="I46" s="402"/>
      <c r="J46" s="402"/>
      <c r="K46" s="402"/>
      <c r="L46" s="402"/>
      <c r="M46" s="402"/>
      <c r="N46" s="402"/>
      <c r="O46" s="402"/>
      <c r="P46" s="402"/>
      <c r="Q46" s="402"/>
      <c r="R46" s="402"/>
      <c r="S46" s="402"/>
      <c r="T46" s="402"/>
      <c r="U46" s="402"/>
      <c r="V46" s="402"/>
      <c r="W46" s="207"/>
      <c r="X46" s="207"/>
      <c r="Y46" s="207"/>
      <c r="Z46" s="207"/>
      <c r="AA46" s="207"/>
      <c r="AB46" s="207"/>
      <c r="AC46" s="207"/>
      <c r="AD46" s="207"/>
      <c r="AE46" s="207"/>
      <c r="AF46" s="207"/>
      <c r="AG46" s="207"/>
      <c r="AH46" s="207"/>
    </row>
    <row r="47" spans="1:34" ht="27" customHeight="1" x14ac:dyDescent="0.55000000000000004">
      <c r="A47" s="406" t="s">
        <v>1</v>
      </c>
      <c r="B47" s="406"/>
      <c r="C47" s="406"/>
      <c r="D47" s="406"/>
      <c r="E47" s="406"/>
      <c r="F47" s="406"/>
      <c r="G47" s="402" t="s">
        <v>1885</v>
      </c>
      <c r="H47" s="402"/>
      <c r="I47" s="402"/>
      <c r="J47" s="402"/>
      <c r="K47" s="402"/>
      <c r="L47" s="402"/>
      <c r="M47" s="402"/>
      <c r="N47" s="402"/>
      <c r="O47" s="402"/>
      <c r="P47" s="402"/>
      <c r="Q47" s="402"/>
      <c r="R47" s="402"/>
      <c r="S47" s="402"/>
      <c r="T47" s="402"/>
      <c r="U47" s="402"/>
      <c r="V47" s="402"/>
      <c r="W47" s="207"/>
      <c r="X47" s="207"/>
      <c r="Y47" s="207"/>
      <c r="Z47" s="207"/>
      <c r="AA47" s="207"/>
      <c r="AB47" s="207"/>
      <c r="AC47" s="207"/>
      <c r="AD47" s="207"/>
      <c r="AE47" s="207"/>
      <c r="AF47" s="207"/>
      <c r="AG47" s="207"/>
      <c r="AH47" s="207"/>
    </row>
    <row r="48" spans="1:34" ht="27" customHeight="1" x14ac:dyDescent="0.55000000000000004">
      <c r="A48" s="199"/>
      <c r="B48" s="199"/>
      <c r="C48" s="199"/>
      <c r="D48" s="199"/>
      <c r="E48" s="199"/>
      <c r="F48" s="199"/>
      <c r="G48" s="402"/>
      <c r="H48" s="402"/>
      <c r="I48" s="402"/>
      <c r="J48" s="402"/>
      <c r="K48" s="402"/>
      <c r="L48" s="402"/>
      <c r="M48" s="402"/>
      <c r="N48" s="402"/>
      <c r="O48" s="402"/>
      <c r="P48" s="402"/>
      <c r="Q48" s="402"/>
      <c r="R48" s="402"/>
      <c r="S48" s="402"/>
      <c r="T48" s="402"/>
      <c r="U48" s="402"/>
      <c r="V48" s="402"/>
      <c r="W48" s="207"/>
      <c r="X48" s="207"/>
      <c r="Y48" s="207"/>
      <c r="Z48" s="207"/>
      <c r="AA48" s="207"/>
      <c r="AB48" s="207"/>
      <c r="AC48" s="207"/>
      <c r="AD48" s="207"/>
      <c r="AE48" s="207"/>
      <c r="AF48" s="207"/>
      <c r="AG48" s="207"/>
      <c r="AH48" s="207"/>
    </row>
    <row r="49" spans="1:43" ht="27" customHeight="1" x14ac:dyDescent="0.55000000000000004">
      <c r="A49" s="408" t="s">
        <v>143</v>
      </c>
      <c r="B49" s="408"/>
      <c r="C49" s="408"/>
      <c r="D49" s="408"/>
      <c r="E49" s="408"/>
      <c r="F49" s="408"/>
      <c r="G49" s="402" t="s">
        <v>1891</v>
      </c>
      <c r="H49" s="402"/>
      <c r="I49" s="402"/>
      <c r="J49" s="402"/>
      <c r="K49" s="402"/>
      <c r="L49" s="402"/>
      <c r="M49" s="402"/>
      <c r="N49" s="402"/>
      <c r="O49" s="402"/>
      <c r="P49" s="402"/>
      <c r="Q49" s="402"/>
      <c r="R49" s="402"/>
      <c r="S49" s="402"/>
      <c r="T49" s="402"/>
      <c r="U49" s="402"/>
      <c r="V49" s="402"/>
      <c r="W49" s="207"/>
      <c r="X49" s="207"/>
      <c r="Y49" s="207"/>
      <c r="Z49" s="207"/>
      <c r="AA49" s="207"/>
      <c r="AB49" s="207"/>
      <c r="AC49" s="207"/>
      <c r="AD49" s="207"/>
      <c r="AE49" s="207"/>
      <c r="AF49" s="207"/>
      <c r="AG49" s="207"/>
      <c r="AH49" s="207"/>
    </row>
    <row r="50" spans="1:43" ht="27" customHeight="1" x14ac:dyDescent="0.55000000000000004">
      <c r="A50" s="200"/>
      <c r="B50" s="200"/>
      <c r="C50" s="200"/>
      <c r="D50" s="200"/>
      <c r="E50" s="200"/>
      <c r="F50" s="200"/>
      <c r="G50" s="402"/>
      <c r="H50" s="402"/>
      <c r="I50" s="402"/>
      <c r="J50" s="402"/>
      <c r="K50" s="402"/>
      <c r="L50" s="402"/>
      <c r="M50" s="402"/>
      <c r="N50" s="402"/>
      <c r="O50" s="402"/>
      <c r="P50" s="402"/>
      <c r="Q50" s="402"/>
      <c r="R50" s="402"/>
      <c r="S50" s="402"/>
      <c r="T50" s="402"/>
      <c r="U50" s="402"/>
      <c r="V50" s="402"/>
      <c r="W50" s="207"/>
      <c r="X50" s="207"/>
      <c r="Y50" s="207"/>
      <c r="Z50" s="207"/>
      <c r="AA50" s="207"/>
      <c r="AB50" s="207"/>
      <c r="AC50" s="207"/>
      <c r="AD50" s="207"/>
      <c r="AE50" s="207"/>
      <c r="AF50" s="207"/>
      <c r="AG50" s="207"/>
      <c r="AH50" s="207"/>
    </row>
    <row r="51" spans="1:43" ht="27" customHeight="1" x14ac:dyDescent="0.55000000000000004">
      <c r="A51" s="220"/>
      <c r="B51" s="220"/>
      <c r="C51" s="220"/>
      <c r="D51" s="220"/>
      <c r="E51" s="220"/>
      <c r="F51" s="220"/>
      <c r="G51" s="402"/>
      <c r="H51" s="402"/>
      <c r="I51" s="402"/>
      <c r="J51" s="402"/>
      <c r="K51" s="402"/>
      <c r="L51" s="402"/>
      <c r="M51" s="402"/>
      <c r="N51" s="402"/>
      <c r="O51" s="402"/>
      <c r="P51" s="402"/>
      <c r="Q51" s="402"/>
      <c r="R51" s="402"/>
      <c r="S51" s="402"/>
      <c r="T51" s="402"/>
      <c r="U51" s="402"/>
      <c r="V51" s="402"/>
      <c r="W51" s="207"/>
      <c r="X51" s="207"/>
      <c r="Y51" s="207"/>
      <c r="Z51" s="207"/>
      <c r="AA51" s="207"/>
      <c r="AB51" s="207"/>
      <c r="AC51" s="207"/>
      <c r="AD51" s="207"/>
      <c r="AE51" s="207"/>
      <c r="AF51" s="207"/>
      <c r="AG51" s="207"/>
      <c r="AH51" s="207"/>
      <c r="AI51" s="13"/>
      <c r="AJ51" s="13"/>
      <c r="AK51" s="13"/>
      <c r="AL51" s="13"/>
      <c r="AM51" s="13"/>
      <c r="AN51" s="13"/>
      <c r="AO51" s="13"/>
      <c r="AP51" s="13"/>
    </row>
    <row r="52" spans="1:43" ht="27" customHeight="1" x14ac:dyDescent="0.55000000000000004">
      <c r="A52" s="408" t="s">
        <v>1817</v>
      </c>
      <c r="B52" s="408"/>
      <c r="C52" s="408"/>
      <c r="D52" s="408"/>
      <c r="E52" s="408"/>
      <c r="F52" s="408"/>
      <c r="G52" s="402" t="s">
        <v>1890</v>
      </c>
      <c r="H52" s="402"/>
      <c r="I52" s="402"/>
      <c r="J52" s="402"/>
      <c r="K52" s="402"/>
      <c r="L52" s="402"/>
      <c r="M52" s="402"/>
      <c r="N52" s="402"/>
      <c r="O52" s="402"/>
      <c r="P52" s="402"/>
      <c r="Q52" s="402"/>
      <c r="R52" s="402"/>
      <c r="S52" s="402"/>
      <c r="T52" s="402"/>
      <c r="U52" s="402"/>
      <c r="V52" s="402"/>
      <c r="W52" s="207"/>
      <c r="X52" s="207"/>
      <c r="Y52" s="207"/>
      <c r="Z52" s="207"/>
      <c r="AA52" s="207"/>
      <c r="AB52" s="207"/>
      <c r="AC52" s="207"/>
      <c r="AD52" s="207"/>
      <c r="AE52" s="207"/>
      <c r="AF52" s="207"/>
      <c r="AG52" s="207"/>
      <c r="AH52" s="207"/>
      <c r="AI52" s="13"/>
      <c r="AJ52" s="13"/>
      <c r="AK52" s="13"/>
      <c r="AL52" s="13"/>
      <c r="AM52" s="13"/>
      <c r="AN52" s="13"/>
      <c r="AO52" s="13"/>
      <c r="AP52" s="13"/>
    </row>
    <row r="53" spans="1:43" ht="27" customHeight="1" x14ac:dyDescent="0.55000000000000004">
      <c r="A53" s="200"/>
      <c r="B53" s="200"/>
      <c r="C53" s="200"/>
      <c r="D53" s="200"/>
      <c r="E53" s="200"/>
      <c r="F53" s="200"/>
      <c r="G53" s="402"/>
      <c r="H53" s="402"/>
      <c r="I53" s="402"/>
      <c r="J53" s="402"/>
      <c r="K53" s="402"/>
      <c r="L53" s="402"/>
      <c r="M53" s="402"/>
      <c r="N53" s="402"/>
      <c r="O53" s="402"/>
      <c r="P53" s="402"/>
      <c r="Q53" s="402"/>
      <c r="R53" s="402"/>
      <c r="S53" s="402"/>
      <c r="T53" s="402"/>
      <c r="U53" s="402"/>
      <c r="V53" s="402"/>
      <c r="W53" s="207"/>
      <c r="X53" s="207"/>
      <c r="Y53" s="207"/>
      <c r="Z53" s="207"/>
      <c r="AA53" s="207"/>
      <c r="AB53" s="207"/>
      <c r="AC53" s="207"/>
      <c r="AD53" s="207"/>
      <c r="AE53" s="207"/>
      <c r="AF53" s="207"/>
      <c r="AG53" s="207"/>
      <c r="AH53" s="207"/>
      <c r="AI53" s="219"/>
      <c r="AJ53" s="219"/>
      <c r="AK53" s="219"/>
      <c r="AL53" s="219"/>
      <c r="AM53" s="219"/>
      <c r="AN53" s="219"/>
      <c r="AO53" s="219"/>
      <c r="AP53" s="219"/>
    </row>
    <row r="54" spans="1:43" ht="27" customHeight="1" x14ac:dyDescent="0.55000000000000004">
      <c r="A54" s="200"/>
      <c r="B54" s="200"/>
      <c r="C54" s="200"/>
      <c r="D54" s="200"/>
      <c r="E54" s="200"/>
      <c r="F54" s="200"/>
      <c r="G54" s="402"/>
      <c r="H54" s="402"/>
      <c r="I54" s="402"/>
      <c r="J54" s="402"/>
      <c r="K54" s="402"/>
      <c r="L54" s="402"/>
      <c r="M54" s="402"/>
      <c r="N54" s="402"/>
      <c r="O54" s="402"/>
      <c r="P54" s="402"/>
      <c r="Q54" s="402"/>
      <c r="R54" s="402"/>
      <c r="S54" s="402"/>
      <c r="T54" s="402"/>
      <c r="U54" s="402"/>
      <c r="V54" s="402"/>
      <c r="W54" s="207"/>
      <c r="X54" s="207"/>
      <c r="Y54" s="207"/>
      <c r="Z54" s="207"/>
      <c r="AA54" s="207"/>
      <c r="AB54" s="207"/>
      <c r="AC54" s="207"/>
      <c r="AD54" s="207"/>
      <c r="AE54" s="207"/>
      <c r="AF54" s="207"/>
      <c r="AG54" s="207"/>
      <c r="AH54" s="207"/>
      <c r="AI54" s="13"/>
      <c r="AJ54" s="13"/>
      <c r="AK54" s="13"/>
      <c r="AL54" s="13"/>
      <c r="AM54" s="13"/>
      <c r="AN54" s="13"/>
      <c r="AO54" s="13"/>
      <c r="AP54" s="13"/>
    </row>
    <row r="55" spans="1:43" ht="27" customHeight="1" x14ac:dyDescent="0.55000000000000004">
      <c r="A55" s="407" t="s">
        <v>3</v>
      </c>
      <c r="B55" s="407"/>
      <c r="C55" s="407"/>
      <c r="D55" s="407"/>
      <c r="E55" s="407"/>
      <c r="F55" s="407"/>
      <c r="G55" s="402" t="s">
        <v>1915</v>
      </c>
      <c r="H55" s="402"/>
      <c r="I55" s="402"/>
      <c r="J55" s="402"/>
      <c r="K55" s="402"/>
      <c r="L55" s="402"/>
      <c r="M55" s="402"/>
      <c r="N55" s="402"/>
      <c r="O55" s="402"/>
      <c r="P55" s="402"/>
      <c r="Q55" s="402"/>
      <c r="R55" s="402"/>
      <c r="S55" s="402"/>
      <c r="T55" s="402"/>
      <c r="U55" s="402"/>
      <c r="V55" s="402"/>
      <c r="W55" s="207"/>
      <c r="X55" s="207"/>
      <c r="Y55" s="207"/>
      <c r="Z55" s="207"/>
      <c r="AA55" s="207"/>
      <c r="AB55" s="207"/>
      <c r="AC55" s="207"/>
      <c r="AD55" s="207"/>
      <c r="AE55" s="207"/>
      <c r="AF55" s="207"/>
      <c r="AG55" s="207"/>
      <c r="AH55" s="207"/>
      <c r="AI55" s="13"/>
      <c r="AJ55" s="13"/>
      <c r="AK55" s="13"/>
      <c r="AL55" s="13"/>
      <c r="AM55" s="13"/>
      <c r="AN55" s="13"/>
      <c r="AO55" s="13"/>
      <c r="AP55" s="13"/>
    </row>
    <row r="56" spans="1:43" ht="27" customHeight="1" x14ac:dyDescent="0.55000000000000004">
      <c r="A56" s="199"/>
      <c r="B56" s="199"/>
      <c r="C56" s="199"/>
      <c r="D56" s="199"/>
      <c r="E56" s="199"/>
      <c r="F56" s="199"/>
      <c r="G56" s="402"/>
      <c r="H56" s="402"/>
      <c r="I56" s="402"/>
      <c r="J56" s="402"/>
      <c r="K56" s="402"/>
      <c r="L56" s="402"/>
      <c r="M56" s="402"/>
      <c r="N56" s="402"/>
      <c r="O56" s="402"/>
      <c r="P56" s="402"/>
      <c r="Q56" s="402"/>
      <c r="R56" s="402"/>
      <c r="S56" s="402"/>
      <c r="T56" s="402"/>
      <c r="U56" s="402"/>
      <c r="V56" s="402"/>
      <c r="W56" s="207"/>
      <c r="X56" s="207"/>
      <c r="Y56" s="207"/>
      <c r="Z56" s="207"/>
      <c r="AA56" s="207"/>
      <c r="AB56" s="207"/>
      <c r="AC56" s="207"/>
      <c r="AD56" s="207"/>
      <c r="AE56" s="207"/>
      <c r="AF56" s="207"/>
      <c r="AG56" s="207"/>
      <c r="AH56" s="207"/>
      <c r="AI56" s="13"/>
      <c r="AJ56" s="13"/>
      <c r="AK56" s="13"/>
      <c r="AL56" s="13"/>
      <c r="AM56" s="13"/>
      <c r="AN56" s="13"/>
      <c r="AO56" s="13"/>
      <c r="AP56" s="13"/>
    </row>
    <row r="57" spans="1:43" ht="27" customHeight="1" x14ac:dyDescent="0.55000000000000004">
      <c r="A57" s="12"/>
      <c r="B57" s="12"/>
      <c r="C57" s="12"/>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3"/>
      <c r="AJ57" s="13"/>
      <c r="AK57" s="13"/>
      <c r="AL57" s="13"/>
      <c r="AM57" s="13"/>
      <c r="AN57" s="13"/>
      <c r="AO57" s="13"/>
      <c r="AP57" s="13"/>
      <c r="AQ57" s="13"/>
    </row>
    <row r="58" spans="1:43" ht="27" customHeight="1" x14ac:dyDescent="0.55000000000000004"/>
  </sheetData>
  <sheetProtection algorithmName="SHA-512" hashValue="xcnIBSKdtUWLFEac8UGihczGFootgNlKsx3NDPPNvu6lK34eJs7htD2Z+GpJ+NmqDAhs2U3XHVjWbRYwyiRAUw==" saltValue="vlh39CrshILl4fYTomOUDw==" spinCount="100000" sheet="1" objects="1" scenarios="1" formatColumns="0" formatRows="0"/>
  <mergeCells count="49">
    <mergeCell ref="A47:F47"/>
    <mergeCell ref="A55:F55"/>
    <mergeCell ref="A37:F37"/>
    <mergeCell ref="G52:V54"/>
    <mergeCell ref="A52:F52"/>
    <mergeCell ref="A42:V44"/>
    <mergeCell ref="G55:V56"/>
    <mergeCell ref="G47:V48"/>
    <mergeCell ref="A49:F49"/>
    <mergeCell ref="G49:V51"/>
    <mergeCell ref="G14:V15"/>
    <mergeCell ref="A22:F22"/>
    <mergeCell ref="A20:F21"/>
    <mergeCell ref="A45:F45"/>
    <mergeCell ref="G22:V25"/>
    <mergeCell ref="A39:F39"/>
    <mergeCell ref="A30:F30"/>
    <mergeCell ref="A26:F26"/>
    <mergeCell ref="A35:V36"/>
    <mergeCell ref="A41:V41"/>
    <mergeCell ref="A14:F14"/>
    <mergeCell ref="A17:V18"/>
    <mergeCell ref="G37:V38"/>
    <mergeCell ref="G39:V40"/>
    <mergeCell ref="A16:V16"/>
    <mergeCell ref="A19:F19"/>
    <mergeCell ref="A34:V34"/>
    <mergeCell ref="G30:V33"/>
    <mergeCell ref="G26:V29"/>
    <mergeCell ref="G19:V21"/>
    <mergeCell ref="G45:V46"/>
    <mergeCell ref="X1:AG1"/>
    <mergeCell ref="Y5:AA5"/>
    <mergeCell ref="Y9:AD9"/>
    <mergeCell ref="A1:V2"/>
    <mergeCell ref="A7:V9"/>
    <mergeCell ref="A6:V6"/>
    <mergeCell ref="X2:AF4"/>
    <mergeCell ref="A3:V3"/>
    <mergeCell ref="A4:V4"/>
    <mergeCell ref="Y12:AD12"/>
    <mergeCell ref="Y11:AD11"/>
    <mergeCell ref="Y10:AD10"/>
    <mergeCell ref="A11:F11"/>
    <mergeCell ref="A12:F12"/>
    <mergeCell ref="G11:V11"/>
    <mergeCell ref="G12:V12"/>
    <mergeCell ref="A10:F10"/>
    <mergeCell ref="G10:V10"/>
  </mergeCells>
  <hyperlinks>
    <hyperlink ref="G10" r:id="rId1" xr:uid="{D8916258-F16E-4AB3-9E2B-18F274C48E88}"/>
    <hyperlink ref="G11" r:id="rId2" xr:uid="{706D2C7B-75AA-45F2-A726-6591D44BE5D1}"/>
    <hyperlink ref="G12" r:id="rId3" xr:uid="{3EC07C30-3E4C-406A-ACA6-7291F50E50B4}"/>
    <hyperlink ref="AB5:AE5" r:id="rId4" display="fonts.google.com/specimen/Overpass" xr:uid="{186D2033-20EE-42CE-A327-3034EB16D0BD}"/>
    <hyperlink ref="AB5" r:id="rId5" display="http://fonts.google.com/specimen/Overpass" xr:uid="{DE53DA8E-2000-474A-8D22-53AF47AEE8B4}"/>
    <hyperlink ref="A19:F19" location="'Summary (by Institution)'!A1" display="Summary (by Institution)" xr:uid="{3E87C7F5-9EFA-4675-8066-E9644DA6AEF0}"/>
    <hyperlink ref="A22:F22" location="'Summary (by Institution Type)'!A1" display="Summary (by Institution Type)" xr:uid="{CDD7C8E1-015B-4D1C-890F-43B643B15086}"/>
    <hyperlink ref="A26:F26" location="'Summary (by System)'!A1" display="Summary (by System)" xr:uid="{9F877043-6A18-4276-B878-5BA01B32A81A}"/>
    <hyperlink ref="A30:F30" location="'Comparison (by Institution)'!A1" display="Comparison (by Institution)" xr:uid="{CB7391E7-BF80-47C9-8489-F05BBBBC726E}"/>
    <hyperlink ref="A37:F37" location="'Sources (Revenue)'!A1" display="Sources (Revenue)" xr:uid="{DA115A8D-E945-4E76-B175-8FE1D358C9E1}"/>
    <hyperlink ref="A39:F39" location="'Uses (Expenditures)'!A1" display="Uses (Expenditures)" xr:uid="{E9AE4D17-B404-4DB3-B092-5B6EEDA82D68}"/>
    <hyperlink ref="A47:F47" location="Definitions!A1" display="Definitions" xr:uid="{6070B5E2-D61D-49EB-AA58-9916E3EC97EA}"/>
    <hyperlink ref="A55:F55" location="'FTSE | FTFE'!A1" display="FTSE | FTFE" xr:uid="{8E37A409-BB5A-4193-B93E-047EB45DD9E9}"/>
    <hyperlink ref="A14:F14" location="'Fund Group Detail (FGD)'!A1" display="Fund Group Detail (FGD)" xr:uid="{F3AE8D31-1AA9-44B6-9FE9-BE4399C571B1}"/>
    <hyperlink ref="A45:F45" location="'Contact Information'!A1" display="Contact Information" xr:uid="{7FA3665B-2D19-44BA-ACCD-A085AE7D3F1F}"/>
    <hyperlink ref="A49:F49" location="'Tuition &amp; Fees'!A1" display="Tuition &amp; Fees" xr:uid="{8798BBF6-2A94-43F3-86B9-E1BBEC62AE3F}"/>
    <hyperlink ref="A52:F52" location="'Academic Cost Study Report'!A1" display="Academic Cost Study Report" xr:uid="{F6F7F34F-68B4-49C0-8078-64B0FB7A9359}"/>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30C4F-12A4-49F6-94C5-F859BE22A986}">
  <sheetPr codeName="Sheet10">
    <tabColor rgb="FFFFFFCC"/>
  </sheetPr>
  <dimension ref="A1:AW136"/>
  <sheetViews>
    <sheetView zoomScale="70" zoomScaleNormal="70" workbookViewId="0">
      <selection sqref="A1:AG2"/>
    </sheetView>
  </sheetViews>
  <sheetFormatPr defaultColWidth="8.83203125" defaultRowHeight="19.2" outlineLevelCol="1" x14ac:dyDescent="0.55000000000000004"/>
  <cols>
    <col min="1" max="5" width="5.58203125" style="24" customWidth="1"/>
    <col min="6" max="6" width="1.58203125" style="24" customWidth="1"/>
    <col min="7" max="19" width="5.58203125" style="24" customWidth="1"/>
    <col min="20" max="20" width="1.58203125" style="24" hidden="1" customWidth="1" outlineLevel="1"/>
    <col min="21" max="32" width="5.58203125" style="24" hidden="1" customWidth="1" outlineLevel="1"/>
    <col min="33" max="33" width="1.58203125" style="24" customWidth="1" collapsed="1"/>
    <col min="34" max="34" width="5.58203125" style="24" customWidth="1"/>
    <col min="35" max="47" width="6.08203125" style="24" customWidth="1"/>
    <col min="48" max="48" width="1.58203125" style="24" customWidth="1"/>
    <col min="49" max="49" width="10.58203125" style="24" customWidth="1"/>
    <col min="50" max="50" width="5.58203125" style="24" customWidth="1"/>
    <col min="51" max="16384" width="8.83203125" style="24"/>
  </cols>
  <sheetData>
    <row r="1" spans="1:49" x14ac:dyDescent="0.55000000000000004">
      <c r="A1" s="793" t="s">
        <v>1651</v>
      </c>
      <c r="B1" s="794"/>
      <c r="C1" s="794"/>
      <c r="D1" s="794"/>
      <c r="E1" s="794"/>
      <c r="F1" s="794"/>
      <c r="G1" s="794"/>
      <c r="H1" s="794"/>
      <c r="I1" s="794"/>
      <c r="J1" s="794"/>
      <c r="K1" s="794"/>
      <c r="L1" s="794"/>
      <c r="M1" s="794"/>
      <c r="N1" s="794"/>
      <c r="O1" s="794"/>
      <c r="P1" s="794"/>
      <c r="Q1" s="794"/>
      <c r="R1" s="794"/>
      <c r="S1" s="794"/>
      <c r="T1" s="794"/>
      <c r="U1" s="794"/>
      <c r="V1" s="794"/>
      <c r="W1" s="794"/>
      <c r="X1" s="794"/>
      <c r="Y1" s="794"/>
      <c r="Z1" s="794"/>
      <c r="AA1" s="794"/>
      <c r="AB1" s="794"/>
      <c r="AC1" s="794"/>
      <c r="AD1" s="794"/>
      <c r="AE1" s="794"/>
      <c r="AF1" s="794"/>
      <c r="AG1" s="795"/>
      <c r="AH1" s="22"/>
      <c r="AI1" s="780" t="s">
        <v>1716</v>
      </c>
      <c r="AJ1" s="780"/>
      <c r="AK1" s="780"/>
      <c r="AL1" s="780"/>
      <c r="AM1" s="780"/>
      <c r="AN1" s="780"/>
      <c r="AO1" s="780"/>
      <c r="AP1" s="780"/>
      <c r="AQ1" s="780"/>
      <c r="AR1" s="780"/>
      <c r="AS1" s="780"/>
      <c r="AT1" s="780"/>
      <c r="AU1" s="780"/>
      <c r="AV1" s="781"/>
      <c r="AW1" s="22"/>
    </row>
    <row r="2" spans="1:49" x14ac:dyDescent="0.55000000000000004">
      <c r="A2" s="796"/>
      <c r="B2" s="797"/>
      <c r="C2" s="797"/>
      <c r="D2" s="797"/>
      <c r="E2" s="797"/>
      <c r="F2" s="797"/>
      <c r="G2" s="797"/>
      <c r="H2" s="797"/>
      <c r="I2" s="797"/>
      <c r="J2" s="797"/>
      <c r="K2" s="797"/>
      <c r="L2" s="797"/>
      <c r="M2" s="797"/>
      <c r="N2" s="797"/>
      <c r="O2" s="797"/>
      <c r="P2" s="797"/>
      <c r="Q2" s="797"/>
      <c r="R2" s="797"/>
      <c r="S2" s="797"/>
      <c r="T2" s="797"/>
      <c r="U2" s="797"/>
      <c r="V2" s="797"/>
      <c r="W2" s="797"/>
      <c r="X2" s="797"/>
      <c r="Y2" s="797"/>
      <c r="Z2" s="797"/>
      <c r="AA2" s="797"/>
      <c r="AB2" s="797"/>
      <c r="AC2" s="797"/>
      <c r="AD2" s="797"/>
      <c r="AE2" s="797"/>
      <c r="AF2" s="797"/>
      <c r="AG2" s="798"/>
      <c r="AH2" s="22"/>
      <c r="AI2" s="780"/>
      <c r="AJ2" s="780"/>
      <c r="AK2" s="780"/>
      <c r="AL2" s="780"/>
      <c r="AM2" s="780"/>
      <c r="AN2" s="780"/>
      <c r="AO2" s="780"/>
      <c r="AP2" s="780"/>
      <c r="AQ2" s="780"/>
      <c r="AR2" s="780"/>
      <c r="AS2" s="780"/>
      <c r="AT2" s="780"/>
      <c r="AU2" s="780"/>
      <c r="AV2" s="781"/>
      <c r="AW2" s="22"/>
    </row>
    <row r="3" spans="1:49" ht="27" customHeight="1" x14ac:dyDescent="0.55000000000000004">
      <c r="A3" s="799" t="s">
        <v>1652</v>
      </c>
      <c r="B3" s="800"/>
      <c r="C3" s="800"/>
      <c r="D3" s="800"/>
      <c r="E3" s="800"/>
      <c r="F3" s="800"/>
      <c r="G3" s="800"/>
      <c r="H3" s="800"/>
      <c r="I3" s="800"/>
      <c r="J3" s="800"/>
      <c r="K3" s="800"/>
      <c r="L3" s="800"/>
      <c r="M3" s="800"/>
      <c r="N3" s="800"/>
      <c r="O3" s="800"/>
      <c r="P3" s="800"/>
      <c r="Q3" s="800"/>
      <c r="R3" s="800"/>
      <c r="S3" s="800"/>
      <c r="T3" s="800"/>
      <c r="U3" s="800"/>
      <c r="V3" s="800"/>
      <c r="W3" s="800"/>
      <c r="X3" s="800"/>
      <c r="Y3" s="800"/>
      <c r="Z3" s="800"/>
      <c r="AA3" s="800"/>
      <c r="AB3" s="800"/>
      <c r="AC3" s="800"/>
      <c r="AD3" s="800"/>
      <c r="AE3" s="800"/>
      <c r="AF3" s="800"/>
      <c r="AG3" s="801"/>
      <c r="AH3" s="22"/>
      <c r="AI3" s="775" t="s">
        <v>1717</v>
      </c>
      <c r="AJ3" s="776"/>
      <c r="AK3" s="776"/>
      <c r="AL3" s="776"/>
      <c r="AM3" s="776"/>
      <c r="AN3" s="776"/>
      <c r="AO3" s="776"/>
      <c r="AP3" s="776"/>
      <c r="AQ3" s="776"/>
      <c r="AR3" s="776"/>
      <c r="AS3" s="776"/>
      <c r="AT3" s="776"/>
      <c r="AU3" s="776"/>
      <c r="AV3" s="55"/>
      <c r="AW3" s="22"/>
    </row>
    <row r="4" spans="1:49" ht="27" customHeight="1" x14ac:dyDescent="0.55000000000000004">
      <c r="A4" s="802"/>
      <c r="B4" s="803"/>
      <c r="C4" s="803"/>
      <c r="D4" s="803"/>
      <c r="E4" s="803"/>
      <c r="F4" s="803"/>
      <c r="G4" s="803"/>
      <c r="H4" s="803"/>
      <c r="I4" s="803"/>
      <c r="J4" s="803"/>
      <c r="K4" s="803"/>
      <c r="L4" s="803"/>
      <c r="M4" s="803"/>
      <c r="N4" s="803"/>
      <c r="O4" s="803"/>
      <c r="P4" s="803"/>
      <c r="Q4" s="803"/>
      <c r="R4" s="803"/>
      <c r="S4" s="803"/>
      <c r="T4" s="803"/>
      <c r="U4" s="803"/>
      <c r="V4" s="803"/>
      <c r="W4" s="803"/>
      <c r="X4" s="803"/>
      <c r="Y4" s="803"/>
      <c r="Z4" s="803"/>
      <c r="AA4" s="803"/>
      <c r="AB4" s="803"/>
      <c r="AC4" s="803"/>
      <c r="AD4" s="803"/>
      <c r="AE4" s="803"/>
      <c r="AF4" s="803"/>
      <c r="AG4" s="804"/>
      <c r="AH4" s="22"/>
      <c r="AI4" s="771" t="s">
        <v>1718</v>
      </c>
      <c r="AJ4" s="777"/>
      <c r="AK4" s="777"/>
      <c r="AL4" s="777"/>
      <c r="AM4" s="777"/>
      <c r="AN4" s="777"/>
      <c r="AO4" s="777"/>
      <c r="AP4" s="777"/>
      <c r="AQ4" s="777"/>
      <c r="AR4" s="777"/>
      <c r="AS4" s="777"/>
      <c r="AT4" s="777"/>
      <c r="AU4" s="777"/>
      <c r="AV4" s="56"/>
      <c r="AW4" s="22"/>
    </row>
    <row r="5" spans="1:49" s="8" customFormat="1" ht="27" customHeight="1" x14ac:dyDescent="0.55000000000000004">
      <c r="A5" s="830" t="s">
        <v>93</v>
      </c>
      <c r="B5" s="831"/>
      <c r="C5" s="831"/>
      <c r="D5" s="831"/>
      <c r="E5" s="831"/>
      <c r="F5" s="831"/>
      <c r="G5" s="831"/>
      <c r="H5" s="831"/>
      <c r="I5" s="831"/>
      <c r="J5" s="831"/>
      <c r="K5" s="831"/>
      <c r="L5" s="831"/>
      <c r="M5" s="831"/>
      <c r="N5" s="831"/>
      <c r="O5" s="831"/>
      <c r="P5" s="831"/>
      <c r="Q5" s="831"/>
      <c r="R5" s="831"/>
      <c r="S5" s="831"/>
      <c r="T5" s="831"/>
      <c r="U5" s="831"/>
      <c r="V5" s="831"/>
      <c r="W5" s="831"/>
      <c r="X5" s="831"/>
      <c r="Y5" s="831"/>
      <c r="Z5" s="831"/>
      <c r="AA5" s="831"/>
      <c r="AB5" s="831"/>
      <c r="AC5" s="831"/>
      <c r="AD5" s="831"/>
      <c r="AE5" s="831"/>
      <c r="AF5" s="831"/>
      <c r="AG5" s="832"/>
      <c r="AH5" s="7"/>
      <c r="AI5" s="773" t="s">
        <v>1719</v>
      </c>
      <c r="AJ5" s="774"/>
      <c r="AK5" s="774"/>
      <c r="AL5" s="774"/>
      <c r="AM5" s="774"/>
      <c r="AN5" s="774"/>
      <c r="AO5" s="774"/>
      <c r="AP5" s="774"/>
      <c r="AQ5" s="774"/>
      <c r="AR5" s="774"/>
      <c r="AS5" s="774"/>
      <c r="AT5" s="774"/>
      <c r="AU5" s="774"/>
      <c r="AV5" s="57"/>
      <c r="AW5" s="7"/>
    </row>
    <row r="6" spans="1:49" s="8" customFormat="1" ht="27" customHeight="1" x14ac:dyDescent="0.55000000000000004">
      <c r="A6" s="821" t="s">
        <v>1653</v>
      </c>
      <c r="B6" s="822"/>
      <c r="C6" s="822"/>
      <c r="D6" s="822"/>
      <c r="E6" s="822"/>
      <c r="F6" s="823"/>
      <c r="G6" s="821" t="s">
        <v>1</v>
      </c>
      <c r="H6" s="822"/>
      <c r="I6" s="822"/>
      <c r="J6" s="822"/>
      <c r="K6" s="822"/>
      <c r="L6" s="822"/>
      <c r="M6" s="822"/>
      <c r="N6" s="822"/>
      <c r="O6" s="822"/>
      <c r="P6" s="822"/>
      <c r="Q6" s="822"/>
      <c r="R6" s="822"/>
      <c r="S6" s="822"/>
      <c r="T6" s="823"/>
      <c r="U6" s="821" t="s">
        <v>1648</v>
      </c>
      <c r="V6" s="822"/>
      <c r="W6" s="822"/>
      <c r="X6" s="822"/>
      <c r="Y6" s="822"/>
      <c r="Z6" s="822"/>
      <c r="AA6" s="822"/>
      <c r="AB6" s="822"/>
      <c r="AC6" s="822"/>
      <c r="AD6" s="822"/>
      <c r="AE6" s="822"/>
      <c r="AF6" s="822"/>
      <c r="AG6" s="823"/>
      <c r="AH6" s="7"/>
      <c r="AI6" s="778" t="s">
        <v>1720</v>
      </c>
      <c r="AJ6" s="779"/>
      <c r="AK6" s="779"/>
      <c r="AL6" s="779"/>
      <c r="AM6" s="779"/>
      <c r="AN6" s="779"/>
      <c r="AO6" s="779"/>
      <c r="AP6" s="779"/>
      <c r="AQ6" s="779"/>
      <c r="AR6" s="779"/>
      <c r="AS6" s="779"/>
      <c r="AT6" s="779"/>
      <c r="AU6" s="779"/>
      <c r="AV6" s="58"/>
      <c r="AW6" s="7"/>
    </row>
    <row r="7" spans="1:49" s="8" customFormat="1" ht="27" customHeight="1" x14ac:dyDescent="0.55000000000000004">
      <c r="A7" s="816" t="s">
        <v>97</v>
      </c>
      <c r="B7" s="817"/>
      <c r="C7" s="817"/>
      <c r="D7" s="817"/>
      <c r="E7" s="817"/>
      <c r="F7" s="818"/>
      <c r="G7" s="819" t="s">
        <v>1654</v>
      </c>
      <c r="H7" s="820"/>
      <c r="I7" s="820"/>
      <c r="J7" s="820"/>
      <c r="K7" s="820"/>
      <c r="L7" s="820"/>
      <c r="M7" s="820"/>
      <c r="N7" s="820"/>
      <c r="O7" s="820"/>
      <c r="P7" s="820"/>
      <c r="Q7" s="820"/>
      <c r="R7" s="820"/>
      <c r="S7" s="820"/>
      <c r="T7" s="818"/>
      <c r="U7" s="819"/>
      <c r="V7" s="820"/>
      <c r="W7" s="820"/>
      <c r="X7" s="820"/>
      <c r="Y7" s="820"/>
      <c r="Z7" s="820"/>
      <c r="AA7" s="820"/>
      <c r="AB7" s="820"/>
      <c r="AC7" s="820"/>
      <c r="AD7" s="820"/>
      <c r="AE7" s="820"/>
      <c r="AF7" s="820"/>
      <c r="AG7" s="818"/>
      <c r="AH7" s="7"/>
      <c r="AI7" s="775" t="s">
        <v>1721</v>
      </c>
      <c r="AJ7" s="776"/>
      <c r="AK7" s="776"/>
      <c r="AL7" s="776"/>
      <c r="AM7" s="776"/>
      <c r="AN7" s="776"/>
      <c r="AO7" s="776"/>
      <c r="AP7" s="776"/>
      <c r="AQ7" s="776"/>
      <c r="AR7" s="776"/>
      <c r="AS7" s="776"/>
      <c r="AT7" s="776"/>
      <c r="AU7" s="776"/>
      <c r="AV7" s="59"/>
      <c r="AW7" s="7"/>
    </row>
    <row r="8" spans="1:49" s="8" customFormat="1" ht="27" customHeight="1" x14ac:dyDescent="0.55000000000000004">
      <c r="A8" s="816"/>
      <c r="B8" s="817"/>
      <c r="C8" s="817"/>
      <c r="D8" s="817"/>
      <c r="E8" s="817"/>
      <c r="F8" s="818"/>
      <c r="G8" s="819"/>
      <c r="H8" s="820"/>
      <c r="I8" s="820"/>
      <c r="J8" s="820"/>
      <c r="K8" s="820"/>
      <c r="L8" s="820"/>
      <c r="M8" s="820"/>
      <c r="N8" s="820"/>
      <c r="O8" s="820"/>
      <c r="P8" s="820"/>
      <c r="Q8" s="820"/>
      <c r="R8" s="820"/>
      <c r="S8" s="820"/>
      <c r="T8" s="818"/>
      <c r="U8" s="819"/>
      <c r="V8" s="820"/>
      <c r="W8" s="820"/>
      <c r="X8" s="820"/>
      <c r="Y8" s="820"/>
      <c r="Z8" s="820"/>
      <c r="AA8" s="820"/>
      <c r="AB8" s="820"/>
      <c r="AC8" s="820"/>
      <c r="AD8" s="820"/>
      <c r="AE8" s="820"/>
      <c r="AF8" s="820"/>
      <c r="AG8" s="818"/>
      <c r="AH8" s="7"/>
      <c r="AI8" s="771" t="s">
        <v>1722</v>
      </c>
      <c r="AJ8" s="777"/>
      <c r="AK8" s="777"/>
      <c r="AL8" s="777"/>
      <c r="AM8" s="777"/>
      <c r="AN8" s="777"/>
      <c r="AO8" s="777"/>
      <c r="AP8" s="777"/>
      <c r="AQ8" s="777"/>
      <c r="AR8" s="777"/>
      <c r="AS8" s="777"/>
      <c r="AT8" s="777"/>
      <c r="AU8" s="777"/>
      <c r="AV8" s="60"/>
      <c r="AW8" s="7"/>
    </row>
    <row r="9" spans="1:49" s="8" customFormat="1" ht="27" customHeight="1" x14ac:dyDescent="0.55000000000000004">
      <c r="A9" s="816"/>
      <c r="B9" s="817"/>
      <c r="C9" s="817"/>
      <c r="D9" s="817"/>
      <c r="E9" s="817"/>
      <c r="F9" s="818"/>
      <c r="G9" s="819"/>
      <c r="H9" s="820"/>
      <c r="I9" s="820"/>
      <c r="J9" s="820"/>
      <c r="K9" s="820"/>
      <c r="L9" s="820"/>
      <c r="M9" s="820"/>
      <c r="N9" s="820"/>
      <c r="O9" s="820"/>
      <c r="P9" s="820"/>
      <c r="Q9" s="820"/>
      <c r="R9" s="820"/>
      <c r="S9" s="820"/>
      <c r="T9" s="818"/>
      <c r="U9" s="819"/>
      <c r="V9" s="820"/>
      <c r="W9" s="820"/>
      <c r="X9" s="820"/>
      <c r="Y9" s="820"/>
      <c r="Z9" s="820"/>
      <c r="AA9" s="820"/>
      <c r="AB9" s="820"/>
      <c r="AC9" s="820"/>
      <c r="AD9" s="820"/>
      <c r="AE9" s="820"/>
      <c r="AF9" s="820"/>
      <c r="AG9" s="818"/>
      <c r="AH9" s="7"/>
      <c r="AI9" s="773" t="s">
        <v>1723</v>
      </c>
      <c r="AJ9" s="774"/>
      <c r="AK9" s="774"/>
      <c r="AL9" s="774"/>
      <c r="AM9" s="774"/>
      <c r="AN9" s="774"/>
      <c r="AO9" s="774"/>
      <c r="AP9" s="774"/>
      <c r="AQ9" s="774"/>
      <c r="AR9" s="774"/>
      <c r="AS9" s="774"/>
      <c r="AT9" s="774"/>
      <c r="AU9" s="774"/>
      <c r="AV9" s="57"/>
      <c r="AW9" s="7"/>
    </row>
    <row r="10" spans="1:49" s="8" customFormat="1" ht="27" customHeight="1" x14ac:dyDescent="0.55000000000000004">
      <c r="A10" s="806" t="s">
        <v>1655</v>
      </c>
      <c r="B10" s="807"/>
      <c r="C10" s="807"/>
      <c r="D10" s="807"/>
      <c r="E10" s="807"/>
      <c r="F10" s="792"/>
      <c r="G10" s="808" t="s">
        <v>1656</v>
      </c>
      <c r="H10" s="809"/>
      <c r="I10" s="809"/>
      <c r="J10" s="809"/>
      <c r="K10" s="809"/>
      <c r="L10" s="809"/>
      <c r="M10" s="809"/>
      <c r="N10" s="809"/>
      <c r="O10" s="809"/>
      <c r="P10" s="809"/>
      <c r="Q10" s="809"/>
      <c r="R10" s="809"/>
      <c r="S10" s="809"/>
      <c r="T10" s="792"/>
      <c r="U10" s="808"/>
      <c r="V10" s="809"/>
      <c r="W10" s="809"/>
      <c r="X10" s="809"/>
      <c r="Y10" s="809"/>
      <c r="Z10" s="809"/>
      <c r="AA10" s="809"/>
      <c r="AB10" s="809"/>
      <c r="AC10" s="809"/>
      <c r="AD10" s="809"/>
      <c r="AE10" s="809"/>
      <c r="AF10" s="809"/>
      <c r="AG10" s="792"/>
      <c r="AH10" s="7"/>
      <c r="AI10" s="778" t="s">
        <v>1724</v>
      </c>
      <c r="AJ10" s="779"/>
      <c r="AK10" s="779"/>
      <c r="AL10" s="779"/>
      <c r="AM10" s="779"/>
      <c r="AN10" s="779"/>
      <c r="AO10" s="779"/>
      <c r="AP10" s="779"/>
      <c r="AQ10" s="779"/>
      <c r="AR10" s="779"/>
      <c r="AS10" s="779"/>
      <c r="AT10" s="779"/>
      <c r="AU10" s="779"/>
      <c r="AV10" s="58"/>
      <c r="AW10" s="7"/>
    </row>
    <row r="11" spans="1:49" s="8" customFormat="1" ht="27" customHeight="1" x14ac:dyDescent="0.55000000000000004">
      <c r="A11" s="806"/>
      <c r="B11" s="807"/>
      <c r="C11" s="807"/>
      <c r="D11" s="807"/>
      <c r="E11" s="807"/>
      <c r="F11" s="792"/>
      <c r="G11" s="808"/>
      <c r="H11" s="809"/>
      <c r="I11" s="809"/>
      <c r="J11" s="809"/>
      <c r="K11" s="809"/>
      <c r="L11" s="809"/>
      <c r="M11" s="809"/>
      <c r="N11" s="809"/>
      <c r="O11" s="809"/>
      <c r="P11" s="809"/>
      <c r="Q11" s="809"/>
      <c r="R11" s="809"/>
      <c r="S11" s="809"/>
      <c r="T11" s="792"/>
      <c r="U11" s="808"/>
      <c r="V11" s="809"/>
      <c r="W11" s="809"/>
      <c r="X11" s="809"/>
      <c r="Y11" s="809"/>
      <c r="Z11" s="809"/>
      <c r="AA11" s="809"/>
      <c r="AB11" s="809"/>
      <c r="AC11" s="809"/>
      <c r="AD11" s="809"/>
      <c r="AE11" s="809"/>
      <c r="AF11" s="809"/>
      <c r="AG11" s="792"/>
      <c r="AH11" s="7"/>
      <c r="AI11" s="775" t="s">
        <v>1725</v>
      </c>
      <c r="AJ11" s="776"/>
      <c r="AK11" s="776"/>
      <c r="AL11" s="776"/>
      <c r="AM11" s="776"/>
      <c r="AN11" s="776"/>
      <c r="AO11" s="776"/>
      <c r="AP11" s="776"/>
      <c r="AQ11" s="776"/>
      <c r="AR11" s="776"/>
      <c r="AS11" s="776"/>
      <c r="AT11" s="776"/>
      <c r="AU11" s="776"/>
      <c r="AV11" s="55"/>
      <c r="AW11" s="7"/>
    </row>
    <row r="12" spans="1:49" s="8" customFormat="1" ht="27" customHeight="1" x14ac:dyDescent="0.55000000000000004">
      <c r="A12" s="816" t="s">
        <v>98</v>
      </c>
      <c r="B12" s="817"/>
      <c r="C12" s="817"/>
      <c r="D12" s="817"/>
      <c r="E12" s="817"/>
      <c r="F12" s="818"/>
      <c r="G12" s="819" t="s">
        <v>1657</v>
      </c>
      <c r="H12" s="820"/>
      <c r="I12" s="820"/>
      <c r="J12" s="820"/>
      <c r="K12" s="820"/>
      <c r="L12" s="820"/>
      <c r="M12" s="820"/>
      <c r="N12" s="820"/>
      <c r="O12" s="820"/>
      <c r="P12" s="820"/>
      <c r="Q12" s="820"/>
      <c r="R12" s="820"/>
      <c r="S12" s="820"/>
      <c r="T12" s="818"/>
      <c r="U12" s="819" t="s">
        <v>1658</v>
      </c>
      <c r="V12" s="820"/>
      <c r="W12" s="820"/>
      <c r="X12" s="820"/>
      <c r="Y12" s="820"/>
      <c r="Z12" s="820"/>
      <c r="AA12" s="820"/>
      <c r="AB12" s="820"/>
      <c r="AC12" s="820"/>
      <c r="AD12" s="820"/>
      <c r="AE12" s="820"/>
      <c r="AF12" s="820"/>
      <c r="AG12" s="818"/>
      <c r="AH12" s="7"/>
      <c r="AI12" s="771" t="s">
        <v>1726</v>
      </c>
      <c r="AJ12" s="772"/>
      <c r="AK12" s="772"/>
      <c r="AL12" s="772"/>
      <c r="AM12" s="772"/>
      <c r="AN12" s="772"/>
      <c r="AO12" s="772"/>
      <c r="AP12" s="772"/>
      <c r="AQ12" s="772"/>
      <c r="AR12" s="772"/>
      <c r="AS12" s="772"/>
      <c r="AT12" s="772"/>
      <c r="AU12" s="772"/>
      <c r="AV12" s="61"/>
      <c r="AW12" s="7"/>
    </row>
    <row r="13" spans="1:49" s="8" customFormat="1" ht="27" customHeight="1" x14ac:dyDescent="0.55000000000000004">
      <c r="A13" s="816"/>
      <c r="B13" s="817"/>
      <c r="C13" s="817"/>
      <c r="D13" s="817"/>
      <c r="E13" s="817"/>
      <c r="F13" s="818"/>
      <c r="G13" s="819"/>
      <c r="H13" s="820"/>
      <c r="I13" s="820"/>
      <c r="J13" s="820"/>
      <c r="K13" s="820"/>
      <c r="L13" s="820"/>
      <c r="M13" s="820"/>
      <c r="N13" s="820"/>
      <c r="O13" s="820"/>
      <c r="P13" s="820"/>
      <c r="Q13" s="820"/>
      <c r="R13" s="820"/>
      <c r="S13" s="820"/>
      <c r="T13" s="818"/>
      <c r="U13" s="819"/>
      <c r="V13" s="820"/>
      <c r="W13" s="820"/>
      <c r="X13" s="820"/>
      <c r="Y13" s="820"/>
      <c r="Z13" s="820"/>
      <c r="AA13" s="820"/>
      <c r="AB13" s="820"/>
      <c r="AC13" s="820"/>
      <c r="AD13" s="820"/>
      <c r="AE13" s="820"/>
      <c r="AF13" s="820"/>
      <c r="AG13" s="818"/>
      <c r="AH13" s="7"/>
      <c r="AI13" s="62"/>
      <c r="AJ13" s="63"/>
      <c r="AK13" s="63"/>
      <c r="AL13" s="63"/>
      <c r="AM13" s="63"/>
      <c r="AN13" s="63"/>
      <c r="AO13" s="63"/>
      <c r="AP13" s="63"/>
      <c r="AQ13" s="63"/>
      <c r="AR13" s="63"/>
      <c r="AS13" s="63"/>
      <c r="AT13" s="63"/>
      <c r="AU13" s="63"/>
      <c r="AV13" s="64"/>
      <c r="AW13" s="7"/>
    </row>
    <row r="14" spans="1:49" s="8" customFormat="1" ht="27" customHeight="1" x14ac:dyDescent="0.75">
      <c r="A14" s="816"/>
      <c r="B14" s="817"/>
      <c r="C14" s="817"/>
      <c r="D14" s="817"/>
      <c r="E14" s="817"/>
      <c r="F14" s="818"/>
      <c r="G14" s="819"/>
      <c r="H14" s="820"/>
      <c r="I14" s="820"/>
      <c r="J14" s="820"/>
      <c r="K14" s="820"/>
      <c r="L14" s="820"/>
      <c r="M14" s="820"/>
      <c r="N14" s="820"/>
      <c r="O14" s="820"/>
      <c r="P14" s="820"/>
      <c r="Q14" s="820"/>
      <c r="R14" s="820"/>
      <c r="S14" s="820"/>
      <c r="T14" s="818"/>
      <c r="U14" s="819"/>
      <c r="V14" s="820"/>
      <c r="W14" s="820"/>
      <c r="X14" s="820"/>
      <c r="Y14" s="820"/>
      <c r="Z14" s="820"/>
      <c r="AA14" s="820"/>
      <c r="AB14" s="820"/>
      <c r="AC14" s="820"/>
      <c r="AD14" s="820"/>
      <c r="AE14" s="820"/>
      <c r="AF14" s="820"/>
      <c r="AG14" s="818"/>
      <c r="AH14" s="7"/>
      <c r="AI14" s="786" t="s">
        <v>4</v>
      </c>
      <c r="AJ14" s="787"/>
      <c r="AK14" s="787"/>
      <c r="AL14" s="787"/>
      <c r="AM14" s="787"/>
      <c r="AN14" s="787"/>
      <c r="AO14" s="787"/>
      <c r="AP14" s="787"/>
      <c r="AQ14" s="787"/>
      <c r="AR14" s="787"/>
      <c r="AS14" s="787"/>
      <c r="AT14" s="787"/>
      <c r="AU14" s="787"/>
      <c r="AV14" s="787"/>
      <c r="AW14" s="7"/>
    </row>
    <row r="15" spans="1:49" ht="27" customHeight="1" x14ac:dyDescent="0.6">
      <c r="A15" s="816"/>
      <c r="B15" s="817"/>
      <c r="C15" s="817"/>
      <c r="D15" s="817"/>
      <c r="E15" s="817"/>
      <c r="F15" s="818"/>
      <c r="G15" s="819"/>
      <c r="H15" s="820"/>
      <c r="I15" s="820"/>
      <c r="J15" s="820"/>
      <c r="K15" s="820"/>
      <c r="L15" s="820"/>
      <c r="M15" s="820"/>
      <c r="N15" s="820"/>
      <c r="O15" s="820"/>
      <c r="P15" s="820"/>
      <c r="Q15" s="820"/>
      <c r="R15" s="820"/>
      <c r="S15" s="820"/>
      <c r="T15" s="818"/>
      <c r="U15" s="819"/>
      <c r="V15" s="820"/>
      <c r="W15" s="820"/>
      <c r="X15" s="820"/>
      <c r="Y15" s="820"/>
      <c r="Z15" s="820"/>
      <c r="AA15" s="820"/>
      <c r="AB15" s="820"/>
      <c r="AC15" s="820"/>
      <c r="AD15" s="820"/>
      <c r="AE15" s="820"/>
      <c r="AF15" s="820"/>
      <c r="AG15" s="818"/>
      <c r="AH15" s="22"/>
      <c r="AI15" s="788" t="s">
        <v>5</v>
      </c>
      <c r="AJ15" s="789"/>
      <c r="AK15" s="790" t="s">
        <v>6</v>
      </c>
      <c r="AL15" s="790"/>
      <c r="AM15" s="790"/>
      <c r="AN15" s="790"/>
      <c r="AO15" s="790"/>
      <c r="AP15" s="790"/>
      <c r="AQ15" s="790"/>
      <c r="AR15" s="790"/>
      <c r="AS15" s="790"/>
      <c r="AT15" s="790"/>
      <c r="AU15" s="790"/>
      <c r="AV15" s="790"/>
      <c r="AW15" s="7"/>
    </row>
    <row r="16" spans="1:49" ht="27" customHeight="1" x14ac:dyDescent="0.6">
      <c r="A16" s="816"/>
      <c r="B16" s="817"/>
      <c r="C16" s="817"/>
      <c r="D16" s="817"/>
      <c r="E16" s="817"/>
      <c r="F16" s="818"/>
      <c r="G16" s="819"/>
      <c r="H16" s="820"/>
      <c r="I16" s="820"/>
      <c r="J16" s="820"/>
      <c r="K16" s="820"/>
      <c r="L16" s="820"/>
      <c r="M16" s="820"/>
      <c r="N16" s="820"/>
      <c r="O16" s="820"/>
      <c r="P16" s="820"/>
      <c r="Q16" s="820"/>
      <c r="R16" s="820"/>
      <c r="S16" s="820"/>
      <c r="T16" s="818"/>
      <c r="U16" s="819"/>
      <c r="V16" s="820"/>
      <c r="W16" s="820"/>
      <c r="X16" s="820"/>
      <c r="Y16" s="820"/>
      <c r="Z16" s="820"/>
      <c r="AA16" s="820"/>
      <c r="AB16" s="820"/>
      <c r="AC16" s="820"/>
      <c r="AD16" s="820"/>
      <c r="AE16" s="820"/>
      <c r="AF16" s="820"/>
      <c r="AG16" s="818"/>
      <c r="AH16" s="22"/>
      <c r="AI16" s="805" t="s">
        <v>9</v>
      </c>
      <c r="AJ16" s="805"/>
      <c r="AK16" s="791" t="s">
        <v>10</v>
      </c>
      <c r="AL16" s="791"/>
      <c r="AM16" s="791"/>
      <c r="AN16" s="791"/>
      <c r="AO16" s="791"/>
      <c r="AP16" s="791"/>
      <c r="AQ16" s="791"/>
      <c r="AR16" s="791"/>
      <c r="AS16" s="791"/>
      <c r="AT16" s="791"/>
      <c r="AU16" s="791"/>
      <c r="AV16" s="791"/>
      <c r="AW16" s="7"/>
    </row>
    <row r="17" spans="1:49" ht="27" customHeight="1" x14ac:dyDescent="0.6">
      <c r="A17" s="806" t="s">
        <v>807</v>
      </c>
      <c r="B17" s="807"/>
      <c r="C17" s="807"/>
      <c r="D17" s="807"/>
      <c r="E17" s="807"/>
      <c r="F17" s="792"/>
      <c r="G17" s="808" t="s">
        <v>1659</v>
      </c>
      <c r="H17" s="809"/>
      <c r="I17" s="809"/>
      <c r="J17" s="809"/>
      <c r="K17" s="809"/>
      <c r="L17" s="809"/>
      <c r="M17" s="809"/>
      <c r="N17" s="809"/>
      <c r="O17" s="809"/>
      <c r="P17" s="809"/>
      <c r="Q17" s="809"/>
      <c r="R17" s="809"/>
      <c r="S17" s="809"/>
      <c r="T17" s="792"/>
      <c r="U17" s="808"/>
      <c r="V17" s="809"/>
      <c r="W17" s="809"/>
      <c r="X17" s="809"/>
      <c r="Y17" s="809"/>
      <c r="Z17" s="809"/>
      <c r="AA17" s="809"/>
      <c r="AB17" s="809"/>
      <c r="AC17" s="809"/>
      <c r="AD17" s="809"/>
      <c r="AE17" s="809"/>
      <c r="AF17" s="809"/>
      <c r="AG17" s="792"/>
      <c r="AH17" s="22"/>
      <c r="AI17" s="784" t="s">
        <v>11</v>
      </c>
      <c r="AJ17" s="784"/>
      <c r="AK17" s="782" t="s">
        <v>747</v>
      </c>
      <c r="AL17" s="782"/>
      <c r="AM17" s="782"/>
      <c r="AN17" s="782"/>
      <c r="AO17" s="782"/>
      <c r="AP17" s="782"/>
      <c r="AQ17" s="782"/>
      <c r="AR17" s="782"/>
      <c r="AS17" s="782"/>
      <c r="AT17" s="782"/>
      <c r="AU17" s="782"/>
      <c r="AV17" s="782"/>
      <c r="AW17" s="7"/>
    </row>
    <row r="18" spans="1:49" ht="27" customHeight="1" x14ac:dyDescent="0.6">
      <c r="A18" s="806"/>
      <c r="B18" s="807"/>
      <c r="C18" s="807"/>
      <c r="D18" s="807"/>
      <c r="E18" s="807"/>
      <c r="F18" s="792"/>
      <c r="G18" s="808"/>
      <c r="H18" s="809"/>
      <c r="I18" s="809"/>
      <c r="J18" s="809"/>
      <c r="K18" s="809"/>
      <c r="L18" s="809"/>
      <c r="M18" s="809"/>
      <c r="N18" s="809"/>
      <c r="O18" s="809"/>
      <c r="P18" s="809"/>
      <c r="Q18" s="809"/>
      <c r="R18" s="809"/>
      <c r="S18" s="809"/>
      <c r="T18" s="792"/>
      <c r="U18" s="808"/>
      <c r="V18" s="809"/>
      <c r="W18" s="809"/>
      <c r="X18" s="809"/>
      <c r="Y18" s="809"/>
      <c r="Z18" s="809"/>
      <c r="AA18" s="809"/>
      <c r="AB18" s="809"/>
      <c r="AC18" s="809"/>
      <c r="AD18" s="809"/>
      <c r="AE18" s="809"/>
      <c r="AF18" s="809"/>
      <c r="AG18" s="792"/>
      <c r="AH18" s="22"/>
      <c r="AI18" s="784" t="s">
        <v>12</v>
      </c>
      <c r="AJ18" s="784"/>
      <c r="AK18" s="782" t="s">
        <v>13</v>
      </c>
      <c r="AL18" s="782"/>
      <c r="AM18" s="782"/>
      <c r="AN18" s="782"/>
      <c r="AO18" s="782"/>
      <c r="AP18" s="782"/>
      <c r="AQ18" s="782"/>
      <c r="AR18" s="782"/>
      <c r="AS18" s="782"/>
      <c r="AT18" s="782"/>
      <c r="AU18" s="782"/>
      <c r="AV18" s="782"/>
      <c r="AW18" s="7"/>
    </row>
    <row r="19" spans="1:49" ht="27" customHeight="1" x14ac:dyDescent="0.6">
      <c r="A19" s="806"/>
      <c r="B19" s="807"/>
      <c r="C19" s="807"/>
      <c r="D19" s="807"/>
      <c r="E19" s="807"/>
      <c r="F19" s="792"/>
      <c r="G19" s="808"/>
      <c r="H19" s="809"/>
      <c r="I19" s="809"/>
      <c r="J19" s="809"/>
      <c r="K19" s="809"/>
      <c r="L19" s="809"/>
      <c r="M19" s="809"/>
      <c r="N19" s="809"/>
      <c r="O19" s="809"/>
      <c r="P19" s="809"/>
      <c r="Q19" s="809"/>
      <c r="R19" s="809"/>
      <c r="S19" s="809"/>
      <c r="T19" s="792"/>
      <c r="U19" s="808"/>
      <c r="V19" s="809"/>
      <c r="W19" s="809"/>
      <c r="X19" s="809"/>
      <c r="Y19" s="809"/>
      <c r="Z19" s="809"/>
      <c r="AA19" s="809"/>
      <c r="AB19" s="809"/>
      <c r="AC19" s="809"/>
      <c r="AD19" s="809"/>
      <c r="AE19" s="809"/>
      <c r="AF19" s="809"/>
      <c r="AG19" s="792"/>
      <c r="AH19" s="22"/>
      <c r="AI19" s="784" t="s">
        <v>7</v>
      </c>
      <c r="AJ19" s="784"/>
      <c r="AK19" s="782" t="s">
        <v>8</v>
      </c>
      <c r="AL19" s="782"/>
      <c r="AM19" s="782"/>
      <c r="AN19" s="782"/>
      <c r="AO19" s="782"/>
      <c r="AP19" s="782"/>
      <c r="AQ19" s="782"/>
      <c r="AR19" s="782"/>
      <c r="AS19" s="782"/>
      <c r="AT19" s="782"/>
      <c r="AU19" s="782"/>
      <c r="AV19" s="782"/>
      <c r="AW19" s="7"/>
    </row>
    <row r="20" spans="1:49" ht="27" customHeight="1" x14ac:dyDescent="0.6">
      <c r="A20" s="806"/>
      <c r="B20" s="807"/>
      <c r="C20" s="807"/>
      <c r="D20" s="807"/>
      <c r="E20" s="807"/>
      <c r="F20" s="792"/>
      <c r="G20" s="808"/>
      <c r="H20" s="809"/>
      <c r="I20" s="809"/>
      <c r="J20" s="809"/>
      <c r="K20" s="809"/>
      <c r="L20" s="809"/>
      <c r="M20" s="809"/>
      <c r="N20" s="809"/>
      <c r="O20" s="809"/>
      <c r="P20" s="809"/>
      <c r="Q20" s="809"/>
      <c r="R20" s="809"/>
      <c r="S20" s="809"/>
      <c r="T20" s="792"/>
      <c r="U20" s="808"/>
      <c r="V20" s="809"/>
      <c r="W20" s="809"/>
      <c r="X20" s="809"/>
      <c r="Y20" s="809"/>
      <c r="Z20" s="809"/>
      <c r="AA20" s="809"/>
      <c r="AB20" s="809"/>
      <c r="AC20" s="809"/>
      <c r="AD20" s="809"/>
      <c r="AE20" s="809"/>
      <c r="AF20" s="809"/>
      <c r="AG20" s="792"/>
      <c r="AH20" s="22"/>
      <c r="AI20" s="784" t="s">
        <v>806</v>
      </c>
      <c r="AJ20" s="784"/>
      <c r="AK20" s="782" t="s">
        <v>807</v>
      </c>
      <c r="AL20" s="782"/>
      <c r="AM20" s="782"/>
      <c r="AN20" s="782"/>
      <c r="AO20" s="782"/>
      <c r="AP20" s="782"/>
      <c r="AQ20" s="782"/>
      <c r="AR20" s="782"/>
      <c r="AS20" s="782"/>
      <c r="AT20" s="782"/>
      <c r="AU20" s="782"/>
      <c r="AV20" s="782"/>
      <c r="AW20" s="7"/>
    </row>
    <row r="21" spans="1:49" ht="27" customHeight="1" x14ac:dyDescent="0.6">
      <c r="A21" s="810" t="s">
        <v>1660</v>
      </c>
      <c r="B21" s="811"/>
      <c r="C21" s="811"/>
      <c r="D21" s="811"/>
      <c r="E21" s="811"/>
      <c r="F21" s="812"/>
      <c r="G21" s="810" t="s">
        <v>1</v>
      </c>
      <c r="H21" s="811"/>
      <c r="I21" s="811"/>
      <c r="J21" s="811"/>
      <c r="K21" s="811"/>
      <c r="L21" s="811"/>
      <c r="M21" s="811"/>
      <c r="N21" s="811"/>
      <c r="O21" s="811"/>
      <c r="P21" s="811"/>
      <c r="Q21" s="811"/>
      <c r="R21" s="811"/>
      <c r="S21" s="811"/>
      <c r="T21" s="812"/>
      <c r="U21" s="810" t="s">
        <v>1648</v>
      </c>
      <c r="V21" s="811"/>
      <c r="W21" s="811"/>
      <c r="X21" s="811"/>
      <c r="Y21" s="811"/>
      <c r="Z21" s="811"/>
      <c r="AA21" s="811"/>
      <c r="AB21" s="811"/>
      <c r="AC21" s="811"/>
      <c r="AD21" s="811"/>
      <c r="AE21" s="811"/>
      <c r="AF21" s="811"/>
      <c r="AG21" s="812"/>
      <c r="AH21" s="22"/>
      <c r="AI21" s="784" t="s">
        <v>805</v>
      </c>
      <c r="AJ21" s="784"/>
      <c r="AK21" s="782" t="s">
        <v>804</v>
      </c>
      <c r="AL21" s="782"/>
      <c r="AM21" s="782"/>
      <c r="AN21" s="782"/>
      <c r="AO21" s="782"/>
      <c r="AP21" s="782"/>
      <c r="AQ21" s="782"/>
      <c r="AR21" s="782"/>
      <c r="AS21" s="782"/>
      <c r="AT21" s="782"/>
      <c r="AU21" s="782"/>
      <c r="AV21" s="782"/>
      <c r="AW21" s="7"/>
    </row>
    <row r="22" spans="1:49" ht="27" customHeight="1" x14ac:dyDescent="0.6">
      <c r="A22" s="816" t="s">
        <v>164</v>
      </c>
      <c r="B22" s="817"/>
      <c r="C22" s="817"/>
      <c r="D22" s="817"/>
      <c r="E22" s="817"/>
      <c r="F22" s="818"/>
      <c r="G22" s="819" t="s">
        <v>1661</v>
      </c>
      <c r="H22" s="820"/>
      <c r="I22" s="820"/>
      <c r="J22" s="820"/>
      <c r="K22" s="820"/>
      <c r="L22" s="820"/>
      <c r="M22" s="820"/>
      <c r="N22" s="820"/>
      <c r="O22" s="820"/>
      <c r="P22" s="820"/>
      <c r="Q22" s="820"/>
      <c r="R22" s="820"/>
      <c r="S22" s="820"/>
      <c r="T22" s="818"/>
      <c r="U22" s="819" t="s">
        <v>1662</v>
      </c>
      <c r="V22" s="820"/>
      <c r="W22" s="820"/>
      <c r="X22" s="820"/>
      <c r="Y22" s="820"/>
      <c r="Z22" s="820"/>
      <c r="AA22" s="820"/>
      <c r="AB22" s="820"/>
      <c r="AC22" s="820"/>
      <c r="AD22" s="820"/>
      <c r="AE22" s="820"/>
      <c r="AF22" s="820"/>
      <c r="AG22" s="818"/>
      <c r="AH22" s="22"/>
      <c r="AI22" s="784" t="s">
        <v>730</v>
      </c>
      <c r="AJ22" s="784"/>
      <c r="AK22" s="782" t="s">
        <v>731</v>
      </c>
      <c r="AL22" s="782"/>
      <c r="AM22" s="782"/>
      <c r="AN22" s="782"/>
      <c r="AO22" s="782"/>
      <c r="AP22" s="782"/>
      <c r="AQ22" s="782"/>
      <c r="AR22" s="782"/>
      <c r="AS22" s="782"/>
      <c r="AT22" s="782"/>
      <c r="AU22" s="782"/>
      <c r="AV22" s="782"/>
      <c r="AW22" s="7"/>
    </row>
    <row r="23" spans="1:49" ht="27" customHeight="1" x14ac:dyDescent="0.6">
      <c r="A23" s="816"/>
      <c r="B23" s="817"/>
      <c r="C23" s="817"/>
      <c r="D23" s="817"/>
      <c r="E23" s="817"/>
      <c r="F23" s="818"/>
      <c r="G23" s="819"/>
      <c r="H23" s="820"/>
      <c r="I23" s="820"/>
      <c r="J23" s="820"/>
      <c r="K23" s="820"/>
      <c r="L23" s="820"/>
      <c r="M23" s="820"/>
      <c r="N23" s="820"/>
      <c r="O23" s="820"/>
      <c r="P23" s="820"/>
      <c r="Q23" s="820"/>
      <c r="R23" s="820"/>
      <c r="S23" s="820"/>
      <c r="T23" s="818"/>
      <c r="U23" s="819"/>
      <c r="V23" s="820"/>
      <c r="W23" s="820"/>
      <c r="X23" s="820"/>
      <c r="Y23" s="820"/>
      <c r="Z23" s="820"/>
      <c r="AA23" s="820"/>
      <c r="AB23" s="820"/>
      <c r="AC23" s="820"/>
      <c r="AD23" s="820"/>
      <c r="AE23" s="820"/>
      <c r="AF23" s="820"/>
      <c r="AG23" s="818"/>
      <c r="AH23" s="22"/>
      <c r="AI23" s="784" t="s">
        <v>732</v>
      </c>
      <c r="AJ23" s="784"/>
      <c r="AK23" s="782" t="s">
        <v>98</v>
      </c>
      <c r="AL23" s="782"/>
      <c r="AM23" s="782"/>
      <c r="AN23" s="782"/>
      <c r="AO23" s="782"/>
      <c r="AP23" s="782"/>
      <c r="AQ23" s="782"/>
      <c r="AR23" s="782"/>
      <c r="AS23" s="782"/>
      <c r="AT23" s="782"/>
      <c r="AU23" s="782"/>
      <c r="AV23" s="782"/>
      <c r="AW23" s="7"/>
    </row>
    <row r="24" spans="1:49" ht="27" customHeight="1" x14ac:dyDescent="0.6">
      <c r="A24" s="816"/>
      <c r="B24" s="817"/>
      <c r="C24" s="817"/>
      <c r="D24" s="817"/>
      <c r="E24" s="817"/>
      <c r="F24" s="818"/>
      <c r="G24" s="819"/>
      <c r="H24" s="820"/>
      <c r="I24" s="820"/>
      <c r="J24" s="820"/>
      <c r="K24" s="820"/>
      <c r="L24" s="820"/>
      <c r="M24" s="820"/>
      <c r="N24" s="820"/>
      <c r="O24" s="820"/>
      <c r="P24" s="820"/>
      <c r="Q24" s="820"/>
      <c r="R24" s="820"/>
      <c r="S24" s="820"/>
      <c r="T24" s="818"/>
      <c r="U24" s="819"/>
      <c r="V24" s="820"/>
      <c r="W24" s="820"/>
      <c r="X24" s="820"/>
      <c r="Y24" s="820"/>
      <c r="Z24" s="820"/>
      <c r="AA24" s="820"/>
      <c r="AB24" s="820"/>
      <c r="AC24" s="820"/>
      <c r="AD24" s="820"/>
      <c r="AE24" s="820"/>
      <c r="AF24" s="820"/>
      <c r="AG24" s="818"/>
      <c r="AH24" s="22"/>
      <c r="AI24" s="784" t="s">
        <v>14</v>
      </c>
      <c r="AJ24" s="784"/>
      <c r="AK24" s="782" t="s">
        <v>15</v>
      </c>
      <c r="AL24" s="782"/>
      <c r="AM24" s="782"/>
      <c r="AN24" s="782"/>
      <c r="AO24" s="782"/>
      <c r="AP24" s="782"/>
      <c r="AQ24" s="782"/>
      <c r="AR24" s="782"/>
      <c r="AS24" s="782"/>
      <c r="AT24" s="782"/>
      <c r="AU24" s="782"/>
      <c r="AV24" s="782"/>
      <c r="AW24" s="7"/>
    </row>
    <row r="25" spans="1:49" ht="27" customHeight="1" x14ac:dyDescent="0.6">
      <c r="A25" s="806" t="s">
        <v>1663</v>
      </c>
      <c r="B25" s="807"/>
      <c r="C25" s="807"/>
      <c r="D25" s="807"/>
      <c r="E25" s="807"/>
      <c r="F25" s="792"/>
      <c r="G25" s="808" t="s">
        <v>1664</v>
      </c>
      <c r="H25" s="809"/>
      <c r="I25" s="809"/>
      <c r="J25" s="809"/>
      <c r="K25" s="809"/>
      <c r="L25" s="809"/>
      <c r="M25" s="809"/>
      <c r="N25" s="809"/>
      <c r="O25" s="809"/>
      <c r="P25" s="809"/>
      <c r="Q25" s="809"/>
      <c r="R25" s="809"/>
      <c r="S25" s="809"/>
      <c r="T25" s="792"/>
      <c r="U25" s="808"/>
      <c r="V25" s="809"/>
      <c r="W25" s="809"/>
      <c r="X25" s="809"/>
      <c r="Y25" s="809"/>
      <c r="Z25" s="809"/>
      <c r="AA25" s="809"/>
      <c r="AB25" s="809"/>
      <c r="AC25" s="809"/>
      <c r="AD25" s="809"/>
      <c r="AE25" s="809"/>
      <c r="AF25" s="809"/>
      <c r="AG25" s="792"/>
      <c r="AH25" s="22"/>
      <c r="AI25" s="784" t="s">
        <v>16</v>
      </c>
      <c r="AJ25" s="784"/>
      <c r="AK25" s="782" t="s">
        <v>17</v>
      </c>
      <c r="AL25" s="782"/>
      <c r="AM25" s="782"/>
      <c r="AN25" s="782"/>
      <c r="AO25" s="782"/>
      <c r="AP25" s="782"/>
      <c r="AQ25" s="782"/>
      <c r="AR25" s="782"/>
      <c r="AS25" s="782"/>
      <c r="AT25" s="782"/>
      <c r="AU25" s="782"/>
      <c r="AV25" s="782"/>
      <c r="AW25" s="7"/>
    </row>
    <row r="26" spans="1:49" ht="27" customHeight="1" x14ac:dyDescent="0.6">
      <c r="A26" s="806"/>
      <c r="B26" s="807"/>
      <c r="C26" s="807"/>
      <c r="D26" s="807"/>
      <c r="E26" s="807"/>
      <c r="F26" s="792"/>
      <c r="G26" s="808"/>
      <c r="H26" s="809"/>
      <c r="I26" s="809"/>
      <c r="J26" s="809"/>
      <c r="K26" s="809"/>
      <c r="L26" s="809"/>
      <c r="M26" s="809"/>
      <c r="N26" s="809"/>
      <c r="O26" s="809"/>
      <c r="P26" s="809"/>
      <c r="Q26" s="809"/>
      <c r="R26" s="809"/>
      <c r="S26" s="809"/>
      <c r="T26" s="792"/>
      <c r="U26" s="808"/>
      <c r="V26" s="809"/>
      <c r="W26" s="809"/>
      <c r="X26" s="809"/>
      <c r="Y26" s="809"/>
      <c r="Z26" s="809"/>
      <c r="AA26" s="809"/>
      <c r="AB26" s="809"/>
      <c r="AC26" s="809"/>
      <c r="AD26" s="809"/>
      <c r="AE26" s="809"/>
      <c r="AF26" s="809"/>
      <c r="AG26" s="792"/>
      <c r="AH26" s="22"/>
      <c r="AI26" s="784" t="s">
        <v>733</v>
      </c>
      <c r="AJ26" s="784"/>
      <c r="AK26" s="782" t="s">
        <v>734</v>
      </c>
      <c r="AL26" s="782"/>
      <c r="AM26" s="782"/>
      <c r="AN26" s="782"/>
      <c r="AO26" s="782"/>
      <c r="AP26" s="782"/>
      <c r="AQ26" s="782"/>
      <c r="AR26" s="782"/>
      <c r="AS26" s="782"/>
      <c r="AT26" s="782"/>
      <c r="AU26" s="782"/>
      <c r="AV26" s="782"/>
      <c r="AW26" s="7"/>
    </row>
    <row r="27" spans="1:49" ht="27" customHeight="1" x14ac:dyDescent="0.6">
      <c r="A27" s="806"/>
      <c r="B27" s="807"/>
      <c r="C27" s="807"/>
      <c r="D27" s="807"/>
      <c r="E27" s="807"/>
      <c r="F27" s="792"/>
      <c r="G27" s="808"/>
      <c r="H27" s="809"/>
      <c r="I27" s="809"/>
      <c r="J27" s="809"/>
      <c r="K27" s="809"/>
      <c r="L27" s="809"/>
      <c r="M27" s="809"/>
      <c r="N27" s="809"/>
      <c r="O27" s="809"/>
      <c r="P27" s="809"/>
      <c r="Q27" s="809"/>
      <c r="R27" s="809"/>
      <c r="S27" s="809"/>
      <c r="T27" s="792"/>
      <c r="U27" s="808"/>
      <c r="V27" s="809"/>
      <c r="W27" s="809"/>
      <c r="X27" s="809"/>
      <c r="Y27" s="809"/>
      <c r="Z27" s="809"/>
      <c r="AA27" s="809"/>
      <c r="AB27" s="809"/>
      <c r="AC27" s="809"/>
      <c r="AD27" s="809"/>
      <c r="AE27" s="809"/>
      <c r="AF27" s="809"/>
      <c r="AG27" s="792"/>
      <c r="AH27" s="22"/>
      <c r="AI27" s="784" t="s">
        <v>735</v>
      </c>
      <c r="AJ27" s="784"/>
      <c r="AK27" s="782" t="s">
        <v>736</v>
      </c>
      <c r="AL27" s="782"/>
      <c r="AM27" s="782"/>
      <c r="AN27" s="782"/>
      <c r="AO27" s="782"/>
      <c r="AP27" s="782"/>
      <c r="AQ27" s="782"/>
      <c r="AR27" s="782"/>
      <c r="AS27" s="782"/>
      <c r="AT27" s="782"/>
      <c r="AU27" s="782"/>
      <c r="AV27" s="782"/>
      <c r="AW27" s="7"/>
    </row>
    <row r="28" spans="1:49" ht="27" customHeight="1" x14ac:dyDescent="0.6">
      <c r="A28" s="816" t="s">
        <v>1665</v>
      </c>
      <c r="B28" s="817"/>
      <c r="C28" s="817"/>
      <c r="D28" s="817"/>
      <c r="E28" s="817"/>
      <c r="F28" s="818"/>
      <c r="G28" s="819" t="s">
        <v>1666</v>
      </c>
      <c r="H28" s="820"/>
      <c r="I28" s="820"/>
      <c r="J28" s="820"/>
      <c r="K28" s="820"/>
      <c r="L28" s="820"/>
      <c r="M28" s="820"/>
      <c r="N28" s="820"/>
      <c r="O28" s="820"/>
      <c r="P28" s="820"/>
      <c r="Q28" s="820"/>
      <c r="R28" s="820"/>
      <c r="S28" s="820"/>
      <c r="T28" s="818"/>
      <c r="U28" s="819"/>
      <c r="V28" s="820"/>
      <c r="W28" s="820"/>
      <c r="X28" s="820"/>
      <c r="Y28" s="820"/>
      <c r="Z28" s="820"/>
      <c r="AA28" s="820"/>
      <c r="AB28" s="820"/>
      <c r="AC28" s="820"/>
      <c r="AD28" s="820"/>
      <c r="AE28" s="820"/>
      <c r="AF28" s="820"/>
      <c r="AG28" s="818"/>
      <c r="AH28" s="22"/>
      <c r="AI28" s="784" t="s">
        <v>737</v>
      </c>
      <c r="AJ28" s="784"/>
      <c r="AK28" s="782" t="s">
        <v>738</v>
      </c>
      <c r="AL28" s="782"/>
      <c r="AM28" s="782"/>
      <c r="AN28" s="782"/>
      <c r="AO28" s="782"/>
      <c r="AP28" s="782"/>
      <c r="AQ28" s="782"/>
      <c r="AR28" s="782"/>
      <c r="AS28" s="782"/>
      <c r="AT28" s="782"/>
      <c r="AU28" s="782"/>
      <c r="AV28" s="782"/>
      <c r="AW28" s="7"/>
    </row>
    <row r="29" spans="1:49" ht="27" customHeight="1" x14ac:dyDescent="0.6">
      <c r="A29" s="816"/>
      <c r="B29" s="817"/>
      <c r="C29" s="817"/>
      <c r="D29" s="817"/>
      <c r="E29" s="817"/>
      <c r="F29" s="818"/>
      <c r="G29" s="819"/>
      <c r="H29" s="820"/>
      <c r="I29" s="820"/>
      <c r="J29" s="820"/>
      <c r="K29" s="820"/>
      <c r="L29" s="820"/>
      <c r="M29" s="820"/>
      <c r="N29" s="820"/>
      <c r="O29" s="820"/>
      <c r="P29" s="820"/>
      <c r="Q29" s="820"/>
      <c r="R29" s="820"/>
      <c r="S29" s="820"/>
      <c r="T29" s="818"/>
      <c r="U29" s="819"/>
      <c r="V29" s="820"/>
      <c r="W29" s="820"/>
      <c r="X29" s="820"/>
      <c r="Y29" s="820"/>
      <c r="Z29" s="820"/>
      <c r="AA29" s="820"/>
      <c r="AB29" s="820"/>
      <c r="AC29" s="820"/>
      <c r="AD29" s="820"/>
      <c r="AE29" s="820"/>
      <c r="AF29" s="820"/>
      <c r="AG29" s="818"/>
      <c r="AH29" s="22"/>
      <c r="AI29" s="784" t="s">
        <v>18</v>
      </c>
      <c r="AJ29" s="784"/>
      <c r="AK29" s="782" t="s">
        <v>19</v>
      </c>
      <c r="AL29" s="782"/>
      <c r="AM29" s="782"/>
      <c r="AN29" s="782"/>
      <c r="AO29" s="782"/>
      <c r="AP29" s="782"/>
      <c r="AQ29" s="782"/>
      <c r="AR29" s="782"/>
      <c r="AS29" s="782"/>
      <c r="AT29" s="782"/>
      <c r="AU29" s="782"/>
      <c r="AV29" s="782"/>
      <c r="AW29" s="7"/>
    </row>
    <row r="30" spans="1:49" ht="27" customHeight="1" x14ac:dyDescent="0.6">
      <c r="A30" s="816"/>
      <c r="B30" s="817"/>
      <c r="C30" s="817"/>
      <c r="D30" s="817"/>
      <c r="E30" s="817"/>
      <c r="F30" s="818"/>
      <c r="G30" s="819"/>
      <c r="H30" s="820"/>
      <c r="I30" s="820"/>
      <c r="J30" s="820"/>
      <c r="K30" s="820"/>
      <c r="L30" s="820"/>
      <c r="M30" s="820"/>
      <c r="N30" s="820"/>
      <c r="O30" s="820"/>
      <c r="P30" s="820"/>
      <c r="Q30" s="820"/>
      <c r="R30" s="820"/>
      <c r="S30" s="820"/>
      <c r="T30" s="818"/>
      <c r="U30" s="819"/>
      <c r="V30" s="820"/>
      <c r="W30" s="820"/>
      <c r="X30" s="820"/>
      <c r="Y30" s="820"/>
      <c r="Z30" s="820"/>
      <c r="AA30" s="820"/>
      <c r="AB30" s="820"/>
      <c r="AC30" s="820"/>
      <c r="AD30" s="820"/>
      <c r="AE30" s="820"/>
      <c r="AF30" s="820"/>
      <c r="AG30" s="818"/>
      <c r="AH30" s="22"/>
      <c r="AI30" s="785" t="s">
        <v>21</v>
      </c>
      <c r="AJ30" s="785"/>
      <c r="AK30" s="783" t="s">
        <v>22</v>
      </c>
      <c r="AL30" s="783"/>
      <c r="AM30" s="783"/>
      <c r="AN30" s="783"/>
      <c r="AO30" s="783"/>
      <c r="AP30" s="783"/>
      <c r="AQ30" s="783"/>
      <c r="AR30" s="783"/>
      <c r="AS30" s="783"/>
      <c r="AT30" s="783"/>
      <c r="AU30" s="783"/>
      <c r="AV30" s="783"/>
      <c r="AW30" s="7"/>
    </row>
    <row r="31" spans="1:49" ht="27" customHeight="1" x14ac:dyDescent="0.55000000000000004">
      <c r="A31" s="816"/>
      <c r="B31" s="817"/>
      <c r="C31" s="817"/>
      <c r="D31" s="817"/>
      <c r="E31" s="817"/>
      <c r="F31" s="818"/>
      <c r="G31" s="819"/>
      <c r="H31" s="820"/>
      <c r="I31" s="820"/>
      <c r="J31" s="820"/>
      <c r="K31" s="820"/>
      <c r="L31" s="820"/>
      <c r="M31" s="820"/>
      <c r="N31" s="820"/>
      <c r="O31" s="820"/>
      <c r="P31" s="820"/>
      <c r="Q31" s="820"/>
      <c r="R31" s="820"/>
      <c r="S31" s="820"/>
      <c r="T31" s="818"/>
      <c r="U31" s="819"/>
      <c r="V31" s="820"/>
      <c r="W31" s="820"/>
      <c r="X31" s="820"/>
      <c r="Y31" s="820"/>
      <c r="Z31" s="820"/>
      <c r="AA31" s="820"/>
      <c r="AB31" s="820"/>
      <c r="AC31" s="820"/>
      <c r="AD31" s="820"/>
      <c r="AE31" s="820"/>
      <c r="AF31" s="820"/>
      <c r="AG31" s="818"/>
      <c r="AH31" s="22"/>
      <c r="AI31" s="22"/>
      <c r="AJ31" s="22"/>
      <c r="AK31" s="22"/>
      <c r="AL31" s="22"/>
      <c r="AM31" s="22"/>
      <c r="AN31" s="22"/>
      <c r="AO31" s="22"/>
      <c r="AP31" s="22"/>
      <c r="AQ31" s="22"/>
      <c r="AR31" s="22"/>
      <c r="AS31" s="22"/>
      <c r="AT31" s="22"/>
      <c r="AU31" s="22"/>
      <c r="AV31" s="22"/>
      <c r="AW31" s="7"/>
    </row>
    <row r="32" spans="1:49" ht="27" customHeight="1" x14ac:dyDescent="0.55000000000000004">
      <c r="A32" s="806" t="s">
        <v>1667</v>
      </c>
      <c r="B32" s="807"/>
      <c r="C32" s="807"/>
      <c r="D32" s="807"/>
      <c r="E32" s="807"/>
      <c r="F32" s="792"/>
      <c r="G32" s="808" t="s">
        <v>1668</v>
      </c>
      <c r="H32" s="809"/>
      <c r="I32" s="809"/>
      <c r="J32" s="809"/>
      <c r="K32" s="809"/>
      <c r="L32" s="809"/>
      <c r="M32" s="809"/>
      <c r="N32" s="809"/>
      <c r="O32" s="809"/>
      <c r="P32" s="809"/>
      <c r="Q32" s="809"/>
      <c r="R32" s="809"/>
      <c r="S32" s="809"/>
      <c r="T32" s="792"/>
      <c r="U32" s="808"/>
      <c r="V32" s="809"/>
      <c r="W32" s="809"/>
      <c r="X32" s="809"/>
      <c r="Y32" s="809"/>
      <c r="Z32" s="809"/>
      <c r="AA32" s="809"/>
      <c r="AB32" s="809"/>
      <c r="AC32" s="809"/>
      <c r="AD32" s="809"/>
      <c r="AE32" s="809"/>
      <c r="AF32" s="809"/>
      <c r="AG32" s="792"/>
      <c r="AH32" s="22"/>
      <c r="AI32" s="22"/>
      <c r="AJ32" s="22"/>
      <c r="AK32" s="22"/>
      <c r="AL32" s="22"/>
      <c r="AM32" s="22"/>
      <c r="AN32" s="22"/>
      <c r="AO32" s="22"/>
      <c r="AP32" s="22"/>
      <c r="AQ32" s="22"/>
      <c r="AR32" s="22"/>
      <c r="AS32" s="22"/>
      <c r="AT32" s="22"/>
      <c r="AU32" s="22"/>
      <c r="AV32" s="22"/>
      <c r="AW32" s="7"/>
    </row>
    <row r="33" spans="1:49" ht="27" customHeight="1" x14ac:dyDescent="0.55000000000000004">
      <c r="A33" s="806"/>
      <c r="B33" s="807"/>
      <c r="C33" s="807"/>
      <c r="D33" s="807"/>
      <c r="E33" s="807"/>
      <c r="F33" s="792"/>
      <c r="G33" s="808"/>
      <c r="H33" s="809"/>
      <c r="I33" s="809"/>
      <c r="J33" s="809"/>
      <c r="K33" s="809"/>
      <c r="L33" s="809"/>
      <c r="M33" s="809"/>
      <c r="N33" s="809"/>
      <c r="O33" s="809"/>
      <c r="P33" s="809"/>
      <c r="Q33" s="809"/>
      <c r="R33" s="809"/>
      <c r="S33" s="809"/>
      <c r="T33" s="792"/>
      <c r="U33" s="808"/>
      <c r="V33" s="809"/>
      <c r="W33" s="809"/>
      <c r="X33" s="809"/>
      <c r="Y33" s="809"/>
      <c r="Z33" s="809"/>
      <c r="AA33" s="809"/>
      <c r="AB33" s="809"/>
      <c r="AC33" s="809"/>
      <c r="AD33" s="809"/>
      <c r="AE33" s="809"/>
      <c r="AF33" s="809"/>
      <c r="AG33" s="792"/>
      <c r="AH33" s="22"/>
      <c r="AI33" s="22"/>
      <c r="AJ33" s="22"/>
      <c r="AK33" s="22"/>
      <c r="AL33" s="22"/>
      <c r="AM33" s="22"/>
      <c r="AN33" s="22"/>
      <c r="AO33" s="22"/>
      <c r="AP33" s="22"/>
      <c r="AQ33" s="22"/>
      <c r="AR33" s="22"/>
      <c r="AS33" s="22"/>
      <c r="AT33" s="22"/>
      <c r="AU33" s="22"/>
      <c r="AV33" s="22"/>
      <c r="AW33" s="7"/>
    </row>
    <row r="34" spans="1:49" ht="27" customHeight="1" x14ac:dyDescent="0.55000000000000004">
      <c r="A34" s="806"/>
      <c r="B34" s="807"/>
      <c r="C34" s="807"/>
      <c r="D34" s="807"/>
      <c r="E34" s="807"/>
      <c r="F34" s="792"/>
      <c r="G34" s="808"/>
      <c r="H34" s="809"/>
      <c r="I34" s="809"/>
      <c r="J34" s="809"/>
      <c r="K34" s="809"/>
      <c r="L34" s="809"/>
      <c r="M34" s="809"/>
      <c r="N34" s="809"/>
      <c r="O34" s="809"/>
      <c r="P34" s="809"/>
      <c r="Q34" s="809"/>
      <c r="R34" s="809"/>
      <c r="S34" s="809"/>
      <c r="T34" s="792"/>
      <c r="U34" s="808"/>
      <c r="V34" s="809"/>
      <c r="W34" s="809"/>
      <c r="X34" s="809"/>
      <c r="Y34" s="809"/>
      <c r="Z34" s="809"/>
      <c r="AA34" s="809"/>
      <c r="AB34" s="809"/>
      <c r="AC34" s="809"/>
      <c r="AD34" s="809"/>
      <c r="AE34" s="809"/>
      <c r="AF34" s="809"/>
      <c r="AG34" s="792"/>
      <c r="AH34" s="22"/>
      <c r="AI34" s="22"/>
      <c r="AJ34" s="22"/>
      <c r="AK34" s="22"/>
      <c r="AL34" s="22"/>
      <c r="AM34" s="22"/>
      <c r="AN34" s="22"/>
      <c r="AO34" s="22"/>
      <c r="AP34" s="22"/>
      <c r="AQ34" s="22"/>
      <c r="AR34" s="22"/>
      <c r="AS34" s="22"/>
      <c r="AT34" s="22"/>
      <c r="AU34" s="22"/>
      <c r="AV34" s="22"/>
      <c r="AW34" s="7"/>
    </row>
    <row r="35" spans="1:49" ht="27" customHeight="1" x14ac:dyDescent="0.55000000000000004">
      <c r="A35" s="816" t="s">
        <v>1669</v>
      </c>
      <c r="B35" s="817"/>
      <c r="C35" s="817"/>
      <c r="D35" s="817"/>
      <c r="E35" s="817"/>
      <c r="F35" s="818"/>
      <c r="G35" s="819" t="s">
        <v>1670</v>
      </c>
      <c r="H35" s="820"/>
      <c r="I35" s="820"/>
      <c r="J35" s="820"/>
      <c r="K35" s="820"/>
      <c r="L35" s="820"/>
      <c r="M35" s="820"/>
      <c r="N35" s="820"/>
      <c r="O35" s="820"/>
      <c r="P35" s="820"/>
      <c r="Q35" s="820"/>
      <c r="R35" s="820"/>
      <c r="S35" s="820"/>
      <c r="T35" s="818"/>
      <c r="U35" s="819"/>
      <c r="V35" s="820"/>
      <c r="W35" s="820"/>
      <c r="X35" s="820"/>
      <c r="Y35" s="820"/>
      <c r="Z35" s="820"/>
      <c r="AA35" s="820"/>
      <c r="AB35" s="820"/>
      <c r="AC35" s="820"/>
      <c r="AD35" s="820"/>
      <c r="AE35" s="820"/>
      <c r="AF35" s="820"/>
      <c r="AG35" s="818"/>
      <c r="AH35" s="22"/>
      <c r="AI35" s="22"/>
      <c r="AJ35" s="22"/>
      <c r="AK35" s="22"/>
      <c r="AL35" s="22"/>
      <c r="AM35" s="22"/>
      <c r="AN35" s="22"/>
      <c r="AO35" s="22"/>
      <c r="AP35" s="22"/>
      <c r="AQ35" s="22"/>
      <c r="AR35" s="22"/>
      <c r="AS35" s="22"/>
      <c r="AT35" s="22"/>
      <c r="AU35" s="22"/>
      <c r="AV35" s="22"/>
      <c r="AW35" s="7"/>
    </row>
    <row r="36" spans="1:49" ht="27" customHeight="1" x14ac:dyDescent="0.55000000000000004">
      <c r="A36" s="816"/>
      <c r="B36" s="817"/>
      <c r="C36" s="817"/>
      <c r="D36" s="817"/>
      <c r="E36" s="817"/>
      <c r="F36" s="818"/>
      <c r="G36" s="819"/>
      <c r="H36" s="820"/>
      <c r="I36" s="820"/>
      <c r="J36" s="820"/>
      <c r="K36" s="820"/>
      <c r="L36" s="820"/>
      <c r="M36" s="820"/>
      <c r="N36" s="820"/>
      <c r="O36" s="820"/>
      <c r="P36" s="820"/>
      <c r="Q36" s="820"/>
      <c r="R36" s="820"/>
      <c r="S36" s="820"/>
      <c r="T36" s="818"/>
      <c r="U36" s="819"/>
      <c r="V36" s="820"/>
      <c r="W36" s="820"/>
      <c r="X36" s="820"/>
      <c r="Y36" s="820"/>
      <c r="Z36" s="820"/>
      <c r="AA36" s="820"/>
      <c r="AB36" s="820"/>
      <c r="AC36" s="820"/>
      <c r="AD36" s="820"/>
      <c r="AE36" s="820"/>
      <c r="AF36" s="820"/>
      <c r="AG36" s="818"/>
      <c r="AH36" s="22"/>
      <c r="AI36" s="22"/>
      <c r="AJ36" s="22"/>
      <c r="AK36" s="22"/>
      <c r="AL36" s="22"/>
      <c r="AM36" s="22"/>
      <c r="AN36" s="22"/>
      <c r="AO36" s="22"/>
      <c r="AP36" s="22"/>
      <c r="AQ36" s="22"/>
      <c r="AR36" s="22"/>
      <c r="AS36" s="22"/>
      <c r="AT36" s="22"/>
      <c r="AU36" s="22"/>
      <c r="AV36" s="22"/>
      <c r="AW36" s="7"/>
    </row>
    <row r="37" spans="1:49" ht="27" customHeight="1" x14ac:dyDescent="0.55000000000000004">
      <c r="A37" s="816"/>
      <c r="B37" s="817"/>
      <c r="C37" s="817"/>
      <c r="D37" s="817"/>
      <c r="E37" s="817"/>
      <c r="F37" s="818"/>
      <c r="G37" s="819"/>
      <c r="H37" s="820"/>
      <c r="I37" s="820"/>
      <c r="J37" s="820"/>
      <c r="K37" s="820"/>
      <c r="L37" s="820"/>
      <c r="M37" s="820"/>
      <c r="N37" s="820"/>
      <c r="O37" s="820"/>
      <c r="P37" s="820"/>
      <c r="Q37" s="820"/>
      <c r="R37" s="820"/>
      <c r="S37" s="820"/>
      <c r="T37" s="818"/>
      <c r="U37" s="819"/>
      <c r="V37" s="820"/>
      <c r="W37" s="820"/>
      <c r="X37" s="820"/>
      <c r="Y37" s="820"/>
      <c r="Z37" s="820"/>
      <c r="AA37" s="820"/>
      <c r="AB37" s="820"/>
      <c r="AC37" s="820"/>
      <c r="AD37" s="820"/>
      <c r="AE37" s="820"/>
      <c r="AF37" s="820"/>
      <c r="AG37" s="818"/>
      <c r="AH37" s="22"/>
      <c r="AI37" s="22"/>
      <c r="AJ37" s="22"/>
      <c r="AK37" s="22"/>
      <c r="AL37" s="22"/>
      <c r="AM37" s="22"/>
      <c r="AN37" s="22"/>
      <c r="AO37" s="22"/>
      <c r="AP37" s="22"/>
      <c r="AQ37" s="22"/>
      <c r="AR37" s="22"/>
      <c r="AS37" s="22"/>
      <c r="AT37" s="22"/>
      <c r="AU37" s="22"/>
      <c r="AV37" s="22"/>
      <c r="AW37" s="7"/>
    </row>
    <row r="38" spans="1:49" ht="27" customHeight="1" x14ac:dyDescent="0.55000000000000004">
      <c r="A38" s="806" t="s">
        <v>163</v>
      </c>
      <c r="B38" s="807"/>
      <c r="C38" s="807"/>
      <c r="D38" s="807"/>
      <c r="E38" s="807"/>
      <c r="F38" s="792"/>
      <c r="G38" s="808" t="s">
        <v>1671</v>
      </c>
      <c r="H38" s="809"/>
      <c r="I38" s="809"/>
      <c r="J38" s="809"/>
      <c r="K38" s="809"/>
      <c r="L38" s="809"/>
      <c r="M38" s="809"/>
      <c r="N38" s="809"/>
      <c r="O38" s="809"/>
      <c r="P38" s="809"/>
      <c r="Q38" s="809"/>
      <c r="R38" s="809"/>
      <c r="S38" s="809"/>
      <c r="T38" s="792"/>
      <c r="U38" s="808" t="s">
        <v>1662</v>
      </c>
      <c r="V38" s="809"/>
      <c r="W38" s="809"/>
      <c r="X38" s="809"/>
      <c r="Y38" s="809"/>
      <c r="Z38" s="809"/>
      <c r="AA38" s="809"/>
      <c r="AB38" s="809"/>
      <c r="AC38" s="809"/>
      <c r="AD38" s="809"/>
      <c r="AE38" s="809"/>
      <c r="AF38" s="809"/>
      <c r="AG38" s="792"/>
      <c r="AH38" s="22"/>
      <c r="AI38" s="22"/>
      <c r="AJ38" s="22"/>
      <c r="AK38" s="22"/>
      <c r="AL38" s="22"/>
      <c r="AM38" s="22"/>
      <c r="AN38" s="22"/>
      <c r="AO38" s="22"/>
      <c r="AP38" s="22"/>
      <c r="AQ38" s="22"/>
      <c r="AR38" s="22"/>
      <c r="AS38" s="22"/>
      <c r="AT38" s="22"/>
      <c r="AU38" s="22"/>
      <c r="AV38" s="22"/>
      <c r="AW38" s="7"/>
    </row>
    <row r="39" spans="1:49" ht="27" customHeight="1" x14ac:dyDescent="0.55000000000000004">
      <c r="A39" s="806"/>
      <c r="B39" s="807"/>
      <c r="C39" s="807"/>
      <c r="D39" s="807"/>
      <c r="E39" s="807"/>
      <c r="F39" s="792"/>
      <c r="G39" s="808"/>
      <c r="H39" s="809"/>
      <c r="I39" s="809"/>
      <c r="J39" s="809"/>
      <c r="K39" s="809"/>
      <c r="L39" s="809"/>
      <c r="M39" s="809"/>
      <c r="N39" s="809"/>
      <c r="O39" s="809"/>
      <c r="P39" s="809"/>
      <c r="Q39" s="809"/>
      <c r="R39" s="809"/>
      <c r="S39" s="809"/>
      <c r="T39" s="792"/>
      <c r="U39" s="808"/>
      <c r="V39" s="809"/>
      <c r="W39" s="809"/>
      <c r="X39" s="809"/>
      <c r="Y39" s="809"/>
      <c r="Z39" s="809"/>
      <c r="AA39" s="809"/>
      <c r="AB39" s="809"/>
      <c r="AC39" s="809"/>
      <c r="AD39" s="809"/>
      <c r="AE39" s="809"/>
      <c r="AF39" s="809"/>
      <c r="AG39" s="792"/>
      <c r="AH39" s="22"/>
      <c r="AI39" s="22"/>
      <c r="AJ39" s="22"/>
      <c r="AK39" s="22"/>
      <c r="AL39" s="22"/>
      <c r="AM39" s="22"/>
      <c r="AN39" s="22"/>
      <c r="AO39" s="22"/>
      <c r="AP39" s="22"/>
      <c r="AQ39" s="22"/>
      <c r="AR39" s="22"/>
      <c r="AS39" s="22"/>
      <c r="AT39" s="22"/>
      <c r="AU39" s="22"/>
      <c r="AV39" s="22"/>
      <c r="AW39" s="7"/>
    </row>
    <row r="40" spans="1:49" ht="27" customHeight="1" x14ac:dyDescent="0.55000000000000004">
      <c r="A40" s="806"/>
      <c r="B40" s="807"/>
      <c r="C40" s="807"/>
      <c r="D40" s="807"/>
      <c r="E40" s="807"/>
      <c r="F40" s="792"/>
      <c r="G40" s="808"/>
      <c r="H40" s="809"/>
      <c r="I40" s="809"/>
      <c r="J40" s="809"/>
      <c r="K40" s="809"/>
      <c r="L40" s="809"/>
      <c r="M40" s="809"/>
      <c r="N40" s="809"/>
      <c r="O40" s="809"/>
      <c r="P40" s="809"/>
      <c r="Q40" s="809"/>
      <c r="R40" s="809"/>
      <c r="S40" s="809"/>
      <c r="T40" s="792"/>
      <c r="U40" s="808"/>
      <c r="V40" s="809"/>
      <c r="W40" s="809"/>
      <c r="X40" s="809"/>
      <c r="Y40" s="809"/>
      <c r="Z40" s="809"/>
      <c r="AA40" s="809"/>
      <c r="AB40" s="809"/>
      <c r="AC40" s="809"/>
      <c r="AD40" s="809"/>
      <c r="AE40" s="809"/>
      <c r="AF40" s="809"/>
      <c r="AG40" s="792"/>
      <c r="AH40" s="22"/>
      <c r="AI40" s="22"/>
      <c r="AJ40" s="22"/>
      <c r="AK40" s="22"/>
      <c r="AL40" s="22"/>
      <c r="AM40" s="22"/>
      <c r="AN40" s="22"/>
      <c r="AO40" s="22"/>
      <c r="AP40" s="22"/>
      <c r="AQ40" s="22"/>
      <c r="AR40" s="22"/>
      <c r="AS40" s="22"/>
      <c r="AT40" s="22"/>
      <c r="AU40" s="22"/>
      <c r="AV40" s="22"/>
      <c r="AW40" s="7"/>
    </row>
    <row r="41" spans="1:49" ht="27" customHeight="1" x14ac:dyDescent="0.55000000000000004">
      <c r="A41" s="816" t="s">
        <v>1672</v>
      </c>
      <c r="B41" s="817"/>
      <c r="C41" s="817"/>
      <c r="D41" s="817"/>
      <c r="E41" s="817"/>
      <c r="F41" s="833"/>
      <c r="G41" s="819" t="s">
        <v>1673</v>
      </c>
      <c r="H41" s="820"/>
      <c r="I41" s="820"/>
      <c r="J41" s="820"/>
      <c r="K41" s="820"/>
      <c r="L41" s="820"/>
      <c r="M41" s="820"/>
      <c r="N41" s="820"/>
      <c r="O41" s="820"/>
      <c r="P41" s="820"/>
      <c r="Q41" s="820"/>
      <c r="R41" s="820"/>
      <c r="S41" s="820"/>
      <c r="T41" s="833"/>
      <c r="U41" s="819" t="s">
        <v>1674</v>
      </c>
      <c r="V41" s="820"/>
      <c r="W41" s="820"/>
      <c r="X41" s="820"/>
      <c r="Y41" s="820"/>
      <c r="Z41" s="820"/>
      <c r="AA41" s="820"/>
      <c r="AB41" s="820"/>
      <c r="AC41" s="820"/>
      <c r="AD41" s="820"/>
      <c r="AE41" s="820"/>
      <c r="AF41" s="820"/>
      <c r="AG41" s="818"/>
      <c r="AH41" s="22"/>
      <c r="AI41" s="22"/>
      <c r="AJ41" s="22"/>
      <c r="AK41" s="22"/>
      <c r="AL41" s="22"/>
      <c r="AM41" s="22"/>
      <c r="AN41" s="22"/>
      <c r="AO41" s="22"/>
      <c r="AP41" s="22"/>
      <c r="AQ41" s="22"/>
      <c r="AR41" s="22"/>
      <c r="AS41" s="22"/>
      <c r="AT41" s="22"/>
      <c r="AU41" s="22"/>
      <c r="AV41" s="22"/>
      <c r="AW41" s="7"/>
    </row>
    <row r="42" spans="1:49" ht="27" customHeight="1" x14ac:dyDescent="0.55000000000000004">
      <c r="A42" s="816"/>
      <c r="B42" s="817"/>
      <c r="C42" s="817"/>
      <c r="D42" s="817"/>
      <c r="E42" s="817"/>
      <c r="F42" s="833"/>
      <c r="G42" s="819"/>
      <c r="H42" s="820"/>
      <c r="I42" s="820"/>
      <c r="J42" s="820"/>
      <c r="K42" s="820"/>
      <c r="L42" s="820"/>
      <c r="M42" s="820"/>
      <c r="N42" s="820"/>
      <c r="O42" s="820"/>
      <c r="P42" s="820"/>
      <c r="Q42" s="820"/>
      <c r="R42" s="820"/>
      <c r="S42" s="820"/>
      <c r="T42" s="833"/>
      <c r="U42" s="819"/>
      <c r="V42" s="820"/>
      <c r="W42" s="820"/>
      <c r="X42" s="820"/>
      <c r="Y42" s="820"/>
      <c r="Z42" s="820"/>
      <c r="AA42" s="820"/>
      <c r="AB42" s="820"/>
      <c r="AC42" s="820"/>
      <c r="AD42" s="820"/>
      <c r="AE42" s="820"/>
      <c r="AF42" s="820"/>
      <c r="AG42" s="818"/>
      <c r="AH42" s="22"/>
      <c r="AI42" s="22"/>
      <c r="AJ42" s="22"/>
      <c r="AK42" s="22"/>
      <c r="AL42" s="22"/>
      <c r="AM42" s="22"/>
      <c r="AN42" s="22"/>
      <c r="AO42" s="22"/>
      <c r="AP42" s="22"/>
      <c r="AQ42" s="22"/>
      <c r="AR42" s="22"/>
      <c r="AS42" s="22"/>
      <c r="AT42" s="22"/>
      <c r="AU42" s="22"/>
      <c r="AV42" s="22"/>
      <c r="AW42" s="7"/>
    </row>
    <row r="43" spans="1:49" ht="27" customHeight="1" x14ac:dyDescent="0.55000000000000004">
      <c r="A43" s="816"/>
      <c r="B43" s="817"/>
      <c r="C43" s="817"/>
      <c r="D43" s="817"/>
      <c r="E43" s="817"/>
      <c r="F43" s="833"/>
      <c r="G43" s="819"/>
      <c r="H43" s="820"/>
      <c r="I43" s="820"/>
      <c r="J43" s="820"/>
      <c r="K43" s="820"/>
      <c r="L43" s="820"/>
      <c r="M43" s="820"/>
      <c r="N43" s="820"/>
      <c r="O43" s="820"/>
      <c r="P43" s="820"/>
      <c r="Q43" s="820"/>
      <c r="R43" s="820"/>
      <c r="S43" s="820"/>
      <c r="T43" s="833"/>
      <c r="U43" s="819"/>
      <c r="V43" s="820"/>
      <c r="W43" s="820"/>
      <c r="X43" s="820"/>
      <c r="Y43" s="820"/>
      <c r="Z43" s="820"/>
      <c r="AA43" s="820"/>
      <c r="AB43" s="820"/>
      <c r="AC43" s="820"/>
      <c r="AD43" s="820"/>
      <c r="AE43" s="820"/>
      <c r="AF43" s="820"/>
      <c r="AG43" s="818"/>
      <c r="AH43" s="22"/>
      <c r="AI43" s="22"/>
      <c r="AJ43" s="22"/>
      <c r="AK43" s="22"/>
      <c r="AL43" s="22"/>
      <c r="AM43" s="22"/>
      <c r="AN43" s="22"/>
      <c r="AO43" s="22"/>
      <c r="AP43" s="22"/>
      <c r="AQ43" s="22"/>
      <c r="AR43" s="22"/>
      <c r="AS43" s="22"/>
      <c r="AT43" s="22"/>
      <c r="AU43" s="22"/>
      <c r="AV43" s="22"/>
      <c r="AW43" s="7"/>
    </row>
    <row r="44" spans="1:49" ht="27" customHeight="1" x14ac:dyDescent="0.55000000000000004">
      <c r="A44" s="816"/>
      <c r="B44" s="817"/>
      <c r="C44" s="817"/>
      <c r="D44" s="817"/>
      <c r="E44" s="817"/>
      <c r="F44" s="833"/>
      <c r="G44" s="819"/>
      <c r="H44" s="820"/>
      <c r="I44" s="820"/>
      <c r="J44" s="820"/>
      <c r="K44" s="820"/>
      <c r="L44" s="820"/>
      <c r="M44" s="820"/>
      <c r="N44" s="820"/>
      <c r="O44" s="820"/>
      <c r="P44" s="820"/>
      <c r="Q44" s="820"/>
      <c r="R44" s="820"/>
      <c r="S44" s="820"/>
      <c r="T44" s="833"/>
      <c r="U44" s="819"/>
      <c r="V44" s="820"/>
      <c r="W44" s="820"/>
      <c r="X44" s="820"/>
      <c r="Y44" s="820"/>
      <c r="Z44" s="820"/>
      <c r="AA44" s="820"/>
      <c r="AB44" s="820"/>
      <c r="AC44" s="820"/>
      <c r="AD44" s="820"/>
      <c r="AE44" s="820"/>
      <c r="AF44" s="820"/>
      <c r="AG44" s="818"/>
      <c r="AH44" s="22"/>
      <c r="AI44" s="22"/>
      <c r="AJ44" s="22"/>
      <c r="AK44" s="22"/>
      <c r="AL44" s="22"/>
      <c r="AM44" s="22"/>
      <c r="AN44" s="22"/>
      <c r="AO44" s="22"/>
      <c r="AP44" s="22"/>
      <c r="AQ44" s="22"/>
      <c r="AR44" s="22"/>
      <c r="AS44" s="22"/>
      <c r="AT44" s="22"/>
      <c r="AU44" s="22"/>
      <c r="AV44" s="22"/>
      <c r="AW44" s="7"/>
    </row>
    <row r="45" spans="1:49" ht="27" customHeight="1" x14ac:dyDescent="0.55000000000000004">
      <c r="A45" s="821" t="s">
        <v>114</v>
      </c>
      <c r="B45" s="822"/>
      <c r="C45" s="822"/>
      <c r="D45" s="822"/>
      <c r="E45" s="822"/>
      <c r="F45" s="822"/>
      <c r="G45" s="821" t="s">
        <v>1</v>
      </c>
      <c r="H45" s="822"/>
      <c r="I45" s="822"/>
      <c r="J45" s="822"/>
      <c r="K45" s="822"/>
      <c r="L45" s="822"/>
      <c r="M45" s="822"/>
      <c r="N45" s="822"/>
      <c r="O45" s="822"/>
      <c r="P45" s="822"/>
      <c r="Q45" s="822"/>
      <c r="R45" s="822"/>
      <c r="S45" s="822"/>
      <c r="T45" s="823"/>
      <c r="U45" s="821" t="s">
        <v>1648</v>
      </c>
      <c r="V45" s="822"/>
      <c r="W45" s="822"/>
      <c r="X45" s="822"/>
      <c r="Y45" s="822"/>
      <c r="Z45" s="822"/>
      <c r="AA45" s="822"/>
      <c r="AB45" s="822"/>
      <c r="AC45" s="822"/>
      <c r="AD45" s="822"/>
      <c r="AE45" s="822"/>
      <c r="AF45" s="822"/>
      <c r="AG45" s="823"/>
      <c r="AH45" s="22"/>
      <c r="AI45" s="22"/>
      <c r="AJ45" s="22"/>
      <c r="AK45" s="22"/>
      <c r="AL45" s="22"/>
      <c r="AM45" s="22"/>
      <c r="AN45" s="22"/>
      <c r="AO45" s="22"/>
      <c r="AP45" s="22"/>
      <c r="AQ45" s="22"/>
      <c r="AR45" s="22"/>
      <c r="AS45" s="22"/>
      <c r="AT45" s="22"/>
      <c r="AU45" s="22"/>
      <c r="AV45" s="22"/>
      <c r="AW45" s="7"/>
    </row>
    <row r="46" spans="1:49" ht="27" customHeight="1" x14ac:dyDescent="0.55000000000000004">
      <c r="A46" s="816" t="s">
        <v>151</v>
      </c>
      <c r="B46" s="817"/>
      <c r="C46" s="817"/>
      <c r="D46" s="817"/>
      <c r="E46" s="817"/>
      <c r="F46" s="818"/>
      <c r="G46" s="819" t="s">
        <v>1675</v>
      </c>
      <c r="H46" s="820"/>
      <c r="I46" s="820"/>
      <c r="J46" s="820"/>
      <c r="K46" s="820"/>
      <c r="L46" s="820"/>
      <c r="M46" s="820"/>
      <c r="N46" s="820"/>
      <c r="O46" s="820"/>
      <c r="P46" s="820"/>
      <c r="Q46" s="820"/>
      <c r="R46" s="820"/>
      <c r="S46" s="820"/>
      <c r="T46" s="818"/>
      <c r="U46" s="819"/>
      <c r="V46" s="820"/>
      <c r="W46" s="820"/>
      <c r="X46" s="820"/>
      <c r="Y46" s="820"/>
      <c r="Z46" s="820"/>
      <c r="AA46" s="820"/>
      <c r="AB46" s="820"/>
      <c r="AC46" s="820"/>
      <c r="AD46" s="820"/>
      <c r="AE46" s="820"/>
      <c r="AF46" s="820"/>
      <c r="AG46" s="818"/>
      <c r="AH46" s="22"/>
      <c r="AI46" s="22"/>
      <c r="AJ46" s="22"/>
      <c r="AK46" s="22"/>
      <c r="AL46" s="22"/>
      <c r="AM46" s="22"/>
      <c r="AN46" s="22"/>
      <c r="AO46" s="22"/>
      <c r="AP46" s="22"/>
      <c r="AQ46" s="22"/>
      <c r="AR46" s="22"/>
      <c r="AS46" s="22"/>
      <c r="AT46" s="22"/>
      <c r="AU46" s="22"/>
      <c r="AV46" s="22"/>
      <c r="AW46" s="7"/>
    </row>
    <row r="47" spans="1:49" ht="27" customHeight="1" x14ac:dyDescent="0.55000000000000004">
      <c r="A47" s="816"/>
      <c r="B47" s="817"/>
      <c r="C47" s="817"/>
      <c r="D47" s="817"/>
      <c r="E47" s="817"/>
      <c r="F47" s="818"/>
      <c r="G47" s="819"/>
      <c r="H47" s="820"/>
      <c r="I47" s="820"/>
      <c r="J47" s="820"/>
      <c r="K47" s="820"/>
      <c r="L47" s="820"/>
      <c r="M47" s="820"/>
      <c r="N47" s="820"/>
      <c r="O47" s="820"/>
      <c r="P47" s="820"/>
      <c r="Q47" s="820"/>
      <c r="R47" s="820"/>
      <c r="S47" s="820"/>
      <c r="T47" s="818"/>
      <c r="U47" s="819"/>
      <c r="V47" s="820"/>
      <c r="W47" s="820"/>
      <c r="X47" s="820"/>
      <c r="Y47" s="820"/>
      <c r="Z47" s="820"/>
      <c r="AA47" s="820"/>
      <c r="AB47" s="820"/>
      <c r="AC47" s="820"/>
      <c r="AD47" s="820"/>
      <c r="AE47" s="820"/>
      <c r="AF47" s="820"/>
      <c r="AG47" s="818"/>
      <c r="AH47" s="22"/>
      <c r="AI47" s="22"/>
      <c r="AJ47" s="22"/>
      <c r="AK47" s="22"/>
      <c r="AL47" s="22"/>
      <c r="AM47" s="22"/>
      <c r="AN47" s="22"/>
      <c r="AO47" s="22"/>
      <c r="AP47" s="22"/>
      <c r="AQ47" s="22"/>
      <c r="AR47" s="22"/>
      <c r="AS47" s="22"/>
      <c r="AT47" s="22"/>
      <c r="AU47" s="22"/>
      <c r="AV47" s="22"/>
      <c r="AW47" s="7"/>
    </row>
    <row r="48" spans="1:49" ht="27" customHeight="1" x14ac:dyDescent="0.55000000000000004">
      <c r="A48" s="816"/>
      <c r="B48" s="817"/>
      <c r="C48" s="817"/>
      <c r="D48" s="817"/>
      <c r="E48" s="817"/>
      <c r="F48" s="818"/>
      <c r="G48" s="819"/>
      <c r="H48" s="820"/>
      <c r="I48" s="820"/>
      <c r="J48" s="820"/>
      <c r="K48" s="820"/>
      <c r="L48" s="820"/>
      <c r="M48" s="820"/>
      <c r="N48" s="820"/>
      <c r="O48" s="820"/>
      <c r="P48" s="820"/>
      <c r="Q48" s="820"/>
      <c r="R48" s="820"/>
      <c r="S48" s="820"/>
      <c r="T48" s="818"/>
      <c r="U48" s="819"/>
      <c r="V48" s="820"/>
      <c r="W48" s="820"/>
      <c r="X48" s="820"/>
      <c r="Y48" s="820"/>
      <c r="Z48" s="820"/>
      <c r="AA48" s="820"/>
      <c r="AB48" s="820"/>
      <c r="AC48" s="820"/>
      <c r="AD48" s="820"/>
      <c r="AE48" s="820"/>
      <c r="AF48" s="820"/>
      <c r="AG48" s="818"/>
      <c r="AH48" s="22"/>
      <c r="AI48" s="22"/>
      <c r="AJ48" s="22"/>
      <c r="AK48" s="22"/>
      <c r="AL48" s="22"/>
      <c r="AM48" s="22"/>
      <c r="AN48" s="22"/>
      <c r="AO48" s="22"/>
      <c r="AP48" s="22"/>
      <c r="AQ48" s="22"/>
      <c r="AR48" s="22"/>
      <c r="AS48" s="22"/>
      <c r="AT48" s="22"/>
      <c r="AU48" s="22"/>
      <c r="AV48" s="22"/>
      <c r="AW48" s="7"/>
    </row>
    <row r="49" spans="1:49" ht="27" customHeight="1" x14ac:dyDescent="0.55000000000000004">
      <c r="A49" s="806" t="s">
        <v>146</v>
      </c>
      <c r="B49" s="807"/>
      <c r="C49" s="807"/>
      <c r="D49" s="807"/>
      <c r="E49" s="807"/>
      <c r="F49" s="792"/>
      <c r="G49" s="808" t="s">
        <v>1676</v>
      </c>
      <c r="H49" s="809"/>
      <c r="I49" s="809"/>
      <c r="J49" s="809"/>
      <c r="K49" s="809"/>
      <c r="L49" s="809"/>
      <c r="M49" s="809"/>
      <c r="N49" s="809"/>
      <c r="O49" s="809"/>
      <c r="P49" s="809"/>
      <c r="Q49" s="809"/>
      <c r="R49" s="809"/>
      <c r="S49" s="809"/>
      <c r="T49" s="792"/>
      <c r="U49" s="808"/>
      <c r="V49" s="809"/>
      <c r="W49" s="809"/>
      <c r="X49" s="809"/>
      <c r="Y49" s="809"/>
      <c r="Z49" s="809"/>
      <c r="AA49" s="809"/>
      <c r="AB49" s="809"/>
      <c r="AC49" s="809"/>
      <c r="AD49" s="809"/>
      <c r="AE49" s="809"/>
      <c r="AF49" s="809"/>
      <c r="AG49" s="792"/>
      <c r="AH49" s="22"/>
      <c r="AI49" s="22"/>
      <c r="AJ49" s="22"/>
      <c r="AK49" s="22"/>
      <c r="AL49" s="22"/>
      <c r="AM49" s="22"/>
      <c r="AN49" s="22"/>
      <c r="AO49" s="22"/>
      <c r="AP49" s="22"/>
      <c r="AQ49" s="22"/>
      <c r="AR49" s="22"/>
      <c r="AS49" s="22"/>
      <c r="AT49" s="22"/>
      <c r="AU49" s="22"/>
      <c r="AV49" s="22"/>
      <c r="AW49" s="7"/>
    </row>
    <row r="50" spans="1:49" ht="27" customHeight="1" x14ac:dyDescent="0.55000000000000004">
      <c r="A50" s="806"/>
      <c r="B50" s="807"/>
      <c r="C50" s="807"/>
      <c r="D50" s="807"/>
      <c r="E50" s="807"/>
      <c r="F50" s="792"/>
      <c r="G50" s="808"/>
      <c r="H50" s="809"/>
      <c r="I50" s="809"/>
      <c r="J50" s="809"/>
      <c r="K50" s="809"/>
      <c r="L50" s="809"/>
      <c r="M50" s="809"/>
      <c r="N50" s="809"/>
      <c r="O50" s="809"/>
      <c r="P50" s="809"/>
      <c r="Q50" s="809"/>
      <c r="R50" s="809"/>
      <c r="S50" s="809"/>
      <c r="T50" s="792"/>
      <c r="U50" s="808"/>
      <c r="V50" s="809"/>
      <c r="W50" s="809"/>
      <c r="X50" s="809"/>
      <c r="Y50" s="809"/>
      <c r="Z50" s="809"/>
      <c r="AA50" s="809"/>
      <c r="AB50" s="809"/>
      <c r="AC50" s="809"/>
      <c r="AD50" s="809"/>
      <c r="AE50" s="809"/>
      <c r="AF50" s="809"/>
      <c r="AG50" s="792"/>
      <c r="AH50" s="22"/>
      <c r="AI50" s="22"/>
      <c r="AJ50" s="22"/>
      <c r="AK50" s="22"/>
      <c r="AL50" s="22"/>
      <c r="AM50" s="22"/>
      <c r="AN50" s="22"/>
      <c r="AO50" s="22"/>
      <c r="AP50" s="22"/>
      <c r="AQ50" s="22"/>
      <c r="AR50" s="22"/>
      <c r="AS50" s="22"/>
      <c r="AT50" s="22"/>
      <c r="AU50" s="22"/>
      <c r="AV50" s="22"/>
      <c r="AW50" s="7"/>
    </row>
    <row r="51" spans="1:49" ht="27" customHeight="1" x14ac:dyDescent="0.55000000000000004">
      <c r="A51" s="816" t="s">
        <v>851</v>
      </c>
      <c r="B51" s="817"/>
      <c r="C51" s="817"/>
      <c r="D51" s="817"/>
      <c r="E51" s="817"/>
      <c r="F51" s="818"/>
      <c r="G51" s="819" t="s">
        <v>1677</v>
      </c>
      <c r="H51" s="820"/>
      <c r="I51" s="820"/>
      <c r="J51" s="820"/>
      <c r="K51" s="820"/>
      <c r="L51" s="820"/>
      <c r="M51" s="820"/>
      <c r="N51" s="820"/>
      <c r="O51" s="820"/>
      <c r="P51" s="820"/>
      <c r="Q51" s="820"/>
      <c r="R51" s="820"/>
      <c r="S51" s="820"/>
      <c r="T51" s="818"/>
      <c r="U51" s="819"/>
      <c r="V51" s="820"/>
      <c r="W51" s="820"/>
      <c r="X51" s="820"/>
      <c r="Y51" s="820"/>
      <c r="Z51" s="820"/>
      <c r="AA51" s="820"/>
      <c r="AB51" s="820"/>
      <c r="AC51" s="820"/>
      <c r="AD51" s="820"/>
      <c r="AE51" s="820"/>
      <c r="AF51" s="820"/>
      <c r="AG51" s="818"/>
      <c r="AH51" s="22"/>
      <c r="AI51" s="22"/>
      <c r="AJ51" s="22"/>
      <c r="AK51" s="22"/>
      <c r="AL51" s="22"/>
      <c r="AM51" s="22"/>
      <c r="AN51" s="22"/>
      <c r="AO51" s="22"/>
      <c r="AP51" s="22"/>
      <c r="AQ51" s="22"/>
      <c r="AR51" s="22"/>
      <c r="AS51" s="22"/>
      <c r="AT51" s="22"/>
      <c r="AU51" s="22"/>
      <c r="AV51" s="22"/>
      <c r="AW51" s="7"/>
    </row>
    <row r="52" spans="1:49" ht="27" customHeight="1" x14ac:dyDescent="0.55000000000000004">
      <c r="A52" s="816"/>
      <c r="B52" s="817"/>
      <c r="C52" s="817"/>
      <c r="D52" s="817"/>
      <c r="E52" s="817"/>
      <c r="F52" s="818"/>
      <c r="G52" s="819"/>
      <c r="H52" s="820"/>
      <c r="I52" s="820"/>
      <c r="J52" s="820"/>
      <c r="K52" s="820"/>
      <c r="L52" s="820"/>
      <c r="M52" s="820"/>
      <c r="N52" s="820"/>
      <c r="O52" s="820"/>
      <c r="P52" s="820"/>
      <c r="Q52" s="820"/>
      <c r="R52" s="820"/>
      <c r="S52" s="820"/>
      <c r="T52" s="818"/>
      <c r="U52" s="819"/>
      <c r="V52" s="820"/>
      <c r="W52" s="820"/>
      <c r="X52" s="820"/>
      <c r="Y52" s="820"/>
      <c r="Z52" s="820"/>
      <c r="AA52" s="820"/>
      <c r="AB52" s="820"/>
      <c r="AC52" s="820"/>
      <c r="AD52" s="820"/>
      <c r="AE52" s="820"/>
      <c r="AF52" s="820"/>
      <c r="AG52" s="818"/>
      <c r="AH52" s="22"/>
      <c r="AI52" s="22"/>
      <c r="AJ52" s="22"/>
      <c r="AK52" s="22"/>
      <c r="AL52" s="22"/>
      <c r="AM52" s="22"/>
      <c r="AN52" s="22"/>
      <c r="AO52" s="22"/>
      <c r="AP52" s="22"/>
      <c r="AQ52" s="22"/>
      <c r="AR52" s="22"/>
      <c r="AS52" s="22"/>
      <c r="AT52" s="22"/>
      <c r="AU52" s="22"/>
      <c r="AV52" s="22"/>
      <c r="AW52" s="7"/>
    </row>
    <row r="53" spans="1:49" ht="27" customHeight="1" x14ac:dyDescent="0.55000000000000004">
      <c r="A53" s="816"/>
      <c r="B53" s="817"/>
      <c r="C53" s="817"/>
      <c r="D53" s="817"/>
      <c r="E53" s="817"/>
      <c r="F53" s="818"/>
      <c r="G53" s="819"/>
      <c r="H53" s="820"/>
      <c r="I53" s="820"/>
      <c r="J53" s="820"/>
      <c r="K53" s="820"/>
      <c r="L53" s="820"/>
      <c r="M53" s="820"/>
      <c r="N53" s="820"/>
      <c r="O53" s="820"/>
      <c r="P53" s="820"/>
      <c r="Q53" s="820"/>
      <c r="R53" s="820"/>
      <c r="S53" s="820"/>
      <c r="T53" s="818"/>
      <c r="U53" s="819"/>
      <c r="V53" s="820"/>
      <c r="W53" s="820"/>
      <c r="X53" s="820"/>
      <c r="Y53" s="820"/>
      <c r="Z53" s="820"/>
      <c r="AA53" s="820"/>
      <c r="AB53" s="820"/>
      <c r="AC53" s="820"/>
      <c r="AD53" s="820"/>
      <c r="AE53" s="820"/>
      <c r="AF53" s="820"/>
      <c r="AG53" s="818"/>
      <c r="AH53" s="22"/>
      <c r="AI53" s="22"/>
      <c r="AJ53" s="22"/>
      <c r="AK53" s="22"/>
      <c r="AL53" s="22"/>
      <c r="AM53" s="22"/>
      <c r="AN53" s="22"/>
      <c r="AO53" s="22"/>
      <c r="AP53" s="22"/>
      <c r="AQ53" s="22"/>
      <c r="AR53" s="22"/>
      <c r="AS53" s="22"/>
      <c r="AT53" s="22"/>
      <c r="AU53" s="22"/>
      <c r="AV53" s="22"/>
      <c r="AW53" s="7"/>
    </row>
    <row r="54" spans="1:49" ht="27" customHeight="1" x14ac:dyDescent="0.55000000000000004">
      <c r="A54" s="806" t="s">
        <v>115</v>
      </c>
      <c r="B54" s="807"/>
      <c r="C54" s="807"/>
      <c r="D54" s="807"/>
      <c r="E54" s="807"/>
      <c r="F54" s="792"/>
      <c r="G54" s="808" t="s">
        <v>1678</v>
      </c>
      <c r="H54" s="809"/>
      <c r="I54" s="809"/>
      <c r="J54" s="809"/>
      <c r="K54" s="809"/>
      <c r="L54" s="809"/>
      <c r="M54" s="809"/>
      <c r="N54" s="809"/>
      <c r="O54" s="809"/>
      <c r="P54" s="809"/>
      <c r="Q54" s="809"/>
      <c r="R54" s="809"/>
      <c r="S54" s="809"/>
      <c r="T54" s="792"/>
      <c r="U54" s="808" t="s">
        <v>1679</v>
      </c>
      <c r="V54" s="809"/>
      <c r="W54" s="809"/>
      <c r="X54" s="809"/>
      <c r="Y54" s="809"/>
      <c r="Z54" s="809"/>
      <c r="AA54" s="809"/>
      <c r="AB54" s="809"/>
      <c r="AC54" s="809"/>
      <c r="AD54" s="809"/>
      <c r="AE54" s="809"/>
      <c r="AF54" s="809"/>
      <c r="AG54" s="792"/>
      <c r="AH54" s="22"/>
      <c r="AI54" s="22"/>
      <c r="AJ54" s="22"/>
      <c r="AK54" s="22"/>
      <c r="AL54" s="22"/>
      <c r="AM54" s="22"/>
      <c r="AN54" s="22"/>
      <c r="AO54" s="22"/>
      <c r="AP54" s="22"/>
      <c r="AQ54" s="22"/>
      <c r="AR54" s="22"/>
      <c r="AS54" s="22"/>
      <c r="AT54" s="22"/>
      <c r="AU54" s="22"/>
      <c r="AV54" s="22"/>
      <c r="AW54" s="7"/>
    </row>
    <row r="55" spans="1:49" ht="27" customHeight="1" x14ac:dyDescent="0.55000000000000004">
      <c r="A55" s="806"/>
      <c r="B55" s="807"/>
      <c r="C55" s="807"/>
      <c r="D55" s="807"/>
      <c r="E55" s="807"/>
      <c r="F55" s="792"/>
      <c r="G55" s="808"/>
      <c r="H55" s="809"/>
      <c r="I55" s="809"/>
      <c r="J55" s="809"/>
      <c r="K55" s="809"/>
      <c r="L55" s="809"/>
      <c r="M55" s="809"/>
      <c r="N55" s="809"/>
      <c r="O55" s="809"/>
      <c r="P55" s="809"/>
      <c r="Q55" s="809"/>
      <c r="R55" s="809"/>
      <c r="S55" s="809"/>
      <c r="T55" s="792"/>
      <c r="U55" s="808"/>
      <c r="V55" s="809"/>
      <c r="W55" s="809"/>
      <c r="X55" s="809"/>
      <c r="Y55" s="809"/>
      <c r="Z55" s="809"/>
      <c r="AA55" s="809"/>
      <c r="AB55" s="809"/>
      <c r="AC55" s="809"/>
      <c r="AD55" s="809"/>
      <c r="AE55" s="809"/>
      <c r="AF55" s="809"/>
      <c r="AG55" s="792"/>
      <c r="AH55" s="22"/>
      <c r="AI55" s="22"/>
      <c r="AJ55" s="22"/>
      <c r="AK55" s="22"/>
      <c r="AL55" s="22"/>
      <c r="AM55" s="22"/>
      <c r="AN55" s="22"/>
      <c r="AO55" s="22"/>
      <c r="AP55" s="22"/>
      <c r="AQ55" s="22"/>
      <c r="AR55" s="22"/>
      <c r="AS55" s="22"/>
      <c r="AT55" s="22"/>
      <c r="AU55" s="22"/>
      <c r="AV55" s="22"/>
      <c r="AW55" s="7"/>
    </row>
    <row r="56" spans="1:49" ht="27" customHeight="1" x14ac:dyDescent="0.55000000000000004">
      <c r="A56" s="806"/>
      <c r="B56" s="807"/>
      <c r="C56" s="807"/>
      <c r="D56" s="807"/>
      <c r="E56" s="807"/>
      <c r="F56" s="792"/>
      <c r="G56" s="808"/>
      <c r="H56" s="809"/>
      <c r="I56" s="809"/>
      <c r="J56" s="809"/>
      <c r="K56" s="809"/>
      <c r="L56" s="809"/>
      <c r="M56" s="809"/>
      <c r="N56" s="809"/>
      <c r="O56" s="809"/>
      <c r="P56" s="809"/>
      <c r="Q56" s="809"/>
      <c r="R56" s="809"/>
      <c r="S56" s="809"/>
      <c r="T56" s="792"/>
      <c r="U56" s="808"/>
      <c r="V56" s="809"/>
      <c r="W56" s="809"/>
      <c r="X56" s="809"/>
      <c r="Y56" s="809"/>
      <c r="Z56" s="809"/>
      <c r="AA56" s="809"/>
      <c r="AB56" s="809"/>
      <c r="AC56" s="809"/>
      <c r="AD56" s="809"/>
      <c r="AE56" s="809"/>
      <c r="AF56" s="809"/>
      <c r="AG56" s="792"/>
      <c r="AH56" s="22"/>
      <c r="AI56" s="22"/>
      <c r="AJ56" s="22"/>
      <c r="AK56" s="22"/>
      <c r="AL56" s="22"/>
      <c r="AM56" s="22"/>
      <c r="AN56" s="22"/>
      <c r="AO56" s="22"/>
      <c r="AP56" s="22"/>
      <c r="AQ56" s="22"/>
      <c r="AR56" s="22"/>
      <c r="AS56" s="22"/>
      <c r="AT56" s="22"/>
      <c r="AU56" s="22"/>
      <c r="AV56" s="22"/>
      <c r="AW56" s="7"/>
    </row>
    <row r="57" spans="1:49" ht="27" customHeight="1" x14ac:dyDescent="0.55000000000000004">
      <c r="A57" s="806"/>
      <c r="B57" s="807"/>
      <c r="C57" s="807"/>
      <c r="D57" s="807"/>
      <c r="E57" s="807"/>
      <c r="F57" s="792"/>
      <c r="G57" s="808"/>
      <c r="H57" s="809"/>
      <c r="I57" s="809"/>
      <c r="J57" s="809"/>
      <c r="K57" s="809"/>
      <c r="L57" s="809"/>
      <c r="M57" s="809"/>
      <c r="N57" s="809"/>
      <c r="O57" s="809"/>
      <c r="P57" s="809"/>
      <c r="Q57" s="809"/>
      <c r="R57" s="809"/>
      <c r="S57" s="809"/>
      <c r="T57" s="792"/>
      <c r="U57" s="808"/>
      <c r="V57" s="809"/>
      <c r="W57" s="809"/>
      <c r="X57" s="809"/>
      <c r="Y57" s="809"/>
      <c r="Z57" s="809"/>
      <c r="AA57" s="809"/>
      <c r="AB57" s="809"/>
      <c r="AC57" s="809"/>
      <c r="AD57" s="809"/>
      <c r="AE57" s="809"/>
      <c r="AF57" s="809"/>
      <c r="AG57" s="792"/>
      <c r="AH57" s="22"/>
      <c r="AI57" s="22"/>
      <c r="AJ57" s="22"/>
      <c r="AK57" s="22"/>
      <c r="AL57" s="22"/>
      <c r="AM57" s="22"/>
      <c r="AN57" s="22"/>
      <c r="AO57" s="22"/>
      <c r="AP57" s="22"/>
      <c r="AQ57" s="22"/>
      <c r="AR57" s="22"/>
      <c r="AS57" s="22"/>
      <c r="AT57" s="22"/>
      <c r="AU57" s="22"/>
      <c r="AV57" s="22"/>
      <c r="AW57" s="7"/>
    </row>
    <row r="58" spans="1:49" ht="27" customHeight="1" x14ac:dyDescent="0.55000000000000004">
      <c r="A58" s="816" t="s">
        <v>116</v>
      </c>
      <c r="B58" s="817"/>
      <c r="C58" s="817"/>
      <c r="D58" s="817"/>
      <c r="E58" s="817"/>
      <c r="F58" s="818"/>
      <c r="G58" s="819" t="s">
        <v>1680</v>
      </c>
      <c r="H58" s="820"/>
      <c r="I58" s="820"/>
      <c r="J58" s="820"/>
      <c r="K58" s="820"/>
      <c r="L58" s="820"/>
      <c r="M58" s="820"/>
      <c r="N58" s="820"/>
      <c r="O58" s="820"/>
      <c r="P58" s="820"/>
      <c r="Q58" s="820"/>
      <c r="R58" s="820"/>
      <c r="S58" s="820"/>
      <c r="T58" s="818"/>
      <c r="U58" s="819" t="s">
        <v>1681</v>
      </c>
      <c r="V58" s="820"/>
      <c r="W58" s="820"/>
      <c r="X58" s="820"/>
      <c r="Y58" s="820"/>
      <c r="Z58" s="820"/>
      <c r="AA58" s="820"/>
      <c r="AB58" s="820"/>
      <c r="AC58" s="820"/>
      <c r="AD58" s="820"/>
      <c r="AE58" s="820"/>
      <c r="AF58" s="820"/>
      <c r="AG58" s="818"/>
      <c r="AH58" s="22"/>
      <c r="AI58" s="22"/>
      <c r="AJ58" s="22"/>
      <c r="AK58" s="22"/>
      <c r="AL58" s="22"/>
      <c r="AM58" s="22"/>
      <c r="AN58" s="22"/>
      <c r="AO58" s="22"/>
      <c r="AP58" s="22"/>
      <c r="AQ58" s="22"/>
      <c r="AR58" s="22"/>
      <c r="AS58" s="22"/>
      <c r="AT58" s="22"/>
      <c r="AU58" s="22"/>
      <c r="AV58" s="22"/>
      <c r="AW58" s="7"/>
    </row>
    <row r="59" spans="1:49" ht="27" customHeight="1" x14ac:dyDescent="0.55000000000000004">
      <c r="A59" s="816"/>
      <c r="B59" s="817"/>
      <c r="C59" s="817"/>
      <c r="D59" s="817"/>
      <c r="E59" s="817"/>
      <c r="F59" s="818"/>
      <c r="G59" s="819"/>
      <c r="H59" s="820"/>
      <c r="I59" s="820"/>
      <c r="J59" s="820"/>
      <c r="K59" s="820"/>
      <c r="L59" s="820"/>
      <c r="M59" s="820"/>
      <c r="N59" s="820"/>
      <c r="O59" s="820"/>
      <c r="P59" s="820"/>
      <c r="Q59" s="820"/>
      <c r="R59" s="820"/>
      <c r="S59" s="820"/>
      <c r="T59" s="818"/>
      <c r="U59" s="819"/>
      <c r="V59" s="820"/>
      <c r="W59" s="820"/>
      <c r="X59" s="820"/>
      <c r="Y59" s="820"/>
      <c r="Z59" s="820"/>
      <c r="AA59" s="820"/>
      <c r="AB59" s="820"/>
      <c r="AC59" s="820"/>
      <c r="AD59" s="820"/>
      <c r="AE59" s="820"/>
      <c r="AF59" s="820"/>
      <c r="AG59" s="818"/>
      <c r="AH59" s="22"/>
      <c r="AI59" s="22"/>
      <c r="AJ59" s="22"/>
      <c r="AK59" s="22"/>
      <c r="AL59" s="22"/>
      <c r="AM59" s="22"/>
      <c r="AN59" s="22"/>
      <c r="AO59" s="22"/>
      <c r="AP59" s="22"/>
      <c r="AQ59" s="22"/>
      <c r="AR59" s="22"/>
      <c r="AS59" s="22"/>
      <c r="AT59" s="22"/>
      <c r="AU59" s="22"/>
      <c r="AV59" s="22"/>
      <c r="AW59" s="7"/>
    </row>
    <row r="60" spans="1:49" ht="27" customHeight="1" x14ac:dyDescent="0.55000000000000004">
      <c r="A60" s="816"/>
      <c r="B60" s="817"/>
      <c r="C60" s="817"/>
      <c r="D60" s="817"/>
      <c r="E60" s="817"/>
      <c r="F60" s="818"/>
      <c r="G60" s="819"/>
      <c r="H60" s="820"/>
      <c r="I60" s="820"/>
      <c r="J60" s="820"/>
      <c r="K60" s="820"/>
      <c r="L60" s="820"/>
      <c r="M60" s="820"/>
      <c r="N60" s="820"/>
      <c r="O60" s="820"/>
      <c r="P60" s="820"/>
      <c r="Q60" s="820"/>
      <c r="R60" s="820"/>
      <c r="S60" s="820"/>
      <c r="T60" s="818"/>
      <c r="U60" s="819"/>
      <c r="V60" s="820"/>
      <c r="W60" s="820"/>
      <c r="X60" s="820"/>
      <c r="Y60" s="820"/>
      <c r="Z60" s="820"/>
      <c r="AA60" s="820"/>
      <c r="AB60" s="820"/>
      <c r="AC60" s="820"/>
      <c r="AD60" s="820"/>
      <c r="AE60" s="820"/>
      <c r="AF60" s="820"/>
      <c r="AG60" s="818"/>
      <c r="AH60" s="22"/>
      <c r="AI60" s="22"/>
      <c r="AJ60" s="22"/>
      <c r="AK60" s="22"/>
      <c r="AL60" s="22"/>
      <c r="AM60" s="22"/>
      <c r="AN60" s="22"/>
      <c r="AO60" s="22"/>
      <c r="AP60" s="22"/>
      <c r="AQ60" s="22"/>
      <c r="AR60" s="22"/>
      <c r="AS60" s="22"/>
      <c r="AT60" s="22"/>
      <c r="AU60" s="22"/>
      <c r="AV60" s="22"/>
      <c r="AW60" s="7"/>
    </row>
    <row r="61" spans="1:49" ht="27" customHeight="1" x14ac:dyDescent="0.55000000000000004">
      <c r="A61" s="816"/>
      <c r="B61" s="817"/>
      <c r="C61" s="817"/>
      <c r="D61" s="817"/>
      <c r="E61" s="817"/>
      <c r="F61" s="818"/>
      <c r="G61" s="819"/>
      <c r="H61" s="820"/>
      <c r="I61" s="820"/>
      <c r="J61" s="820"/>
      <c r="K61" s="820"/>
      <c r="L61" s="820"/>
      <c r="M61" s="820"/>
      <c r="N61" s="820"/>
      <c r="O61" s="820"/>
      <c r="P61" s="820"/>
      <c r="Q61" s="820"/>
      <c r="R61" s="820"/>
      <c r="S61" s="820"/>
      <c r="T61" s="818"/>
      <c r="U61" s="819"/>
      <c r="V61" s="820"/>
      <c r="W61" s="820"/>
      <c r="X61" s="820"/>
      <c r="Y61" s="820"/>
      <c r="Z61" s="820"/>
      <c r="AA61" s="820"/>
      <c r="AB61" s="820"/>
      <c r="AC61" s="820"/>
      <c r="AD61" s="820"/>
      <c r="AE61" s="820"/>
      <c r="AF61" s="820"/>
      <c r="AG61" s="818"/>
      <c r="AH61" s="22"/>
      <c r="AI61" s="22"/>
      <c r="AJ61" s="22"/>
      <c r="AK61" s="22"/>
      <c r="AL61" s="22"/>
      <c r="AM61" s="22"/>
      <c r="AN61" s="22"/>
      <c r="AO61" s="22"/>
      <c r="AP61" s="22"/>
      <c r="AQ61" s="22"/>
      <c r="AR61" s="22"/>
      <c r="AS61" s="22"/>
      <c r="AT61" s="22"/>
      <c r="AU61" s="22"/>
      <c r="AV61" s="22"/>
      <c r="AW61" s="7"/>
    </row>
    <row r="62" spans="1:49" ht="27" customHeight="1" x14ac:dyDescent="0.55000000000000004">
      <c r="A62" s="816"/>
      <c r="B62" s="817"/>
      <c r="C62" s="817"/>
      <c r="D62" s="817"/>
      <c r="E62" s="817"/>
      <c r="F62" s="818"/>
      <c r="G62" s="819"/>
      <c r="H62" s="820"/>
      <c r="I62" s="820"/>
      <c r="J62" s="820"/>
      <c r="K62" s="820"/>
      <c r="L62" s="820"/>
      <c r="M62" s="820"/>
      <c r="N62" s="820"/>
      <c r="O62" s="820"/>
      <c r="P62" s="820"/>
      <c r="Q62" s="820"/>
      <c r="R62" s="820"/>
      <c r="S62" s="820"/>
      <c r="T62" s="818"/>
      <c r="U62" s="819"/>
      <c r="V62" s="820"/>
      <c r="W62" s="820"/>
      <c r="X62" s="820"/>
      <c r="Y62" s="820"/>
      <c r="Z62" s="820"/>
      <c r="AA62" s="820"/>
      <c r="AB62" s="820"/>
      <c r="AC62" s="820"/>
      <c r="AD62" s="820"/>
      <c r="AE62" s="820"/>
      <c r="AF62" s="820"/>
      <c r="AG62" s="818"/>
      <c r="AH62" s="22"/>
      <c r="AI62" s="22"/>
      <c r="AJ62" s="22"/>
      <c r="AK62" s="22"/>
      <c r="AL62" s="22"/>
      <c r="AM62" s="22"/>
      <c r="AN62" s="22"/>
      <c r="AO62" s="22"/>
      <c r="AP62" s="22"/>
      <c r="AQ62" s="22"/>
      <c r="AR62" s="22"/>
      <c r="AS62" s="22"/>
      <c r="AT62" s="22"/>
      <c r="AU62" s="22"/>
      <c r="AV62" s="22"/>
      <c r="AW62" s="7"/>
    </row>
    <row r="63" spans="1:49" ht="27" customHeight="1" x14ac:dyDescent="0.55000000000000004">
      <c r="A63" s="806" t="s">
        <v>149</v>
      </c>
      <c r="B63" s="807"/>
      <c r="C63" s="807"/>
      <c r="D63" s="807"/>
      <c r="E63" s="807"/>
      <c r="F63" s="792"/>
      <c r="G63" s="808" t="s">
        <v>1682</v>
      </c>
      <c r="H63" s="809"/>
      <c r="I63" s="809"/>
      <c r="J63" s="809"/>
      <c r="K63" s="809"/>
      <c r="L63" s="809"/>
      <c r="M63" s="809"/>
      <c r="N63" s="809"/>
      <c r="O63" s="809"/>
      <c r="P63" s="809"/>
      <c r="Q63" s="809"/>
      <c r="R63" s="809"/>
      <c r="S63" s="809"/>
      <c r="T63" s="792"/>
      <c r="U63" s="808" t="s">
        <v>1683</v>
      </c>
      <c r="V63" s="809"/>
      <c r="W63" s="809"/>
      <c r="X63" s="809"/>
      <c r="Y63" s="809"/>
      <c r="Z63" s="809"/>
      <c r="AA63" s="809"/>
      <c r="AB63" s="809"/>
      <c r="AC63" s="809"/>
      <c r="AD63" s="809"/>
      <c r="AE63" s="809"/>
      <c r="AF63" s="809"/>
      <c r="AG63" s="792"/>
      <c r="AH63" s="22"/>
      <c r="AI63" s="22"/>
      <c r="AJ63" s="22"/>
      <c r="AK63" s="22"/>
      <c r="AL63" s="22"/>
      <c r="AM63" s="22"/>
      <c r="AN63" s="22"/>
      <c r="AO63" s="22"/>
      <c r="AP63" s="22"/>
      <c r="AQ63" s="22"/>
      <c r="AR63" s="22"/>
      <c r="AS63" s="22"/>
      <c r="AT63" s="22"/>
      <c r="AU63" s="22"/>
      <c r="AV63" s="22"/>
      <c r="AW63" s="7"/>
    </row>
    <row r="64" spans="1:49" ht="27" customHeight="1" x14ac:dyDescent="0.55000000000000004">
      <c r="A64" s="806"/>
      <c r="B64" s="807"/>
      <c r="C64" s="807"/>
      <c r="D64" s="807"/>
      <c r="E64" s="807"/>
      <c r="F64" s="792"/>
      <c r="G64" s="808"/>
      <c r="H64" s="809"/>
      <c r="I64" s="809"/>
      <c r="J64" s="809"/>
      <c r="K64" s="809"/>
      <c r="L64" s="809"/>
      <c r="M64" s="809"/>
      <c r="N64" s="809"/>
      <c r="O64" s="809"/>
      <c r="P64" s="809"/>
      <c r="Q64" s="809"/>
      <c r="R64" s="809"/>
      <c r="S64" s="809"/>
      <c r="T64" s="792"/>
      <c r="U64" s="808"/>
      <c r="V64" s="809"/>
      <c r="W64" s="809"/>
      <c r="X64" s="809"/>
      <c r="Y64" s="809"/>
      <c r="Z64" s="809"/>
      <c r="AA64" s="809"/>
      <c r="AB64" s="809"/>
      <c r="AC64" s="809"/>
      <c r="AD64" s="809"/>
      <c r="AE64" s="809"/>
      <c r="AF64" s="809"/>
      <c r="AG64" s="792"/>
      <c r="AH64" s="22"/>
      <c r="AI64" s="22"/>
      <c r="AJ64" s="22"/>
      <c r="AK64" s="22"/>
      <c r="AL64" s="22"/>
      <c r="AM64" s="22"/>
      <c r="AN64" s="22"/>
      <c r="AO64" s="22"/>
      <c r="AP64" s="22"/>
      <c r="AQ64" s="22"/>
      <c r="AR64" s="22"/>
      <c r="AS64" s="22"/>
      <c r="AT64" s="22"/>
      <c r="AU64" s="22"/>
      <c r="AV64" s="22"/>
      <c r="AW64" s="7"/>
    </row>
    <row r="65" spans="1:49" ht="27" customHeight="1" x14ac:dyDescent="0.55000000000000004">
      <c r="A65" s="821" t="s">
        <v>1684</v>
      </c>
      <c r="B65" s="822"/>
      <c r="C65" s="822"/>
      <c r="D65" s="822"/>
      <c r="E65" s="822"/>
      <c r="F65" s="822"/>
      <c r="G65" s="821" t="s">
        <v>1</v>
      </c>
      <c r="H65" s="822"/>
      <c r="I65" s="822"/>
      <c r="J65" s="822"/>
      <c r="K65" s="822"/>
      <c r="L65" s="822"/>
      <c r="M65" s="822"/>
      <c r="N65" s="822"/>
      <c r="O65" s="822"/>
      <c r="P65" s="822"/>
      <c r="Q65" s="822"/>
      <c r="R65" s="822"/>
      <c r="S65" s="822"/>
      <c r="T65" s="823"/>
      <c r="U65" s="821" t="s">
        <v>1648</v>
      </c>
      <c r="V65" s="822"/>
      <c r="W65" s="822"/>
      <c r="X65" s="822"/>
      <c r="Y65" s="822"/>
      <c r="Z65" s="822"/>
      <c r="AA65" s="822"/>
      <c r="AB65" s="822"/>
      <c r="AC65" s="822"/>
      <c r="AD65" s="822"/>
      <c r="AE65" s="822"/>
      <c r="AF65" s="822"/>
      <c r="AG65" s="823"/>
      <c r="AH65" s="22"/>
      <c r="AI65" s="22"/>
      <c r="AJ65" s="22"/>
      <c r="AK65" s="22"/>
      <c r="AL65" s="22"/>
      <c r="AM65" s="22"/>
      <c r="AN65" s="22"/>
      <c r="AO65" s="22"/>
      <c r="AP65" s="22"/>
      <c r="AQ65" s="22"/>
      <c r="AR65" s="22"/>
      <c r="AS65" s="22"/>
      <c r="AT65" s="22"/>
      <c r="AU65" s="22"/>
      <c r="AV65" s="22"/>
      <c r="AW65" s="7"/>
    </row>
    <row r="66" spans="1:49" ht="27" customHeight="1" x14ac:dyDescent="0.55000000000000004">
      <c r="A66" s="816" t="s">
        <v>850</v>
      </c>
      <c r="B66" s="817"/>
      <c r="C66" s="817"/>
      <c r="D66" s="817"/>
      <c r="E66" s="817"/>
      <c r="F66" s="818"/>
      <c r="G66" s="819" t="s">
        <v>1685</v>
      </c>
      <c r="H66" s="820"/>
      <c r="I66" s="820"/>
      <c r="J66" s="820"/>
      <c r="K66" s="820"/>
      <c r="L66" s="820"/>
      <c r="M66" s="820"/>
      <c r="N66" s="820"/>
      <c r="O66" s="820"/>
      <c r="P66" s="820"/>
      <c r="Q66" s="820"/>
      <c r="R66" s="820"/>
      <c r="S66" s="820"/>
      <c r="T66" s="818"/>
      <c r="U66" s="819" t="s">
        <v>1686</v>
      </c>
      <c r="V66" s="820"/>
      <c r="W66" s="820"/>
      <c r="X66" s="820"/>
      <c r="Y66" s="820"/>
      <c r="Z66" s="820"/>
      <c r="AA66" s="820"/>
      <c r="AB66" s="820"/>
      <c r="AC66" s="820"/>
      <c r="AD66" s="820"/>
      <c r="AE66" s="820"/>
      <c r="AF66" s="820"/>
      <c r="AG66" s="818"/>
      <c r="AH66" s="22"/>
      <c r="AI66" s="22"/>
      <c r="AJ66" s="22"/>
      <c r="AK66" s="22"/>
      <c r="AL66" s="22"/>
      <c r="AM66" s="22"/>
      <c r="AN66" s="22"/>
      <c r="AO66" s="22"/>
      <c r="AP66" s="22"/>
      <c r="AQ66" s="22"/>
      <c r="AR66" s="22"/>
      <c r="AS66" s="22"/>
      <c r="AT66" s="22"/>
      <c r="AU66" s="22"/>
      <c r="AV66" s="22"/>
      <c r="AW66" s="7"/>
    </row>
    <row r="67" spans="1:49" ht="27" customHeight="1" x14ac:dyDescent="0.55000000000000004">
      <c r="A67" s="816"/>
      <c r="B67" s="817"/>
      <c r="C67" s="817"/>
      <c r="D67" s="817"/>
      <c r="E67" s="817"/>
      <c r="F67" s="818"/>
      <c r="G67" s="819"/>
      <c r="H67" s="820"/>
      <c r="I67" s="820"/>
      <c r="J67" s="820"/>
      <c r="K67" s="820"/>
      <c r="L67" s="820"/>
      <c r="M67" s="820"/>
      <c r="N67" s="820"/>
      <c r="O67" s="820"/>
      <c r="P67" s="820"/>
      <c r="Q67" s="820"/>
      <c r="R67" s="820"/>
      <c r="S67" s="820"/>
      <c r="T67" s="818"/>
      <c r="U67" s="819"/>
      <c r="V67" s="820"/>
      <c r="W67" s="820"/>
      <c r="X67" s="820"/>
      <c r="Y67" s="820"/>
      <c r="Z67" s="820"/>
      <c r="AA67" s="820"/>
      <c r="AB67" s="820"/>
      <c r="AC67" s="820"/>
      <c r="AD67" s="820"/>
      <c r="AE67" s="820"/>
      <c r="AF67" s="820"/>
      <c r="AG67" s="818"/>
      <c r="AH67" s="22"/>
      <c r="AI67" s="22"/>
      <c r="AJ67" s="22"/>
      <c r="AK67" s="22"/>
      <c r="AL67" s="22"/>
      <c r="AM67" s="22"/>
      <c r="AN67" s="22"/>
      <c r="AO67" s="22"/>
      <c r="AP67" s="22"/>
      <c r="AQ67" s="22"/>
      <c r="AR67" s="22"/>
      <c r="AS67" s="22"/>
      <c r="AT67" s="22"/>
      <c r="AU67" s="22"/>
      <c r="AV67" s="22"/>
      <c r="AW67" s="22"/>
    </row>
    <row r="68" spans="1:49" ht="27" customHeight="1" x14ac:dyDescent="0.55000000000000004">
      <c r="A68" s="816"/>
      <c r="B68" s="817"/>
      <c r="C68" s="817"/>
      <c r="D68" s="817"/>
      <c r="E68" s="817"/>
      <c r="F68" s="818"/>
      <c r="G68" s="819"/>
      <c r="H68" s="820"/>
      <c r="I68" s="820"/>
      <c r="J68" s="820"/>
      <c r="K68" s="820"/>
      <c r="L68" s="820"/>
      <c r="M68" s="820"/>
      <c r="N68" s="820"/>
      <c r="O68" s="820"/>
      <c r="P68" s="820"/>
      <c r="Q68" s="820"/>
      <c r="R68" s="820"/>
      <c r="S68" s="820"/>
      <c r="T68" s="818"/>
      <c r="U68" s="819"/>
      <c r="V68" s="820"/>
      <c r="W68" s="820"/>
      <c r="X68" s="820"/>
      <c r="Y68" s="820"/>
      <c r="Z68" s="820"/>
      <c r="AA68" s="820"/>
      <c r="AB68" s="820"/>
      <c r="AC68" s="820"/>
      <c r="AD68" s="820"/>
      <c r="AE68" s="820"/>
      <c r="AF68" s="820"/>
      <c r="AG68" s="818"/>
      <c r="AH68" s="22"/>
      <c r="AI68" s="22"/>
      <c r="AJ68" s="22"/>
      <c r="AK68" s="22"/>
      <c r="AL68" s="22"/>
      <c r="AM68" s="22"/>
      <c r="AN68" s="22"/>
      <c r="AO68" s="22"/>
      <c r="AP68" s="22"/>
      <c r="AQ68" s="22"/>
      <c r="AR68" s="22"/>
      <c r="AS68" s="22"/>
      <c r="AT68" s="22"/>
      <c r="AU68" s="22"/>
      <c r="AV68" s="22"/>
      <c r="AW68" s="22"/>
    </row>
    <row r="69" spans="1:49" ht="27" customHeight="1" x14ac:dyDescent="0.55000000000000004">
      <c r="A69" s="816"/>
      <c r="B69" s="817"/>
      <c r="C69" s="817"/>
      <c r="D69" s="817"/>
      <c r="E69" s="817"/>
      <c r="F69" s="818"/>
      <c r="G69" s="819"/>
      <c r="H69" s="820"/>
      <c r="I69" s="820"/>
      <c r="J69" s="820"/>
      <c r="K69" s="820"/>
      <c r="L69" s="820"/>
      <c r="M69" s="820"/>
      <c r="N69" s="820"/>
      <c r="O69" s="820"/>
      <c r="P69" s="820"/>
      <c r="Q69" s="820"/>
      <c r="R69" s="820"/>
      <c r="S69" s="820"/>
      <c r="T69" s="818"/>
      <c r="U69" s="819"/>
      <c r="V69" s="820"/>
      <c r="W69" s="820"/>
      <c r="X69" s="820"/>
      <c r="Y69" s="820"/>
      <c r="Z69" s="820"/>
      <c r="AA69" s="820"/>
      <c r="AB69" s="820"/>
      <c r="AC69" s="820"/>
      <c r="AD69" s="820"/>
      <c r="AE69" s="820"/>
      <c r="AF69" s="820"/>
      <c r="AG69" s="818"/>
      <c r="AH69" s="22"/>
      <c r="AI69" s="22"/>
      <c r="AJ69" s="22"/>
      <c r="AK69" s="22"/>
      <c r="AL69" s="22"/>
      <c r="AM69" s="22"/>
      <c r="AN69" s="22"/>
      <c r="AO69" s="22"/>
      <c r="AP69" s="22"/>
      <c r="AQ69" s="22"/>
      <c r="AR69" s="22"/>
      <c r="AS69" s="22"/>
      <c r="AT69" s="22"/>
      <c r="AU69" s="22"/>
      <c r="AV69" s="22"/>
      <c r="AW69" s="22"/>
    </row>
    <row r="70" spans="1:49" ht="27" customHeight="1" x14ac:dyDescent="0.55000000000000004">
      <c r="A70" s="806" t="s">
        <v>112</v>
      </c>
      <c r="B70" s="807"/>
      <c r="C70" s="807"/>
      <c r="D70" s="807"/>
      <c r="E70" s="807"/>
      <c r="F70" s="792"/>
      <c r="G70" s="808" t="s">
        <v>1687</v>
      </c>
      <c r="H70" s="809"/>
      <c r="I70" s="809"/>
      <c r="J70" s="809"/>
      <c r="K70" s="809"/>
      <c r="L70" s="809"/>
      <c r="M70" s="809"/>
      <c r="N70" s="809"/>
      <c r="O70" s="809"/>
      <c r="P70" s="809"/>
      <c r="Q70" s="809"/>
      <c r="R70" s="809"/>
      <c r="S70" s="809"/>
      <c r="T70" s="792"/>
      <c r="U70" s="808" t="s">
        <v>1688</v>
      </c>
      <c r="V70" s="809"/>
      <c r="W70" s="809"/>
      <c r="X70" s="809"/>
      <c r="Y70" s="809"/>
      <c r="Z70" s="809"/>
      <c r="AA70" s="809"/>
      <c r="AB70" s="809"/>
      <c r="AC70" s="809"/>
      <c r="AD70" s="809"/>
      <c r="AE70" s="809"/>
      <c r="AF70" s="809"/>
      <c r="AG70" s="792"/>
      <c r="AH70" s="22"/>
      <c r="AI70" s="22"/>
      <c r="AJ70" s="22"/>
      <c r="AK70" s="22"/>
      <c r="AL70" s="22"/>
      <c r="AM70" s="22"/>
      <c r="AN70" s="22"/>
      <c r="AO70" s="22"/>
      <c r="AP70" s="22"/>
      <c r="AQ70" s="22"/>
      <c r="AR70" s="22"/>
      <c r="AS70" s="22"/>
      <c r="AT70" s="22"/>
      <c r="AU70" s="22"/>
      <c r="AV70" s="22"/>
      <c r="AW70" s="22"/>
    </row>
    <row r="71" spans="1:49" ht="27" customHeight="1" x14ac:dyDescent="0.55000000000000004">
      <c r="A71" s="806"/>
      <c r="B71" s="807"/>
      <c r="C71" s="807"/>
      <c r="D71" s="807"/>
      <c r="E71" s="807"/>
      <c r="F71" s="792"/>
      <c r="G71" s="808"/>
      <c r="H71" s="809"/>
      <c r="I71" s="809"/>
      <c r="J71" s="809"/>
      <c r="K71" s="809"/>
      <c r="L71" s="809"/>
      <c r="M71" s="809"/>
      <c r="N71" s="809"/>
      <c r="O71" s="809"/>
      <c r="P71" s="809"/>
      <c r="Q71" s="809"/>
      <c r="R71" s="809"/>
      <c r="S71" s="809"/>
      <c r="T71" s="792"/>
      <c r="U71" s="808"/>
      <c r="V71" s="809"/>
      <c r="W71" s="809"/>
      <c r="X71" s="809"/>
      <c r="Y71" s="809"/>
      <c r="Z71" s="809"/>
      <c r="AA71" s="809"/>
      <c r="AB71" s="809"/>
      <c r="AC71" s="809"/>
      <c r="AD71" s="809"/>
      <c r="AE71" s="809"/>
      <c r="AF71" s="809"/>
      <c r="AG71" s="792"/>
      <c r="AH71" s="22"/>
      <c r="AI71" s="22"/>
      <c r="AJ71" s="22"/>
      <c r="AK71" s="22"/>
      <c r="AL71" s="22"/>
      <c r="AM71" s="22"/>
      <c r="AN71" s="22"/>
      <c r="AO71" s="22"/>
      <c r="AP71" s="22"/>
      <c r="AQ71" s="22"/>
      <c r="AR71" s="22"/>
      <c r="AS71" s="22"/>
      <c r="AT71" s="22"/>
      <c r="AU71" s="22"/>
      <c r="AV71" s="22"/>
      <c r="AW71" s="22"/>
    </row>
    <row r="72" spans="1:49" ht="27" customHeight="1" x14ac:dyDescent="0.55000000000000004">
      <c r="A72" s="806"/>
      <c r="B72" s="807"/>
      <c r="C72" s="807"/>
      <c r="D72" s="807"/>
      <c r="E72" s="807"/>
      <c r="F72" s="792"/>
      <c r="G72" s="808"/>
      <c r="H72" s="809"/>
      <c r="I72" s="809"/>
      <c r="J72" s="809"/>
      <c r="K72" s="809"/>
      <c r="L72" s="809"/>
      <c r="M72" s="809"/>
      <c r="N72" s="809"/>
      <c r="O72" s="809"/>
      <c r="P72" s="809"/>
      <c r="Q72" s="809"/>
      <c r="R72" s="809"/>
      <c r="S72" s="809"/>
      <c r="T72" s="792"/>
      <c r="U72" s="808"/>
      <c r="V72" s="809"/>
      <c r="W72" s="809"/>
      <c r="X72" s="809"/>
      <c r="Y72" s="809"/>
      <c r="Z72" s="809"/>
      <c r="AA72" s="809"/>
      <c r="AB72" s="809"/>
      <c r="AC72" s="809"/>
      <c r="AD72" s="809"/>
      <c r="AE72" s="809"/>
      <c r="AF72" s="809"/>
      <c r="AG72" s="792"/>
      <c r="AH72" s="22"/>
      <c r="AI72" s="22"/>
      <c r="AJ72" s="22"/>
      <c r="AK72" s="22"/>
      <c r="AL72" s="22"/>
      <c r="AM72" s="22"/>
      <c r="AN72" s="22"/>
      <c r="AO72" s="22"/>
      <c r="AP72" s="22"/>
      <c r="AQ72" s="22"/>
      <c r="AR72" s="22"/>
      <c r="AS72" s="22"/>
      <c r="AT72" s="22"/>
      <c r="AU72" s="22"/>
      <c r="AV72" s="22"/>
      <c r="AW72" s="22"/>
    </row>
    <row r="73" spans="1:49" ht="27" customHeight="1" x14ac:dyDescent="0.55000000000000004">
      <c r="A73" s="806"/>
      <c r="B73" s="807"/>
      <c r="C73" s="807"/>
      <c r="D73" s="807"/>
      <c r="E73" s="807"/>
      <c r="F73" s="792"/>
      <c r="G73" s="808"/>
      <c r="H73" s="809"/>
      <c r="I73" s="809"/>
      <c r="J73" s="809"/>
      <c r="K73" s="809"/>
      <c r="L73" s="809"/>
      <c r="M73" s="809"/>
      <c r="N73" s="809"/>
      <c r="O73" s="809"/>
      <c r="P73" s="809"/>
      <c r="Q73" s="809"/>
      <c r="R73" s="809"/>
      <c r="S73" s="809"/>
      <c r="T73" s="792"/>
      <c r="U73" s="808"/>
      <c r="V73" s="809"/>
      <c r="W73" s="809"/>
      <c r="X73" s="809"/>
      <c r="Y73" s="809"/>
      <c r="Z73" s="809"/>
      <c r="AA73" s="809"/>
      <c r="AB73" s="809"/>
      <c r="AC73" s="809"/>
      <c r="AD73" s="809"/>
      <c r="AE73" s="809"/>
      <c r="AF73" s="809"/>
      <c r="AG73" s="792"/>
      <c r="AH73" s="22"/>
      <c r="AI73" s="22"/>
      <c r="AJ73" s="22"/>
      <c r="AK73" s="22"/>
      <c r="AL73" s="22"/>
      <c r="AM73" s="22"/>
      <c r="AN73" s="22"/>
      <c r="AO73" s="22"/>
      <c r="AP73" s="22"/>
      <c r="AQ73" s="22"/>
      <c r="AR73" s="22"/>
      <c r="AS73" s="22"/>
      <c r="AT73" s="22"/>
      <c r="AU73" s="22"/>
      <c r="AV73" s="22"/>
      <c r="AW73" s="22"/>
    </row>
    <row r="74" spans="1:49" ht="27" customHeight="1" x14ac:dyDescent="0.55000000000000004">
      <c r="A74" s="816" t="s">
        <v>113</v>
      </c>
      <c r="B74" s="817"/>
      <c r="C74" s="817"/>
      <c r="D74" s="817"/>
      <c r="E74" s="817"/>
      <c r="F74" s="818"/>
      <c r="G74" s="819" t="s">
        <v>1689</v>
      </c>
      <c r="H74" s="820"/>
      <c r="I74" s="820"/>
      <c r="J74" s="820"/>
      <c r="K74" s="820"/>
      <c r="L74" s="820"/>
      <c r="M74" s="820"/>
      <c r="N74" s="820"/>
      <c r="O74" s="820"/>
      <c r="P74" s="820"/>
      <c r="Q74" s="820"/>
      <c r="R74" s="820"/>
      <c r="S74" s="820"/>
      <c r="T74" s="818"/>
      <c r="U74" s="819"/>
      <c r="V74" s="820"/>
      <c r="W74" s="820"/>
      <c r="X74" s="820"/>
      <c r="Y74" s="820"/>
      <c r="Z74" s="820"/>
      <c r="AA74" s="820"/>
      <c r="AB74" s="820"/>
      <c r="AC74" s="820"/>
      <c r="AD74" s="820"/>
      <c r="AE74" s="820"/>
      <c r="AF74" s="820"/>
      <c r="AG74" s="818"/>
      <c r="AH74" s="22"/>
      <c r="AI74" s="22"/>
      <c r="AJ74" s="22"/>
      <c r="AK74" s="22"/>
      <c r="AL74" s="22"/>
      <c r="AM74" s="22"/>
      <c r="AN74" s="22"/>
      <c r="AO74" s="22"/>
      <c r="AP74" s="22"/>
      <c r="AQ74" s="22"/>
      <c r="AR74" s="22"/>
      <c r="AS74" s="22"/>
      <c r="AT74" s="22"/>
      <c r="AU74" s="22"/>
      <c r="AV74" s="22"/>
      <c r="AW74" s="22"/>
    </row>
    <row r="75" spans="1:49" ht="27" customHeight="1" x14ac:dyDescent="0.55000000000000004">
      <c r="A75" s="816"/>
      <c r="B75" s="817"/>
      <c r="C75" s="817"/>
      <c r="D75" s="817"/>
      <c r="E75" s="817"/>
      <c r="F75" s="818"/>
      <c r="G75" s="819"/>
      <c r="H75" s="820"/>
      <c r="I75" s="820"/>
      <c r="J75" s="820"/>
      <c r="K75" s="820"/>
      <c r="L75" s="820"/>
      <c r="M75" s="820"/>
      <c r="N75" s="820"/>
      <c r="O75" s="820"/>
      <c r="P75" s="820"/>
      <c r="Q75" s="820"/>
      <c r="R75" s="820"/>
      <c r="S75" s="820"/>
      <c r="T75" s="818"/>
      <c r="U75" s="819"/>
      <c r="V75" s="820"/>
      <c r="W75" s="820"/>
      <c r="X75" s="820"/>
      <c r="Y75" s="820"/>
      <c r="Z75" s="820"/>
      <c r="AA75" s="820"/>
      <c r="AB75" s="820"/>
      <c r="AC75" s="820"/>
      <c r="AD75" s="820"/>
      <c r="AE75" s="820"/>
      <c r="AF75" s="820"/>
      <c r="AG75" s="818"/>
      <c r="AH75" s="22"/>
      <c r="AI75" s="22"/>
      <c r="AJ75" s="22"/>
      <c r="AK75" s="22"/>
      <c r="AL75" s="22"/>
      <c r="AM75" s="22"/>
      <c r="AN75" s="22"/>
      <c r="AO75" s="22"/>
      <c r="AP75" s="22"/>
      <c r="AQ75" s="22"/>
      <c r="AR75" s="22"/>
      <c r="AS75" s="22"/>
      <c r="AT75" s="22"/>
      <c r="AU75" s="22"/>
      <c r="AV75" s="22"/>
      <c r="AW75" s="22"/>
    </row>
    <row r="76" spans="1:49" ht="27" customHeight="1" x14ac:dyDescent="0.55000000000000004">
      <c r="A76" s="816"/>
      <c r="B76" s="817"/>
      <c r="C76" s="817"/>
      <c r="D76" s="817"/>
      <c r="E76" s="817"/>
      <c r="F76" s="818"/>
      <c r="G76" s="819"/>
      <c r="H76" s="820"/>
      <c r="I76" s="820"/>
      <c r="J76" s="820"/>
      <c r="K76" s="820"/>
      <c r="L76" s="820"/>
      <c r="M76" s="820"/>
      <c r="N76" s="820"/>
      <c r="O76" s="820"/>
      <c r="P76" s="820"/>
      <c r="Q76" s="820"/>
      <c r="R76" s="820"/>
      <c r="S76" s="820"/>
      <c r="T76" s="818"/>
      <c r="U76" s="819"/>
      <c r="V76" s="820"/>
      <c r="W76" s="820"/>
      <c r="X76" s="820"/>
      <c r="Y76" s="820"/>
      <c r="Z76" s="820"/>
      <c r="AA76" s="820"/>
      <c r="AB76" s="820"/>
      <c r="AC76" s="820"/>
      <c r="AD76" s="820"/>
      <c r="AE76" s="820"/>
      <c r="AF76" s="820"/>
      <c r="AG76" s="818"/>
      <c r="AH76" s="22"/>
      <c r="AI76" s="22"/>
      <c r="AJ76" s="22"/>
      <c r="AK76" s="22"/>
      <c r="AL76" s="22"/>
      <c r="AM76" s="22"/>
      <c r="AN76" s="22"/>
      <c r="AO76" s="22"/>
      <c r="AP76" s="22"/>
      <c r="AQ76" s="22"/>
      <c r="AR76" s="22"/>
      <c r="AS76" s="22"/>
      <c r="AT76" s="22"/>
      <c r="AU76" s="22"/>
      <c r="AV76" s="22"/>
      <c r="AW76" s="22"/>
    </row>
    <row r="77" spans="1:49" ht="27" customHeight="1" x14ac:dyDescent="0.55000000000000004">
      <c r="A77" s="830" t="s">
        <v>1690</v>
      </c>
      <c r="B77" s="831"/>
      <c r="C77" s="831"/>
      <c r="D77" s="831"/>
      <c r="E77" s="831"/>
      <c r="F77" s="831"/>
      <c r="G77" s="831"/>
      <c r="H77" s="831"/>
      <c r="I77" s="831"/>
      <c r="J77" s="831"/>
      <c r="K77" s="831"/>
      <c r="L77" s="831"/>
      <c r="M77" s="831"/>
      <c r="N77" s="831"/>
      <c r="O77" s="831"/>
      <c r="P77" s="831"/>
      <c r="Q77" s="831"/>
      <c r="R77" s="831"/>
      <c r="S77" s="831"/>
      <c r="T77" s="831"/>
      <c r="U77" s="831"/>
      <c r="V77" s="831"/>
      <c r="W77" s="831"/>
      <c r="X77" s="831"/>
      <c r="Y77" s="831"/>
      <c r="Z77" s="831"/>
      <c r="AA77" s="831"/>
      <c r="AB77" s="831"/>
      <c r="AC77" s="831"/>
      <c r="AD77" s="831"/>
      <c r="AE77" s="831"/>
      <c r="AF77" s="831"/>
      <c r="AG77" s="832"/>
      <c r="AH77" s="22"/>
      <c r="AI77" s="22"/>
      <c r="AJ77" s="22"/>
      <c r="AK77" s="22"/>
      <c r="AL77" s="22"/>
      <c r="AM77" s="22"/>
      <c r="AN77" s="22"/>
      <c r="AO77" s="22"/>
      <c r="AP77" s="22"/>
      <c r="AQ77" s="22"/>
      <c r="AR77" s="22"/>
      <c r="AS77" s="22"/>
      <c r="AT77" s="22"/>
      <c r="AU77" s="22"/>
      <c r="AV77" s="22"/>
      <c r="AW77" s="22"/>
    </row>
    <row r="78" spans="1:49" ht="27" customHeight="1" x14ac:dyDescent="0.55000000000000004">
      <c r="A78" s="821" t="s">
        <v>1691</v>
      </c>
      <c r="B78" s="822"/>
      <c r="C78" s="822"/>
      <c r="D78" s="822"/>
      <c r="E78" s="822"/>
      <c r="F78" s="822"/>
      <c r="G78" s="821" t="s">
        <v>1</v>
      </c>
      <c r="H78" s="822"/>
      <c r="I78" s="822"/>
      <c r="J78" s="822"/>
      <c r="K78" s="822"/>
      <c r="L78" s="822"/>
      <c r="M78" s="822"/>
      <c r="N78" s="822"/>
      <c r="O78" s="822"/>
      <c r="P78" s="822"/>
      <c r="Q78" s="822"/>
      <c r="R78" s="822"/>
      <c r="S78" s="822"/>
      <c r="T78" s="823"/>
      <c r="U78" s="821" t="s">
        <v>1648</v>
      </c>
      <c r="V78" s="822"/>
      <c r="W78" s="822"/>
      <c r="X78" s="822"/>
      <c r="Y78" s="822"/>
      <c r="Z78" s="822"/>
      <c r="AA78" s="822"/>
      <c r="AB78" s="822"/>
      <c r="AC78" s="822"/>
      <c r="AD78" s="822"/>
      <c r="AE78" s="822"/>
      <c r="AF78" s="822"/>
      <c r="AG78" s="823"/>
      <c r="AH78" s="22"/>
      <c r="AI78" s="22"/>
      <c r="AJ78" s="22"/>
      <c r="AK78" s="22"/>
      <c r="AL78" s="22"/>
      <c r="AM78" s="22"/>
      <c r="AN78" s="22"/>
      <c r="AO78" s="22"/>
      <c r="AP78" s="22"/>
      <c r="AQ78" s="22"/>
      <c r="AR78" s="22"/>
      <c r="AS78" s="22"/>
      <c r="AT78" s="22"/>
      <c r="AU78" s="22"/>
      <c r="AV78" s="22"/>
      <c r="AW78" s="22"/>
    </row>
    <row r="79" spans="1:49" ht="27" customHeight="1" x14ac:dyDescent="0.55000000000000004">
      <c r="A79" s="816" t="s">
        <v>36</v>
      </c>
      <c r="B79" s="817"/>
      <c r="C79" s="817"/>
      <c r="D79" s="817"/>
      <c r="E79" s="817"/>
      <c r="F79" s="818"/>
      <c r="G79" s="819" t="s">
        <v>1692</v>
      </c>
      <c r="H79" s="820"/>
      <c r="I79" s="820"/>
      <c r="J79" s="820"/>
      <c r="K79" s="820"/>
      <c r="L79" s="820"/>
      <c r="M79" s="820"/>
      <c r="N79" s="820"/>
      <c r="O79" s="820"/>
      <c r="P79" s="820"/>
      <c r="Q79" s="820"/>
      <c r="R79" s="820"/>
      <c r="S79" s="820"/>
      <c r="T79" s="818"/>
      <c r="U79" s="819"/>
      <c r="V79" s="820"/>
      <c r="W79" s="820"/>
      <c r="X79" s="820"/>
      <c r="Y79" s="820"/>
      <c r="Z79" s="820"/>
      <c r="AA79" s="820"/>
      <c r="AB79" s="820"/>
      <c r="AC79" s="820"/>
      <c r="AD79" s="820"/>
      <c r="AE79" s="820"/>
      <c r="AF79" s="820"/>
      <c r="AG79" s="818"/>
      <c r="AH79" s="22"/>
      <c r="AI79" s="22"/>
      <c r="AJ79" s="22"/>
      <c r="AK79" s="22"/>
      <c r="AL79" s="22"/>
      <c r="AM79" s="22"/>
      <c r="AN79" s="22"/>
      <c r="AO79" s="22"/>
      <c r="AP79" s="22"/>
      <c r="AQ79" s="22"/>
      <c r="AR79" s="22"/>
      <c r="AS79" s="22"/>
      <c r="AT79" s="22"/>
      <c r="AU79" s="22"/>
      <c r="AV79" s="22"/>
      <c r="AW79" s="22"/>
    </row>
    <row r="80" spans="1:49" ht="27" customHeight="1" x14ac:dyDescent="0.55000000000000004">
      <c r="A80" s="816"/>
      <c r="B80" s="817"/>
      <c r="C80" s="817"/>
      <c r="D80" s="817"/>
      <c r="E80" s="817"/>
      <c r="F80" s="818"/>
      <c r="G80" s="819"/>
      <c r="H80" s="820"/>
      <c r="I80" s="820"/>
      <c r="J80" s="820"/>
      <c r="K80" s="820"/>
      <c r="L80" s="820"/>
      <c r="M80" s="820"/>
      <c r="N80" s="820"/>
      <c r="O80" s="820"/>
      <c r="P80" s="820"/>
      <c r="Q80" s="820"/>
      <c r="R80" s="820"/>
      <c r="S80" s="820"/>
      <c r="T80" s="818"/>
      <c r="U80" s="819"/>
      <c r="V80" s="820"/>
      <c r="W80" s="820"/>
      <c r="X80" s="820"/>
      <c r="Y80" s="820"/>
      <c r="Z80" s="820"/>
      <c r="AA80" s="820"/>
      <c r="AB80" s="820"/>
      <c r="AC80" s="820"/>
      <c r="AD80" s="820"/>
      <c r="AE80" s="820"/>
      <c r="AF80" s="820"/>
      <c r="AG80" s="818"/>
      <c r="AH80" s="22"/>
      <c r="AI80" s="22"/>
      <c r="AJ80" s="22"/>
      <c r="AK80" s="22"/>
      <c r="AL80" s="22"/>
      <c r="AM80" s="22"/>
      <c r="AN80" s="22"/>
      <c r="AO80" s="22"/>
      <c r="AP80" s="22"/>
      <c r="AQ80" s="22"/>
      <c r="AR80" s="22"/>
      <c r="AS80" s="22"/>
      <c r="AT80" s="22"/>
      <c r="AU80" s="22"/>
      <c r="AV80" s="22"/>
      <c r="AW80" s="22"/>
    </row>
    <row r="81" spans="1:49" ht="27" customHeight="1" x14ac:dyDescent="0.55000000000000004">
      <c r="A81" s="816"/>
      <c r="B81" s="817"/>
      <c r="C81" s="817"/>
      <c r="D81" s="817"/>
      <c r="E81" s="817"/>
      <c r="F81" s="818"/>
      <c r="G81" s="819"/>
      <c r="H81" s="820"/>
      <c r="I81" s="820"/>
      <c r="J81" s="820"/>
      <c r="K81" s="820"/>
      <c r="L81" s="820"/>
      <c r="M81" s="820"/>
      <c r="N81" s="820"/>
      <c r="O81" s="820"/>
      <c r="P81" s="820"/>
      <c r="Q81" s="820"/>
      <c r="R81" s="820"/>
      <c r="S81" s="820"/>
      <c r="T81" s="818"/>
      <c r="U81" s="819"/>
      <c r="V81" s="820"/>
      <c r="W81" s="820"/>
      <c r="X81" s="820"/>
      <c r="Y81" s="820"/>
      <c r="Z81" s="820"/>
      <c r="AA81" s="820"/>
      <c r="AB81" s="820"/>
      <c r="AC81" s="820"/>
      <c r="AD81" s="820"/>
      <c r="AE81" s="820"/>
      <c r="AF81" s="820"/>
      <c r="AG81" s="818"/>
      <c r="AH81" s="22"/>
      <c r="AI81" s="22"/>
      <c r="AJ81" s="22"/>
      <c r="AK81" s="22"/>
      <c r="AL81" s="22"/>
      <c r="AM81" s="22"/>
      <c r="AN81" s="22"/>
      <c r="AO81" s="22"/>
      <c r="AP81" s="22"/>
      <c r="AQ81" s="22"/>
      <c r="AR81" s="22"/>
      <c r="AS81" s="22"/>
      <c r="AT81" s="22"/>
      <c r="AU81" s="22"/>
      <c r="AV81" s="22"/>
      <c r="AW81" s="22"/>
    </row>
    <row r="82" spans="1:49" ht="27" customHeight="1" x14ac:dyDescent="0.55000000000000004">
      <c r="A82" s="816"/>
      <c r="B82" s="817"/>
      <c r="C82" s="817"/>
      <c r="D82" s="817"/>
      <c r="E82" s="817"/>
      <c r="F82" s="818"/>
      <c r="G82" s="819"/>
      <c r="H82" s="820"/>
      <c r="I82" s="820"/>
      <c r="J82" s="820"/>
      <c r="K82" s="820"/>
      <c r="L82" s="820"/>
      <c r="M82" s="820"/>
      <c r="N82" s="820"/>
      <c r="O82" s="820"/>
      <c r="P82" s="820"/>
      <c r="Q82" s="820"/>
      <c r="R82" s="820"/>
      <c r="S82" s="820"/>
      <c r="T82" s="818"/>
      <c r="U82" s="819"/>
      <c r="V82" s="820"/>
      <c r="W82" s="820"/>
      <c r="X82" s="820"/>
      <c r="Y82" s="820"/>
      <c r="Z82" s="820"/>
      <c r="AA82" s="820"/>
      <c r="AB82" s="820"/>
      <c r="AC82" s="820"/>
      <c r="AD82" s="820"/>
      <c r="AE82" s="820"/>
      <c r="AF82" s="820"/>
      <c r="AG82" s="818"/>
      <c r="AH82" s="22"/>
      <c r="AI82" s="22"/>
      <c r="AJ82" s="22"/>
      <c r="AK82" s="22"/>
      <c r="AL82" s="22"/>
      <c r="AM82" s="22"/>
      <c r="AN82" s="22"/>
      <c r="AO82" s="22"/>
      <c r="AP82" s="22"/>
      <c r="AQ82" s="22"/>
      <c r="AR82" s="22"/>
      <c r="AS82" s="22"/>
      <c r="AT82" s="22"/>
      <c r="AU82" s="22"/>
      <c r="AV82" s="22"/>
      <c r="AW82" s="22"/>
    </row>
    <row r="83" spans="1:49" ht="27" customHeight="1" x14ac:dyDescent="0.55000000000000004">
      <c r="A83" s="806" t="s">
        <v>152</v>
      </c>
      <c r="B83" s="807"/>
      <c r="C83" s="807"/>
      <c r="D83" s="807"/>
      <c r="E83" s="807"/>
      <c r="F83" s="792"/>
      <c r="G83" s="808" t="s">
        <v>1693</v>
      </c>
      <c r="H83" s="809"/>
      <c r="I83" s="809"/>
      <c r="J83" s="809"/>
      <c r="K83" s="809"/>
      <c r="L83" s="809"/>
      <c r="M83" s="809"/>
      <c r="N83" s="809"/>
      <c r="O83" s="809"/>
      <c r="P83" s="809"/>
      <c r="Q83" s="809"/>
      <c r="R83" s="809"/>
      <c r="S83" s="809"/>
      <c r="T83" s="792"/>
      <c r="U83" s="824" t="s">
        <v>1694</v>
      </c>
      <c r="V83" s="825"/>
      <c r="W83" s="825"/>
      <c r="X83" s="825"/>
      <c r="Y83" s="825"/>
      <c r="Z83" s="825"/>
      <c r="AA83" s="825"/>
      <c r="AB83" s="825"/>
      <c r="AC83" s="825"/>
      <c r="AD83" s="825"/>
      <c r="AE83" s="825"/>
      <c r="AF83" s="825"/>
      <c r="AG83" s="792"/>
      <c r="AH83" s="22"/>
      <c r="AI83" s="22"/>
      <c r="AJ83" s="22"/>
      <c r="AK83" s="22"/>
      <c r="AL83" s="22"/>
      <c r="AM83" s="22"/>
      <c r="AN83" s="22"/>
      <c r="AO83" s="22"/>
      <c r="AP83" s="22"/>
      <c r="AQ83" s="22"/>
      <c r="AR83" s="22"/>
      <c r="AS83" s="22"/>
      <c r="AT83" s="22"/>
      <c r="AU83" s="22"/>
      <c r="AV83" s="22"/>
      <c r="AW83" s="22"/>
    </row>
    <row r="84" spans="1:49" ht="27" customHeight="1" x14ac:dyDescent="0.55000000000000004">
      <c r="A84" s="806"/>
      <c r="B84" s="807"/>
      <c r="C84" s="807"/>
      <c r="D84" s="807"/>
      <c r="E84" s="807"/>
      <c r="F84" s="792"/>
      <c r="G84" s="808"/>
      <c r="H84" s="809"/>
      <c r="I84" s="809"/>
      <c r="J84" s="809"/>
      <c r="K84" s="809"/>
      <c r="L84" s="809"/>
      <c r="M84" s="809"/>
      <c r="N84" s="809"/>
      <c r="O84" s="809"/>
      <c r="P84" s="809"/>
      <c r="Q84" s="809"/>
      <c r="R84" s="809"/>
      <c r="S84" s="809"/>
      <c r="T84" s="792"/>
      <c r="U84" s="826"/>
      <c r="V84" s="827"/>
      <c r="W84" s="827"/>
      <c r="X84" s="827"/>
      <c r="Y84" s="827"/>
      <c r="Z84" s="827"/>
      <c r="AA84" s="827"/>
      <c r="AB84" s="827"/>
      <c r="AC84" s="827"/>
      <c r="AD84" s="827"/>
      <c r="AE84" s="827"/>
      <c r="AF84" s="827"/>
      <c r="AG84" s="792"/>
      <c r="AH84" s="22"/>
      <c r="AI84" s="22"/>
      <c r="AJ84" s="22"/>
      <c r="AK84" s="22"/>
      <c r="AL84" s="22"/>
      <c r="AM84" s="22"/>
      <c r="AN84" s="22"/>
      <c r="AO84" s="22"/>
      <c r="AP84" s="22"/>
      <c r="AQ84" s="22"/>
      <c r="AR84" s="22"/>
      <c r="AS84" s="22"/>
      <c r="AT84" s="22"/>
      <c r="AU84" s="22"/>
      <c r="AV84" s="22"/>
      <c r="AW84" s="22"/>
    </row>
    <row r="85" spans="1:49" ht="27" customHeight="1" x14ac:dyDescent="0.55000000000000004">
      <c r="A85" s="806"/>
      <c r="B85" s="807"/>
      <c r="C85" s="807"/>
      <c r="D85" s="807"/>
      <c r="E85" s="807"/>
      <c r="F85" s="792"/>
      <c r="G85" s="808"/>
      <c r="H85" s="809"/>
      <c r="I85" s="809"/>
      <c r="J85" s="809"/>
      <c r="K85" s="809"/>
      <c r="L85" s="809"/>
      <c r="M85" s="809"/>
      <c r="N85" s="809"/>
      <c r="O85" s="809"/>
      <c r="P85" s="809"/>
      <c r="Q85" s="809"/>
      <c r="R85" s="809"/>
      <c r="S85" s="809"/>
      <c r="T85" s="792"/>
      <c r="U85" s="826"/>
      <c r="V85" s="827"/>
      <c r="W85" s="827"/>
      <c r="X85" s="827"/>
      <c r="Y85" s="827"/>
      <c r="Z85" s="827"/>
      <c r="AA85" s="827"/>
      <c r="AB85" s="827"/>
      <c r="AC85" s="827"/>
      <c r="AD85" s="827"/>
      <c r="AE85" s="827"/>
      <c r="AF85" s="827"/>
      <c r="AG85" s="792"/>
      <c r="AH85" s="22"/>
      <c r="AI85" s="22"/>
      <c r="AJ85" s="22"/>
      <c r="AK85" s="22"/>
      <c r="AL85" s="22"/>
      <c r="AM85" s="22"/>
      <c r="AN85" s="22"/>
      <c r="AO85" s="22"/>
      <c r="AP85" s="22"/>
      <c r="AQ85" s="22"/>
      <c r="AR85" s="22"/>
      <c r="AS85" s="22"/>
      <c r="AT85" s="22"/>
      <c r="AU85" s="22"/>
      <c r="AV85" s="22"/>
      <c r="AW85" s="22"/>
    </row>
    <row r="86" spans="1:49" ht="27" customHeight="1" x14ac:dyDescent="0.55000000000000004">
      <c r="A86" s="806"/>
      <c r="B86" s="807"/>
      <c r="C86" s="807"/>
      <c r="D86" s="807"/>
      <c r="E86" s="807"/>
      <c r="F86" s="792"/>
      <c r="G86" s="808"/>
      <c r="H86" s="809"/>
      <c r="I86" s="809"/>
      <c r="J86" s="809"/>
      <c r="K86" s="809"/>
      <c r="L86" s="809"/>
      <c r="M86" s="809"/>
      <c r="N86" s="809"/>
      <c r="O86" s="809"/>
      <c r="P86" s="809"/>
      <c r="Q86" s="809"/>
      <c r="R86" s="809"/>
      <c r="S86" s="809"/>
      <c r="T86" s="792"/>
      <c r="U86" s="828"/>
      <c r="V86" s="829"/>
      <c r="W86" s="829"/>
      <c r="X86" s="829"/>
      <c r="Y86" s="829"/>
      <c r="Z86" s="829"/>
      <c r="AA86" s="829"/>
      <c r="AB86" s="829"/>
      <c r="AC86" s="829"/>
      <c r="AD86" s="829"/>
      <c r="AE86" s="829"/>
      <c r="AF86" s="829"/>
      <c r="AG86" s="792"/>
      <c r="AH86" s="22"/>
      <c r="AI86" s="22"/>
      <c r="AJ86" s="22"/>
      <c r="AK86" s="22"/>
      <c r="AL86" s="22"/>
      <c r="AM86" s="22"/>
      <c r="AN86" s="22"/>
      <c r="AO86" s="22"/>
      <c r="AP86" s="22"/>
      <c r="AQ86" s="22"/>
      <c r="AR86" s="22"/>
      <c r="AS86" s="22"/>
      <c r="AT86" s="22"/>
      <c r="AU86" s="22"/>
      <c r="AV86" s="22"/>
      <c r="AW86" s="22"/>
    </row>
    <row r="87" spans="1:49" ht="27" customHeight="1" x14ac:dyDescent="0.55000000000000004">
      <c r="A87" s="816" t="s">
        <v>123</v>
      </c>
      <c r="B87" s="817"/>
      <c r="C87" s="817"/>
      <c r="D87" s="817"/>
      <c r="E87" s="817"/>
      <c r="F87" s="818"/>
      <c r="G87" s="819" t="s">
        <v>1695</v>
      </c>
      <c r="H87" s="820"/>
      <c r="I87" s="820"/>
      <c r="J87" s="820"/>
      <c r="K87" s="820"/>
      <c r="L87" s="820"/>
      <c r="M87" s="820"/>
      <c r="N87" s="820"/>
      <c r="O87" s="820"/>
      <c r="P87" s="820"/>
      <c r="Q87" s="820"/>
      <c r="R87" s="820"/>
      <c r="S87" s="820"/>
      <c r="T87" s="818"/>
      <c r="U87" s="819"/>
      <c r="V87" s="820"/>
      <c r="W87" s="820"/>
      <c r="X87" s="820"/>
      <c r="Y87" s="820"/>
      <c r="Z87" s="820"/>
      <c r="AA87" s="820"/>
      <c r="AB87" s="820"/>
      <c r="AC87" s="820"/>
      <c r="AD87" s="820"/>
      <c r="AE87" s="820"/>
      <c r="AF87" s="820"/>
      <c r="AG87" s="818"/>
      <c r="AH87" s="22"/>
      <c r="AI87" s="22"/>
      <c r="AJ87" s="22"/>
      <c r="AK87" s="22"/>
      <c r="AL87" s="22"/>
      <c r="AM87" s="22"/>
      <c r="AN87" s="22"/>
      <c r="AO87" s="22"/>
      <c r="AP87" s="22"/>
      <c r="AQ87" s="22"/>
      <c r="AR87" s="22"/>
      <c r="AS87" s="22"/>
      <c r="AT87" s="22"/>
      <c r="AU87" s="22"/>
      <c r="AV87" s="22"/>
      <c r="AW87" s="22"/>
    </row>
    <row r="88" spans="1:49" ht="27" customHeight="1" x14ac:dyDescent="0.55000000000000004">
      <c r="A88" s="816"/>
      <c r="B88" s="817"/>
      <c r="C88" s="817"/>
      <c r="D88" s="817"/>
      <c r="E88" s="817"/>
      <c r="F88" s="818"/>
      <c r="G88" s="819"/>
      <c r="H88" s="820"/>
      <c r="I88" s="820"/>
      <c r="J88" s="820"/>
      <c r="K88" s="820"/>
      <c r="L88" s="820"/>
      <c r="M88" s="820"/>
      <c r="N88" s="820"/>
      <c r="O88" s="820"/>
      <c r="P88" s="820"/>
      <c r="Q88" s="820"/>
      <c r="R88" s="820"/>
      <c r="S88" s="820"/>
      <c r="T88" s="818"/>
      <c r="U88" s="819"/>
      <c r="V88" s="820"/>
      <c r="W88" s="820"/>
      <c r="X88" s="820"/>
      <c r="Y88" s="820"/>
      <c r="Z88" s="820"/>
      <c r="AA88" s="820"/>
      <c r="AB88" s="820"/>
      <c r="AC88" s="820"/>
      <c r="AD88" s="820"/>
      <c r="AE88" s="820"/>
      <c r="AF88" s="820"/>
      <c r="AG88" s="818"/>
      <c r="AH88" s="22"/>
      <c r="AI88" s="22"/>
      <c r="AJ88" s="22"/>
      <c r="AK88" s="22"/>
      <c r="AL88" s="22"/>
      <c r="AM88" s="22"/>
      <c r="AN88" s="22"/>
      <c r="AO88" s="22"/>
      <c r="AP88" s="22"/>
      <c r="AQ88" s="22"/>
      <c r="AR88" s="22"/>
      <c r="AS88" s="22"/>
      <c r="AT88" s="22"/>
      <c r="AU88" s="22"/>
      <c r="AV88" s="22"/>
      <c r="AW88" s="22"/>
    </row>
    <row r="89" spans="1:49" ht="27" customHeight="1" x14ac:dyDescent="0.55000000000000004">
      <c r="A89" s="816"/>
      <c r="B89" s="817"/>
      <c r="C89" s="817"/>
      <c r="D89" s="817"/>
      <c r="E89" s="817"/>
      <c r="F89" s="818"/>
      <c r="G89" s="819"/>
      <c r="H89" s="820"/>
      <c r="I89" s="820"/>
      <c r="J89" s="820"/>
      <c r="K89" s="820"/>
      <c r="L89" s="820"/>
      <c r="M89" s="820"/>
      <c r="N89" s="820"/>
      <c r="O89" s="820"/>
      <c r="P89" s="820"/>
      <c r="Q89" s="820"/>
      <c r="R89" s="820"/>
      <c r="S89" s="820"/>
      <c r="T89" s="818"/>
      <c r="U89" s="819"/>
      <c r="V89" s="820"/>
      <c r="W89" s="820"/>
      <c r="X89" s="820"/>
      <c r="Y89" s="820"/>
      <c r="Z89" s="820"/>
      <c r="AA89" s="820"/>
      <c r="AB89" s="820"/>
      <c r="AC89" s="820"/>
      <c r="AD89" s="820"/>
      <c r="AE89" s="820"/>
      <c r="AF89" s="820"/>
      <c r="AG89" s="818"/>
      <c r="AH89" s="22"/>
      <c r="AI89" s="22"/>
      <c r="AJ89" s="22"/>
      <c r="AK89" s="22"/>
      <c r="AL89" s="22"/>
      <c r="AM89" s="22"/>
      <c r="AN89" s="22"/>
      <c r="AO89" s="22"/>
      <c r="AP89" s="22"/>
      <c r="AQ89" s="22"/>
      <c r="AR89" s="22"/>
      <c r="AS89" s="22"/>
      <c r="AT89" s="22"/>
      <c r="AU89" s="22"/>
      <c r="AV89" s="22"/>
      <c r="AW89" s="22"/>
    </row>
    <row r="90" spans="1:49" ht="27" customHeight="1" x14ac:dyDescent="0.55000000000000004">
      <c r="A90" s="806" t="s">
        <v>38</v>
      </c>
      <c r="B90" s="807"/>
      <c r="C90" s="807"/>
      <c r="D90" s="807"/>
      <c r="E90" s="807"/>
      <c r="F90" s="792"/>
      <c r="G90" s="808" t="s">
        <v>1696</v>
      </c>
      <c r="H90" s="809"/>
      <c r="I90" s="809"/>
      <c r="J90" s="809"/>
      <c r="K90" s="809"/>
      <c r="L90" s="809"/>
      <c r="M90" s="809"/>
      <c r="N90" s="809"/>
      <c r="O90" s="809"/>
      <c r="P90" s="809"/>
      <c r="Q90" s="809"/>
      <c r="R90" s="809"/>
      <c r="S90" s="809"/>
      <c r="T90" s="792"/>
      <c r="U90" s="808"/>
      <c r="V90" s="809"/>
      <c r="W90" s="809"/>
      <c r="X90" s="809"/>
      <c r="Y90" s="809"/>
      <c r="Z90" s="809"/>
      <c r="AA90" s="809"/>
      <c r="AB90" s="809"/>
      <c r="AC90" s="809"/>
      <c r="AD90" s="809"/>
      <c r="AE90" s="809"/>
      <c r="AF90" s="809"/>
      <c r="AG90" s="792"/>
      <c r="AH90" s="22"/>
      <c r="AI90" s="22"/>
      <c r="AJ90" s="22"/>
      <c r="AK90" s="22"/>
      <c r="AL90" s="22"/>
      <c r="AM90" s="22"/>
      <c r="AN90" s="22"/>
      <c r="AO90" s="22"/>
      <c r="AP90" s="22"/>
      <c r="AQ90" s="22"/>
      <c r="AR90" s="22"/>
      <c r="AS90" s="22"/>
      <c r="AT90" s="22"/>
      <c r="AU90" s="22"/>
      <c r="AV90" s="22"/>
      <c r="AW90" s="22"/>
    </row>
    <row r="91" spans="1:49" ht="27" customHeight="1" x14ac:dyDescent="0.55000000000000004">
      <c r="A91" s="806"/>
      <c r="B91" s="807"/>
      <c r="C91" s="807"/>
      <c r="D91" s="807"/>
      <c r="E91" s="807"/>
      <c r="F91" s="792"/>
      <c r="G91" s="808"/>
      <c r="H91" s="809"/>
      <c r="I91" s="809"/>
      <c r="J91" s="809"/>
      <c r="K91" s="809"/>
      <c r="L91" s="809"/>
      <c r="M91" s="809"/>
      <c r="N91" s="809"/>
      <c r="O91" s="809"/>
      <c r="P91" s="809"/>
      <c r="Q91" s="809"/>
      <c r="R91" s="809"/>
      <c r="S91" s="809"/>
      <c r="T91" s="792"/>
      <c r="U91" s="808"/>
      <c r="V91" s="809"/>
      <c r="W91" s="809"/>
      <c r="X91" s="809"/>
      <c r="Y91" s="809"/>
      <c r="Z91" s="809"/>
      <c r="AA91" s="809"/>
      <c r="AB91" s="809"/>
      <c r="AC91" s="809"/>
      <c r="AD91" s="809"/>
      <c r="AE91" s="809"/>
      <c r="AF91" s="809"/>
      <c r="AG91" s="792"/>
      <c r="AH91" s="22"/>
      <c r="AI91" s="22"/>
      <c r="AJ91" s="22"/>
      <c r="AK91" s="22"/>
      <c r="AL91" s="22"/>
      <c r="AM91" s="22"/>
      <c r="AN91" s="22"/>
      <c r="AO91" s="22"/>
      <c r="AP91" s="22"/>
      <c r="AQ91" s="22"/>
      <c r="AR91" s="22"/>
      <c r="AS91" s="22"/>
      <c r="AT91" s="22"/>
      <c r="AU91" s="22"/>
      <c r="AV91" s="22"/>
      <c r="AW91" s="22"/>
    </row>
    <row r="92" spans="1:49" ht="27" customHeight="1" x14ac:dyDescent="0.55000000000000004">
      <c r="A92" s="806"/>
      <c r="B92" s="807"/>
      <c r="C92" s="807"/>
      <c r="D92" s="807"/>
      <c r="E92" s="807"/>
      <c r="F92" s="792"/>
      <c r="G92" s="808"/>
      <c r="H92" s="809"/>
      <c r="I92" s="809"/>
      <c r="J92" s="809"/>
      <c r="K92" s="809"/>
      <c r="L92" s="809"/>
      <c r="M92" s="809"/>
      <c r="N92" s="809"/>
      <c r="O92" s="809"/>
      <c r="P92" s="809"/>
      <c r="Q92" s="809"/>
      <c r="R92" s="809"/>
      <c r="S92" s="809"/>
      <c r="T92" s="792"/>
      <c r="U92" s="808"/>
      <c r="V92" s="809"/>
      <c r="W92" s="809"/>
      <c r="X92" s="809"/>
      <c r="Y92" s="809"/>
      <c r="Z92" s="809"/>
      <c r="AA92" s="809"/>
      <c r="AB92" s="809"/>
      <c r="AC92" s="809"/>
      <c r="AD92" s="809"/>
      <c r="AE92" s="809"/>
      <c r="AF92" s="809"/>
      <c r="AG92" s="792"/>
      <c r="AH92" s="22"/>
      <c r="AI92" s="22"/>
      <c r="AJ92" s="22"/>
      <c r="AK92" s="22"/>
      <c r="AL92" s="22"/>
      <c r="AM92" s="22"/>
      <c r="AN92" s="22"/>
      <c r="AO92" s="22"/>
      <c r="AP92" s="22"/>
      <c r="AQ92" s="22"/>
      <c r="AR92" s="22"/>
      <c r="AS92" s="22"/>
      <c r="AT92" s="22"/>
      <c r="AU92" s="22"/>
      <c r="AV92" s="22"/>
      <c r="AW92" s="22"/>
    </row>
    <row r="93" spans="1:49" ht="27" customHeight="1" x14ac:dyDescent="0.55000000000000004">
      <c r="A93" s="806"/>
      <c r="B93" s="807"/>
      <c r="C93" s="807"/>
      <c r="D93" s="807"/>
      <c r="E93" s="807"/>
      <c r="F93" s="792"/>
      <c r="G93" s="808"/>
      <c r="H93" s="809"/>
      <c r="I93" s="809"/>
      <c r="J93" s="809"/>
      <c r="K93" s="809"/>
      <c r="L93" s="809"/>
      <c r="M93" s="809"/>
      <c r="N93" s="809"/>
      <c r="O93" s="809"/>
      <c r="P93" s="809"/>
      <c r="Q93" s="809"/>
      <c r="R93" s="809"/>
      <c r="S93" s="809"/>
      <c r="T93" s="792"/>
      <c r="U93" s="808"/>
      <c r="V93" s="809"/>
      <c r="W93" s="809"/>
      <c r="X93" s="809"/>
      <c r="Y93" s="809"/>
      <c r="Z93" s="809"/>
      <c r="AA93" s="809"/>
      <c r="AB93" s="809"/>
      <c r="AC93" s="809"/>
      <c r="AD93" s="809"/>
      <c r="AE93" s="809"/>
      <c r="AF93" s="809"/>
      <c r="AG93" s="792"/>
      <c r="AH93" s="22"/>
      <c r="AI93" s="22"/>
      <c r="AJ93" s="22"/>
      <c r="AK93" s="22"/>
      <c r="AL93" s="22"/>
      <c r="AM93" s="22"/>
      <c r="AN93" s="22"/>
      <c r="AO93" s="22"/>
      <c r="AP93" s="22"/>
      <c r="AQ93" s="22"/>
      <c r="AR93" s="22"/>
      <c r="AS93" s="22"/>
      <c r="AT93" s="22"/>
      <c r="AU93" s="22"/>
      <c r="AV93" s="22"/>
      <c r="AW93" s="22"/>
    </row>
    <row r="94" spans="1:49" ht="27" customHeight="1" x14ac:dyDescent="0.55000000000000004">
      <c r="A94" s="816" t="s">
        <v>34</v>
      </c>
      <c r="B94" s="817"/>
      <c r="C94" s="817"/>
      <c r="D94" s="817"/>
      <c r="E94" s="817"/>
      <c r="F94" s="818"/>
      <c r="G94" s="819" t="s">
        <v>1697</v>
      </c>
      <c r="H94" s="820"/>
      <c r="I94" s="820"/>
      <c r="J94" s="820"/>
      <c r="K94" s="820"/>
      <c r="L94" s="820"/>
      <c r="M94" s="820"/>
      <c r="N94" s="820"/>
      <c r="O94" s="820"/>
      <c r="P94" s="820"/>
      <c r="Q94" s="820"/>
      <c r="R94" s="820"/>
      <c r="S94" s="820"/>
      <c r="T94" s="818"/>
      <c r="U94" s="819"/>
      <c r="V94" s="820"/>
      <c r="W94" s="820"/>
      <c r="X94" s="820"/>
      <c r="Y94" s="820"/>
      <c r="Z94" s="820"/>
      <c r="AA94" s="820"/>
      <c r="AB94" s="820"/>
      <c r="AC94" s="820"/>
      <c r="AD94" s="820"/>
      <c r="AE94" s="820"/>
      <c r="AF94" s="820"/>
      <c r="AG94" s="818"/>
      <c r="AH94" s="22"/>
      <c r="AI94" s="22"/>
      <c r="AJ94" s="22"/>
      <c r="AK94" s="22"/>
      <c r="AL94" s="22"/>
      <c r="AM94" s="22"/>
      <c r="AN94" s="22"/>
      <c r="AO94" s="22"/>
      <c r="AP94" s="22"/>
      <c r="AQ94" s="22"/>
      <c r="AR94" s="22"/>
      <c r="AS94" s="22"/>
      <c r="AT94" s="22"/>
      <c r="AU94" s="22"/>
      <c r="AV94" s="22"/>
      <c r="AW94" s="22"/>
    </row>
    <row r="95" spans="1:49" ht="27" customHeight="1" x14ac:dyDescent="0.55000000000000004">
      <c r="A95" s="816"/>
      <c r="B95" s="817"/>
      <c r="C95" s="817"/>
      <c r="D95" s="817"/>
      <c r="E95" s="817"/>
      <c r="F95" s="818"/>
      <c r="G95" s="819"/>
      <c r="H95" s="820"/>
      <c r="I95" s="820"/>
      <c r="J95" s="820"/>
      <c r="K95" s="820"/>
      <c r="L95" s="820"/>
      <c r="M95" s="820"/>
      <c r="N95" s="820"/>
      <c r="O95" s="820"/>
      <c r="P95" s="820"/>
      <c r="Q95" s="820"/>
      <c r="R95" s="820"/>
      <c r="S95" s="820"/>
      <c r="T95" s="818"/>
      <c r="U95" s="819"/>
      <c r="V95" s="820"/>
      <c r="W95" s="820"/>
      <c r="X95" s="820"/>
      <c r="Y95" s="820"/>
      <c r="Z95" s="820"/>
      <c r="AA95" s="820"/>
      <c r="AB95" s="820"/>
      <c r="AC95" s="820"/>
      <c r="AD95" s="820"/>
      <c r="AE95" s="820"/>
      <c r="AF95" s="820"/>
      <c r="AG95" s="818"/>
      <c r="AH95" s="22"/>
      <c r="AI95" s="22"/>
      <c r="AJ95" s="22"/>
      <c r="AK95" s="22"/>
      <c r="AL95" s="22"/>
      <c r="AM95" s="22"/>
      <c r="AN95" s="22"/>
      <c r="AO95" s="22"/>
      <c r="AP95" s="22"/>
      <c r="AQ95" s="22"/>
      <c r="AR95" s="22"/>
      <c r="AS95" s="22"/>
      <c r="AT95" s="22"/>
      <c r="AU95" s="22"/>
      <c r="AV95" s="22"/>
      <c r="AW95" s="22"/>
    </row>
    <row r="96" spans="1:49" ht="27" customHeight="1" x14ac:dyDescent="0.55000000000000004">
      <c r="A96" s="816"/>
      <c r="B96" s="817"/>
      <c r="C96" s="817"/>
      <c r="D96" s="817"/>
      <c r="E96" s="817"/>
      <c r="F96" s="818"/>
      <c r="G96" s="819"/>
      <c r="H96" s="820"/>
      <c r="I96" s="820"/>
      <c r="J96" s="820"/>
      <c r="K96" s="820"/>
      <c r="L96" s="820"/>
      <c r="M96" s="820"/>
      <c r="N96" s="820"/>
      <c r="O96" s="820"/>
      <c r="P96" s="820"/>
      <c r="Q96" s="820"/>
      <c r="R96" s="820"/>
      <c r="S96" s="820"/>
      <c r="T96" s="818"/>
      <c r="U96" s="819"/>
      <c r="V96" s="820"/>
      <c r="W96" s="820"/>
      <c r="X96" s="820"/>
      <c r="Y96" s="820"/>
      <c r="Z96" s="820"/>
      <c r="AA96" s="820"/>
      <c r="AB96" s="820"/>
      <c r="AC96" s="820"/>
      <c r="AD96" s="820"/>
      <c r="AE96" s="820"/>
      <c r="AF96" s="820"/>
      <c r="AG96" s="818"/>
      <c r="AH96" s="22"/>
      <c r="AI96" s="22"/>
      <c r="AJ96" s="22"/>
      <c r="AK96" s="22"/>
      <c r="AL96" s="22"/>
      <c r="AM96" s="22"/>
      <c r="AN96" s="22"/>
      <c r="AO96" s="22"/>
      <c r="AP96" s="22"/>
      <c r="AQ96" s="22"/>
      <c r="AR96" s="22"/>
      <c r="AS96" s="22"/>
      <c r="AT96" s="22"/>
      <c r="AU96" s="22"/>
      <c r="AV96" s="22"/>
      <c r="AW96" s="22"/>
    </row>
    <row r="97" spans="1:49" ht="27" customHeight="1" x14ac:dyDescent="0.55000000000000004">
      <c r="A97" s="806" t="s">
        <v>153</v>
      </c>
      <c r="B97" s="807"/>
      <c r="C97" s="807"/>
      <c r="D97" s="807"/>
      <c r="E97" s="807"/>
      <c r="F97" s="792"/>
      <c r="G97" s="808" t="s">
        <v>1698</v>
      </c>
      <c r="H97" s="809"/>
      <c r="I97" s="809"/>
      <c r="J97" s="809"/>
      <c r="K97" s="809"/>
      <c r="L97" s="809"/>
      <c r="M97" s="809"/>
      <c r="N97" s="809"/>
      <c r="O97" s="809"/>
      <c r="P97" s="809"/>
      <c r="Q97" s="809"/>
      <c r="R97" s="809"/>
      <c r="S97" s="809"/>
      <c r="T97" s="792"/>
      <c r="U97" s="808"/>
      <c r="V97" s="809"/>
      <c r="W97" s="809"/>
      <c r="X97" s="809"/>
      <c r="Y97" s="809"/>
      <c r="Z97" s="809"/>
      <c r="AA97" s="809"/>
      <c r="AB97" s="809"/>
      <c r="AC97" s="809"/>
      <c r="AD97" s="809"/>
      <c r="AE97" s="809"/>
      <c r="AF97" s="809"/>
      <c r="AG97" s="792"/>
      <c r="AH97" s="22"/>
      <c r="AI97" s="22"/>
      <c r="AJ97" s="22"/>
      <c r="AK97" s="22"/>
      <c r="AL97" s="22"/>
      <c r="AM97" s="22"/>
      <c r="AN97" s="22"/>
      <c r="AO97" s="22"/>
      <c r="AP97" s="22"/>
      <c r="AQ97" s="22"/>
      <c r="AR97" s="22"/>
      <c r="AS97" s="22"/>
      <c r="AT97" s="22"/>
      <c r="AU97" s="22"/>
      <c r="AV97" s="22"/>
      <c r="AW97" s="22"/>
    </row>
    <row r="98" spans="1:49" ht="27" customHeight="1" x14ac:dyDescent="0.55000000000000004">
      <c r="A98" s="806"/>
      <c r="B98" s="807"/>
      <c r="C98" s="807"/>
      <c r="D98" s="807"/>
      <c r="E98" s="807"/>
      <c r="F98" s="792"/>
      <c r="G98" s="808"/>
      <c r="H98" s="809"/>
      <c r="I98" s="809"/>
      <c r="J98" s="809"/>
      <c r="K98" s="809"/>
      <c r="L98" s="809"/>
      <c r="M98" s="809"/>
      <c r="N98" s="809"/>
      <c r="O98" s="809"/>
      <c r="P98" s="809"/>
      <c r="Q98" s="809"/>
      <c r="R98" s="809"/>
      <c r="S98" s="809"/>
      <c r="T98" s="792"/>
      <c r="U98" s="808"/>
      <c r="V98" s="809"/>
      <c r="W98" s="809"/>
      <c r="X98" s="809"/>
      <c r="Y98" s="809"/>
      <c r="Z98" s="809"/>
      <c r="AA98" s="809"/>
      <c r="AB98" s="809"/>
      <c r="AC98" s="809"/>
      <c r="AD98" s="809"/>
      <c r="AE98" s="809"/>
      <c r="AF98" s="809"/>
      <c r="AG98" s="792"/>
      <c r="AH98" s="22"/>
      <c r="AI98" s="22"/>
      <c r="AJ98" s="22"/>
      <c r="AK98" s="22"/>
      <c r="AL98" s="22"/>
      <c r="AM98" s="22"/>
      <c r="AN98" s="22"/>
      <c r="AO98" s="22"/>
      <c r="AP98" s="22"/>
      <c r="AQ98" s="22"/>
      <c r="AR98" s="22"/>
      <c r="AS98" s="22"/>
      <c r="AT98" s="22"/>
      <c r="AU98" s="22"/>
      <c r="AV98" s="22"/>
      <c r="AW98" s="22"/>
    </row>
    <row r="99" spans="1:49" ht="27" customHeight="1" x14ac:dyDescent="0.55000000000000004">
      <c r="A99" s="806"/>
      <c r="B99" s="807"/>
      <c r="C99" s="807"/>
      <c r="D99" s="807"/>
      <c r="E99" s="807"/>
      <c r="F99" s="792"/>
      <c r="G99" s="808"/>
      <c r="H99" s="809"/>
      <c r="I99" s="809"/>
      <c r="J99" s="809"/>
      <c r="K99" s="809"/>
      <c r="L99" s="809"/>
      <c r="M99" s="809"/>
      <c r="N99" s="809"/>
      <c r="O99" s="809"/>
      <c r="P99" s="809"/>
      <c r="Q99" s="809"/>
      <c r="R99" s="809"/>
      <c r="S99" s="809"/>
      <c r="T99" s="792"/>
      <c r="U99" s="808"/>
      <c r="V99" s="809"/>
      <c r="W99" s="809"/>
      <c r="X99" s="809"/>
      <c r="Y99" s="809"/>
      <c r="Z99" s="809"/>
      <c r="AA99" s="809"/>
      <c r="AB99" s="809"/>
      <c r="AC99" s="809"/>
      <c r="AD99" s="809"/>
      <c r="AE99" s="809"/>
      <c r="AF99" s="809"/>
      <c r="AG99" s="792"/>
      <c r="AH99" s="22"/>
      <c r="AI99" s="22"/>
      <c r="AJ99" s="22"/>
      <c r="AK99" s="22"/>
      <c r="AL99" s="22"/>
      <c r="AM99" s="22"/>
      <c r="AN99" s="22"/>
      <c r="AO99" s="22"/>
      <c r="AP99" s="22"/>
      <c r="AQ99" s="22"/>
      <c r="AR99" s="22"/>
      <c r="AS99" s="22"/>
      <c r="AT99" s="22"/>
      <c r="AU99" s="22"/>
      <c r="AV99" s="22"/>
      <c r="AW99" s="22"/>
    </row>
    <row r="100" spans="1:49" ht="27" customHeight="1" x14ac:dyDescent="0.55000000000000004">
      <c r="A100" s="816" t="s">
        <v>155</v>
      </c>
      <c r="B100" s="817"/>
      <c r="C100" s="817"/>
      <c r="D100" s="817"/>
      <c r="E100" s="817"/>
      <c r="F100" s="818"/>
      <c r="G100" s="819" t="s">
        <v>1699</v>
      </c>
      <c r="H100" s="820"/>
      <c r="I100" s="820"/>
      <c r="J100" s="820"/>
      <c r="K100" s="820"/>
      <c r="L100" s="820"/>
      <c r="M100" s="820"/>
      <c r="N100" s="820"/>
      <c r="O100" s="820"/>
      <c r="P100" s="820"/>
      <c r="Q100" s="820"/>
      <c r="R100" s="820"/>
      <c r="S100" s="820"/>
      <c r="T100" s="818"/>
      <c r="U100" s="819"/>
      <c r="V100" s="820"/>
      <c r="W100" s="820"/>
      <c r="X100" s="820"/>
      <c r="Y100" s="820"/>
      <c r="Z100" s="820"/>
      <c r="AA100" s="820"/>
      <c r="AB100" s="820"/>
      <c r="AC100" s="820"/>
      <c r="AD100" s="820"/>
      <c r="AE100" s="820"/>
      <c r="AF100" s="820"/>
      <c r="AG100" s="818"/>
      <c r="AH100" s="22"/>
      <c r="AI100" s="22"/>
      <c r="AJ100" s="22"/>
      <c r="AK100" s="22"/>
      <c r="AL100" s="22"/>
      <c r="AM100" s="22"/>
      <c r="AN100" s="22"/>
      <c r="AO100" s="22"/>
      <c r="AP100" s="22"/>
      <c r="AQ100" s="22"/>
      <c r="AR100" s="22"/>
      <c r="AS100" s="22"/>
      <c r="AT100" s="22"/>
      <c r="AU100" s="22"/>
      <c r="AV100" s="22"/>
      <c r="AW100" s="22"/>
    </row>
    <row r="101" spans="1:49" ht="27" customHeight="1" x14ac:dyDescent="0.55000000000000004">
      <c r="A101" s="816"/>
      <c r="B101" s="817"/>
      <c r="C101" s="817"/>
      <c r="D101" s="817"/>
      <c r="E101" s="817"/>
      <c r="F101" s="818"/>
      <c r="G101" s="819"/>
      <c r="H101" s="820"/>
      <c r="I101" s="820"/>
      <c r="J101" s="820"/>
      <c r="K101" s="820"/>
      <c r="L101" s="820"/>
      <c r="M101" s="820"/>
      <c r="N101" s="820"/>
      <c r="O101" s="820"/>
      <c r="P101" s="820"/>
      <c r="Q101" s="820"/>
      <c r="R101" s="820"/>
      <c r="S101" s="820"/>
      <c r="T101" s="818"/>
      <c r="U101" s="819"/>
      <c r="V101" s="820"/>
      <c r="W101" s="820"/>
      <c r="X101" s="820"/>
      <c r="Y101" s="820"/>
      <c r="Z101" s="820"/>
      <c r="AA101" s="820"/>
      <c r="AB101" s="820"/>
      <c r="AC101" s="820"/>
      <c r="AD101" s="820"/>
      <c r="AE101" s="820"/>
      <c r="AF101" s="820"/>
      <c r="AG101" s="818"/>
      <c r="AH101" s="22"/>
      <c r="AI101" s="22"/>
      <c r="AJ101" s="22"/>
      <c r="AK101" s="22"/>
      <c r="AL101" s="22"/>
      <c r="AM101" s="22"/>
      <c r="AN101" s="22"/>
      <c r="AO101" s="22"/>
      <c r="AP101" s="22"/>
      <c r="AQ101" s="22"/>
      <c r="AR101" s="22"/>
      <c r="AS101" s="22"/>
      <c r="AT101" s="22"/>
      <c r="AU101" s="22"/>
      <c r="AV101" s="22"/>
      <c r="AW101" s="22"/>
    </row>
    <row r="102" spans="1:49" ht="27" customHeight="1" x14ac:dyDescent="0.55000000000000004">
      <c r="A102" s="816"/>
      <c r="B102" s="817"/>
      <c r="C102" s="817"/>
      <c r="D102" s="817"/>
      <c r="E102" s="817"/>
      <c r="F102" s="818"/>
      <c r="G102" s="819"/>
      <c r="H102" s="820"/>
      <c r="I102" s="820"/>
      <c r="J102" s="820"/>
      <c r="K102" s="820"/>
      <c r="L102" s="820"/>
      <c r="M102" s="820"/>
      <c r="N102" s="820"/>
      <c r="O102" s="820"/>
      <c r="P102" s="820"/>
      <c r="Q102" s="820"/>
      <c r="R102" s="820"/>
      <c r="S102" s="820"/>
      <c r="T102" s="818"/>
      <c r="U102" s="819"/>
      <c r="V102" s="820"/>
      <c r="W102" s="820"/>
      <c r="X102" s="820"/>
      <c r="Y102" s="820"/>
      <c r="Z102" s="820"/>
      <c r="AA102" s="820"/>
      <c r="AB102" s="820"/>
      <c r="AC102" s="820"/>
      <c r="AD102" s="820"/>
      <c r="AE102" s="820"/>
      <c r="AF102" s="820"/>
      <c r="AG102" s="818"/>
      <c r="AH102" s="22"/>
      <c r="AI102" s="22"/>
      <c r="AJ102" s="22"/>
      <c r="AK102" s="22"/>
      <c r="AL102" s="22"/>
      <c r="AM102" s="22"/>
      <c r="AN102" s="22"/>
      <c r="AO102" s="22"/>
      <c r="AP102" s="22"/>
      <c r="AQ102" s="22"/>
      <c r="AR102" s="22"/>
      <c r="AS102" s="22"/>
      <c r="AT102" s="22"/>
      <c r="AU102" s="22"/>
      <c r="AV102" s="22"/>
      <c r="AW102" s="22"/>
    </row>
    <row r="103" spans="1:49" ht="27" customHeight="1" x14ac:dyDescent="0.55000000000000004">
      <c r="A103" s="806" t="s">
        <v>120</v>
      </c>
      <c r="B103" s="807"/>
      <c r="C103" s="807"/>
      <c r="D103" s="807"/>
      <c r="E103" s="807"/>
      <c r="F103" s="792"/>
      <c r="G103" s="808" t="s">
        <v>1700</v>
      </c>
      <c r="H103" s="809"/>
      <c r="I103" s="809"/>
      <c r="J103" s="809"/>
      <c r="K103" s="809"/>
      <c r="L103" s="809"/>
      <c r="M103" s="809"/>
      <c r="N103" s="809"/>
      <c r="O103" s="809"/>
      <c r="P103" s="809"/>
      <c r="Q103" s="809"/>
      <c r="R103" s="809"/>
      <c r="S103" s="809"/>
      <c r="T103" s="792"/>
      <c r="U103" s="808"/>
      <c r="V103" s="809"/>
      <c r="W103" s="809"/>
      <c r="X103" s="809"/>
      <c r="Y103" s="809"/>
      <c r="Z103" s="809"/>
      <c r="AA103" s="809"/>
      <c r="AB103" s="809"/>
      <c r="AC103" s="809"/>
      <c r="AD103" s="809"/>
      <c r="AE103" s="809"/>
      <c r="AF103" s="809"/>
      <c r="AG103" s="792"/>
      <c r="AH103" s="22"/>
      <c r="AI103" s="22"/>
      <c r="AJ103" s="22"/>
      <c r="AK103" s="22"/>
      <c r="AL103" s="22"/>
      <c r="AM103" s="22"/>
      <c r="AN103" s="22"/>
      <c r="AO103" s="22"/>
      <c r="AP103" s="22"/>
      <c r="AQ103" s="22"/>
      <c r="AR103" s="22"/>
      <c r="AS103" s="22"/>
      <c r="AT103" s="22"/>
      <c r="AU103" s="22"/>
      <c r="AV103" s="22"/>
      <c r="AW103" s="22"/>
    </row>
    <row r="104" spans="1:49" ht="27" customHeight="1" x14ac:dyDescent="0.55000000000000004">
      <c r="A104" s="806"/>
      <c r="B104" s="807"/>
      <c r="C104" s="807"/>
      <c r="D104" s="807"/>
      <c r="E104" s="807"/>
      <c r="F104" s="792"/>
      <c r="G104" s="808"/>
      <c r="H104" s="809"/>
      <c r="I104" s="809"/>
      <c r="J104" s="809"/>
      <c r="K104" s="809"/>
      <c r="L104" s="809"/>
      <c r="M104" s="809"/>
      <c r="N104" s="809"/>
      <c r="O104" s="809"/>
      <c r="P104" s="809"/>
      <c r="Q104" s="809"/>
      <c r="R104" s="809"/>
      <c r="S104" s="809"/>
      <c r="T104" s="792"/>
      <c r="U104" s="808"/>
      <c r="V104" s="809"/>
      <c r="W104" s="809"/>
      <c r="X104" s="809"/>
      <c r="Y104" s="809"/>
      <c r="Z104" s="809"/>
      <c r="AA104" s="809"/>
      <c r="AB104" s="809"/>
      <c r="AC104" s="809"/>
      <c r="AD104" s="809"/>
      <c r="AE104" s="809"/>
      <c r="AF104" s="809"/>
      <c r="AG104" s="792"/>
      <c r="AH104" s="22"/>
      <c r="AI104" s="22"/>
      <c r="AJ104" s="22"/>
      <c r="AK104" s="22"/>
      <c r="AL104" s="22"/>
      <c r="AM104" s="22"/>
      <c r="AN104" s="22"/>
      <c r="AO104" s="22"/>
      <c r="AP104" s="22"/>
      <c r="AQ104" s="22"/>
      <c r="AR104" s="22"/>
      <c r="AS104" s="22"/>
      <c r="AT104" s="22"/>
      <c r="AU104" s="22"/>
      <c r="AV104" s="22"/>
      <c r="AW104" s="22"/>
    </row>
    <row r="105" spans="1:49" ht="27" customHeight="1" x14ac:dyDescent="0.55000000000000004">
      <c r="A105" s="806"/>
      <c r="B105" s="807"/>
      <c r="C105" s="807"/>
      <c r="D105" s="807"/>
      <c r="E105" s="807"/>
      <c r="F105" s="792"/>
      <c r="G105" s="808"/>
      <c r="H105" s="809"/>
      <c r="I105" s="809"/>
      <c r="J105" s="809"/>
      <c r="K105" s="809"/>
      <c r="L105" s="809"/>
      <c r="M105" s="809"/>
      <c r="N105" s="809"/>
      <c r="O105" s="809"/>
      <c r="P105" s="809"/>
      <c r="Q105" s="809"/>
      <c r="R105" s="809"/>
      <c r="S105" s="809"/>
      <c r="T105" s="792"/>
      <c r="U105" s="808"/>
      <c r="V105" s="809"/>
      <c r="W105" s="809"/>
      <c r="X105" s="809"/>
      <c r="Y105" s="809"/>
      <c r="Z105" s="809"/>
      <c r="AA105" s="809"/>
      <c r="AB105" s="809"/>
      <c r="AC105" s="809"/>
      <c r="AD105" s="809"/>
      <c r="AE105" s="809"/>
      <c r="AF105" s="809"/>
      <c r="AG105" s="792"/>
      <c r="AH105" s="22"/>
      <c r="AI105" s="22"/>
      <c r="AJ105" s="22"/>
      <c r="AK105" s="22"/>
      <c r="AL105" s="22"/>
      <c r="AM105" s="22"/>
      <c r="AN105" s="22"/>
      <c r="AO105" s="22"/>
      <c r="AP105" s="22"/>
      <c r="AQ105" s="22"/>
      <c r="AR105" s="22"/>
      <c r="AS105" s="22"/>
      <c r="AT105" s="22"/>
      <c r="AU105" s="22"/>
      <c r="AV105" s="22"/>
      <c r="AW105" s="22"/>
    </row>
    <row r="106" spans="1:49" ht="27" customHeight="1" x14ac:dyDescent="0.55000000000000004">
      <c r="A106" s="816" t="s">
        <v>35</v>
      </c>
      <c r="B106" s="817"/>
      <c r="C106" s="817"/>
      <c r="D106" s="817"/>
      <c r="E106" s="817"/>
      <c r="F106" s="818"/>
      <c r="G106" s="819" t="s">
        <v>1701</v>
      </c>
      <c r="H106" s="820"/>
      <c r="I106" s="820"/>
      <c r="J106" s="820"/>
      <c r="K106" s="820"/>
      <c r="L106" s="820"/>
      <c r="M106" s="820"/>
      <c r="N106" s="820"/>
      <c r="O106" s="820"/>
      <c r="P106" s="820"/>
      <c r="Q106" s="820"/>
      <c r="R106" s="820"/>
      <c r="S106" s="820"/>
      <c r="T106" s="818"/>
      <c r="U106" s="819"/>
      <c r="V106" s="820"/>
      <c r="W106" s="820"/>
      <c r="X106" s="820"/>
      <c r="Y106" s="820"/>
      <c r="Z106" s="820"/>
      <c r="AA106" s="820"/>
      <c r="AB106" s="820"/>
      <c r="AC106" s="820"/>
      <c r="AD106" s="820"/>
      <c r="AE106" s="820"/>
      <c r="AF106" s="820"/>
      <c r="AG106" s="818"/>
      <c r="AH106" s="22"/>
      <c r="AI106" s="22"/>
      <c r="AJ106" s="22"/>
      <c r="AK106" s="22"/>
      <c r="AL106" s="22"/>
      <c r="AM106" s="22"/>
      <c r="AN106" s="22"/>
      <c r="AO106" s="22"/>
      <c r="AP106" s="22"/>
      <c r="AQ106" s="22"/>
      <c r="AR106" s="22"/>
      <c r="AS106" s="22"/>
      <c r="AT106" s="22"/>
      <c r="AU106" s="22"/>
      <c r="AV106" s="22"/>
      <c r="AW106" s="22"/>
    </row>
    <row r="107" spans="1:49" ht="27" customHeight="1" x14ac:dyDescent="0.55000000000000004">
      <c r="A107" s="816"/>
      <c r="B107" s="817"/>
      <c r="C107" s="817"/>
      <c r="D107" s="817"/>
      <c r="E107" s="817"/>
      <c r="F107" s="818"/>
      <c r="G107" s="819"/>
      <c r="H107" s="820"/>
      <c r="I107" s="820"/>
      <c r="J107" s="820"/>
      <c r="K107" s="820"/>
      <c r="L107" s="820"/>
      <c r="M107" s="820"/>
      <c r="N107" s="820"/>
      <c r="O107" s="820"/>
      <c r="P107" s="820"/>
      <c r="Q107" s="820"/>
      <c r="R107" s="820"/>
      <c r="S107" s="820"/>
      <c r="T107" s="818"/>
      <c r="U107" s="819"/>
      <c r="V107" s="820"/>
      <c r="W107" s="820"/>
      <c r="X107" s="820"/>
      <c r="Y107" s="820"/>
      <c r="Z107" s="820"/>
      <c r="AA107" s="820"/>
      <c r="AB107" s="820"/>
      <c r="AC107" s="820"/>
      <c r="AD107" s="820"/>
      <c r="AE107" s="820"/>
      <c r="AF107" s="820"/>
      <c r="AG107" s="818"/>
      <c r="AH107" s="22"/>
      <c r="AI107" s="22"/>
      <c r="AJ107" s="22"/>
      <c r="AK107" s="22"/>
      <c r="AL107" s="22"/>
      <c r="AM107" s="22"/>
      <c r="AN107" s="22"/>
      <c r="AO107" s="22"/>
      <c r="AP107" s="22"/>
      <c r="AQ107" s="22"/>
      <c r="AR107" s="22"/>
      <c r="AS107" s="22"/>
      <c r="AT107" s="22"/>
      <c r="AU107" s="22"/>
      <c r="AV107" s="22"/>
      <c r="AW107" s="22"/>
    </row>
    <row r="108" spans="1:49" ht="27" customHeight="1" x14ac:dyDescent="0.55000000000000004">
      <c r="A108" s="806" t="s">
        <v>154</v>
      </c>
      <c r="B108" s="807"/>
      <c r="C108" s="807"/>
      <c r="D108" s="807"/>
      <c r="E108" s="807"/>
      <c r="F108" s="792"/>
      <c r="G108" s="808" t="s">
        <v>1702</v>
      </c>
      <c r="H108" s="809"/>
      <c r="I108" s="809"/>
      <c r="J108" s="809"/>
      <c r="K108" s="809"/>
      <c r="L108" s="809"/>
      <c r="M108" s="809"/>
      <c r="N108" s="809"/>
      <c r="O108" s="809"/>
      <c r="P108" s="809"/>
      <c r="Q108" s="809"/>
      <c r="R108" s="809"/>
      <c r="S108" s="809"/>
      <c r="T108" s="792"/>
      <c r="U108" s="808"/>
      <c r="V108" s="809"/>
      <c r="W108" s="809"/>
      <c r="X108" s="809"/>
      <c r="Y108" s="809"/>
      <c r="Z108" s="809"/>
      <c r="AA108" s="809"/>
      <c r="AB108" s="809"/>
      <c r="AC108" s="809"/>
      <c r="AD108" s="809"/>
      <c r="AE108" s="809"/>
      <c r="AF108" s="809"/>
      <c r="AG108" s="792"/>
      <c r="AH108" s="22"/>
      <c r="AI108" s="22"/>
      <c r="AJ108" s="22"/>
      <c r="AK108" s="22"/>
      <c r="AL108" s="22"/>
      <c r="AM108" s="22"/>
      <c r="AN108" s="22"/>
      <c r="AO108" s="22"/>
      <c r="AP108" s="22"/>
      <c r="AQ108" s="22"/>
      <c r="AR108" s="22"/>
      <c r="AS108" s="22"/>
      <c r="AT108" s="22"/>
      <c r="AU108" s="22"/>
      <c r="AV108" s="22"/>
      <c r="AW108" s="22"/>
    </row>
    <row r="109" spans="1:49" ht="27" customHeight="1" x14ac:dyDescent="0.55000000000000004">
      <c r="A109" s="806"/>
      <c r="B109" s="807"/>
      <c r="C109" s="807"/>
      <c r="D109" s="807"/>
      <c r="E109" s="807"/>
      <c r="F109" s="792"/>
      <c r="G109" s="808"/>
      <c r="H109" s="809"/>
      <c r="I109" s="809"/>
      <c r="J109" s="809"/>
      <c r="K109" s="809"/>
      <c r="L109" s="809"/>
      <c r="M109" s="809"/>
      <c r="N109" s="809"/>
      <c r="O109" s="809"/>
      <c r="P109" s="809"/>
      <c r="Q109" s="809"/>
      <c r="R109" s="809"/>
      <c r="S109" s="809"/>
      <c r="T109" s="792"/>
      <c r="U109" s="808"/>
      <c r="V109" s="809"/>
      <c r="W109" s="809"/>
      <c r="X109" s="809"/>
      <c r="Y109" s="809"/>
      <c r="Z109" s="809"/>
      <c r="AA109" s="809"/>
      <c r="AB109" s="809"/>
      <c r="AC109" s="809"/>
      <c r="AD109" s="809"/>
      <c r="AE109" s="809"/>
      <c r="AF109" s="809"/>
      <c r="AG109" s="792"/>
      <c r="AH109" s="22"/>
      <c r="AI109" s="22"/>
      <c r="AJ109" s="22"/>
      <c r="AK109" s="22"/>
      <c r="AL109" s="22"/>
      <c r="AM109" s="22"/>
      <c r="AN109" s="22"/>
      <c r="AO109" s="22"/>
      <c r="AP109" s="22"/>
      <c r="AQ109" s="22"/>
      <c r="AR109" s="22"/>
      <c r="AS109" s="22"/>
      <c r="AT109" s="22"/>
      <c r="AU109" s="22"/>
      <c r="AV109" s="22"/>
      <c r="AW109" s="22"/>
    </row>
    <row r="110" spans="1:49" ht="27" customHeight="1" x14ac:dyDescent="0.55000000000000004">
      <c r="A110" s="806"/>
      <c r="B110" s="807"/>
      <c r="C110" s="807"/>
      <c r="D110" s="807"/>
      <c r="E110" s="807"/>
      <c r="F110" s="792"/>
      <c r="G110" s="808"/>
      <c r="H110" s="809"/>
      <c r="I110" s="809"/>
      <c r="J110" s="809"/>
      <c r="K110" s="809"/>
      <c r="L110" s="809"/>
      <c r="M110" s="809"/>
      <c r="N110" s="809"/>
      <c r="O110" s="809"/>
      <c r="P110" s="809"/>
      <c r="Q110" s="809"/>
      <c r="R110" s="809"/>
      <c r="S110" s="809"/>
      <c r="T110" s="792"/>
      <c r="U110" s="808"/>
      <c r="V110" s="809"/>
      <c r="W110" s="809"/>
      <c r="X110" s="809"/>
      <c r="Y110" s="809"/>
      <c r="Z110" s="809"/>
      <c r="AA110" s="809"/>
      <c r="AB110" s="809"/>
      <c r="AC110" s="809"/>
      <c r="AD110" s="809"/>
      <c r="AE110" s="809"/>
      <c r="AF110" s="809"/>
      <c r="AG110" s="792"/>
      <c r="AH110" s="22"/>
      <c r="AI110" s="22"/>
      <c r="AJ110" s="22"/>
      <c r="AK110" s="22"/>
      <c r="AL110" s="22"/>
      <c r="AM110" s="22"/>
      <c r="AN110" s="22"/>
      <c r="AO110" s="22"/>
      <c r="AP110" s="22"/>
      <c r="AQ110" s="22"/>
      <c r="AR110" s="22"/>
      <c r="AS110" s="22"/>
      <c r="AT110" s="22"/>
      <c r="AU110" s="22"/>
      <c r="AV110" s="22"/>
      <c r="AW110" s="22"/>
    </row>
    <row r="111" spans="1:49" ht="27" customHeight="1" x14ac:dyDescent="0.55000000000000004">
      <c r="A111" s="816" t="s">
        <v>37</v>
      </c>
      <c r="B111" s="817"/>
      <c r="C111" s="817"/>
      <c r="D111" s="817"/>
      <c r="E111" s="817"/>
      <c r="F111" s="818"/>
      <c r="G111" s="819" t="s">
        <v>1703</v>
      </c>
      <c r="H111" s="820"/>
      <c r="I111" s="820"/>
      <c r="J111" s="820"/>
      <c r="K111" s="820"/>
      <c r="L111" s="820"/>
      <c r="M111" s="820"/>
      <c r="N111" s="820"/>
      <c r="O111" s="820"/>
      <c r="P111" s="820"/>
      <c r="Q111" s="820"/>
      <c r="R111" s="820"/>
      <c r="S111" s="820"/>
      <c r="T111" s="818"/>
      <c r="U111" s="819"/>
      <c r="V111" s="820"/>
      <c r="W111" s="820"/>
      <c r="X111" s="820"/>
      <c r="Y111" s="820"/>
      <c r="Z111" s="820"/>
      <c r="AA111" s="820"/>
      <c r="AB111" s="820"/>
      <c r="AC111" s="820"/>
      <c r="AD111" s="820"/>
      <c r="AE111" s="820"/>
      <c r="AF111" s="820"/>
      <c r="AG111" s="818"/>
      <c r="AH111" s="22"/>
      <c r="AI111" s="22"/>
      <c r="AJ111" s="22"/>
      <c r="AK111" s="22"/>
      <c r="AL111" s="22"/>
      <c r="AM111" s="22"/>
      <c r="AN111" s="22"/>
      <c r="AO111" s="22"/>
      <c r="AP111" s="22"/>
      <c r="AQ111" s="22"/>
      <c r="AR111" s="22"/>
      <c r="AS111" s="22"/>
      <c r="AT111" s="22"/>
      <c r="AU111" s="22"/>
      <c r="AV111" s="22"/>
      <c r="AW111" s="22"/>
    </row>
    <row r="112" spans="1:49" ht="27" customHeight="1" x14ac:dyDescent="0.55000000000000004">
      <c r="A112" s="816"/>
      <c r="B112" s="817"/>
      <c r="C112" s="817"/>
      <c r="D112" s="817"/>
      <c r="E112" s="817"/>
      <c r="F112" s="818"/>
      <c r="G112" s="819"/>
      <c r="H112" s="820"/>
      <c r="I112" s="820"/>
      <c r="J112" s="820"/>
      <c r="K112" s="820"/>
      <c r="L112" s="820"/>
      <c r="M112" s="820"/>
      <c r="N112" s="820"/>
      <c r="O112" s="820"/>
      <c r="P112" s="820"/>
      <c r="Q112" s="820"/>
      <c r="R112" s="820"/>
      <c r="S112" s="820"/>
      <c r="T112" s="818"/>
      <c r="U112" s="819"/>
      <c r="V112" s="820"/>
      <c r="W112" s="820"/>
      <c r="X112" s="820"/>
      <c r="Y112" s="820"/>
      <c r="Z112" s="820"/>
      <c r="AA112" s="820"/>
      <c r="AB112" s="820"/>
      <c r="AC112" s="820"/>
      <c r="AD112" s="820"/>
      <c r="AE112" s="820"/>
      <c r="AF112" s="820"/>
      <c r="AG112" s="818"/>
      <c r="AH112" s="22"/>
      <c r="AI112" s="22"/>
      <c r="AJ112" s="22"/>
      <c r="AK112" s="22"/>
      <c r="AL112" s="22"/>
      <c r="AM112" s="22"/>
      <c r="AN112" s="22"/>
      <c r="AO112" s="22"/>
      <c r="AP112" s="22"/>
      <c r="AQ112" s="22"/>
      <c r="AR112" s="22"/>
      <c r="AS112" s="22"/>
      <c r="AT112" s="22"/>
      <c r="AU112" s="22"/>
      <c r="AV112" s="22"/>
      <c r="AW112" s="22"/>
    </row>
    <row r="113" spans="1:49" ht="27" customHeight="1" x14ac:dyDescent="0.55000000000000004">
      <c r="A113" s="816"/>
      <c r="B113" s="817"/>
      <c r="C113" s="817"/>
      <c r="D113" s="817"/>
      <c r="E113" s="817"/>
      <c r="F113" s="818"/>
      <c r="G113" s="819"/>
      <c r="H113" s="820"/>
      <c r="I113" s="820"/>
      <c r="J113" s="820"/>
      <c r="K113" s="820"/>
      <c r="L113" s="820"/>
      <c r="M113" s="820"/>
      <c r="N113" s="820"/>
      <c r="O113" s="820"/>
      <c r="P113" s="820"/>
      <c r="Q113" s="820"/>
      <c r="R113" s="820"/>
      <c r="S113" s="820"/>
      <c r="T113" s="818"/>
      <c r="U113" s="819"/>
      <c r="V113" s="820"/>
      <c r="W113" s="820"/>
      <c r="X113" s="820"/>
      <c r="Y113" s="820"/>
      <c r="Z113" s="820"/>
      <c r="AA113" s="820"/>
      <c r="AB113" s="820"/>
      <c r="AC113" s="820"/>
      <c r="AD113" s="820"/>
      <c r="AE113" s="820"/>
      <c r="AF113" s="820"/>
      <c r="AG113" s="818"/>
      <c r="AH113" s="22"/>
      <c r="AI113" s="22"/>
      <c r="AJ113" s="22"/>
      <c r="AK113" s="22"/>
      <c r="AL113" s="22"/>
      <c r="AM113" s="22"/>
      <c r="AN113" s="22"/>
      <c r="AO113" s="22"/>
      <c r="AP113" s="22"/>
      <c r="AQ113" s="22"/>
      <c r="AR113" s="22"/>
      <c r="AS113" s="22"/>
      <c r="AT113" s="22"/>
      <c r="AU113" s="22"/>
      <c r="AV113" s="22"/>
      <c r="AW113" s="22"/>
    </row>
    <row r="114" spans="1:49" ht="27" customHeight="1" x14ac:dyDescent="0.55000000000000004">
      <c r="A114" s="821" t="s">
        <v>1704</v>
      </c>
      <c r="B114" s="822"/>
      <c r="C114" s="822"/>
      <c r="D114" s="822"/>
      <c r="E114" s="822"/>
      <c r="F114" s="822"/>
      <c r="G114" s="821" t="s">
        <v>1</v>
      </c>
      <c r="H114" s="822"/>
      <c r="I114" s="822"/>
      <c r="J114" s="822"/>
      <c r="K114" s="822"/>
      <c r="L114" s="822"/>
      <c r="M114" s="822"/>
      <c r="N114" s="822"/>
      <c r="O114" s="822"/>
      <c r="P114" s="822"/>
      <c r="Q114" s="822"/>
      <c r="R114" s="822"/>
      <c r="S114" s="822"/>
      <c r="T114" s="823"/>
      <c r="U114" s="821" t="s">
        <v>1648</v>
      </c>
      <c r="V114" s="822"/>
      <c r="W114" s="822"/>
      <c r="X114" s="822"/>
      <c r="Y114" s="822"/>
      <c r="Z114" s="822"/>
      <c r="AA114" s="822"/>
      <c r="AB114" s="822"/>
      <c r="AC114" s="822"/>
      <c r="AD114" s="822"/>
      <c r="AE114" s="822"/>
      <c r="AF114" s="822"/>
      <c r="AG114" s="823"/>
      <c r="AH114" s="22"/>
      <c r="AI114" s="22"/>
      <c r="AJ114" s="22"/>
      <c r="AK114" s="22"/>
      <c r="AL114" s="22"/>
      <c r="AM114" s="22"/>
      <c r="AN114" s="22"/>
      <c r="AO114" s="22"/>
      <c r="AP114" s="22"/>
      <c r="AQ114" s="22"/>
      <c r="AR114" s="22"/>
      <c r="AS114" s="22"/>
      <c r="AT114" s="22"/>
      <c r="AU114" s="22"/>
      <c r="AV114" s="22"/>
      <c r="AW114" s="22"/>
    </row>
    <row r="115" spans="1:49" ht="27" customHeight="1" x14ac:dyDescent="0.55000000000000004">
      <c r="A115" s="816" t="s">
        <v>157</v>
      </c>
      <c r="B115" s="817"/>
      <c r="C115" s="817"/>
      <c r="D115" s="817"/>
      <c r="E115" s="817"/>
      <c r="F115" s="818"/>
      <c r="G115" s="819" t="s">
        <v>1705</v>
      </c>
      <c r="H115" s="820"/>
      <c r="I115" s="820"/>
      <c r="J115" s="820"/>
      <c r="K115" s="820"/>
      <c r="L115" s="820"/>
      <c r="M115" s="820"/>
      <c r="N115" s="820"/>
      <c r="O115" s="820"/>
      <c r="P115" s="820"/>
      <c r="Q115" s="820"/>
      <c r="R115" s="820"/>
      <c r="S115" s="820"/>
      <c r="T115" s="818"/>
      <c r="U115" s="819" t="s">
        <v>1706</v>
      </c>
      <c r="V115" s="820"/>
      <c r="W115" s="820"/>
      <c r="X115" s="820"/>
      <c r="Y115" s="820"/>
      <c r="Z115" s="820"/>
      <c r="AA115" s="820"/>
      <c r="AB115" s="820"/>
      <c r="AC115" s="820"/>
      <c r="AD115" s="820"/>
      <c r="AE115" s="820"/>
      <c r="AF115" s="820"/>
      <c r="AG115" s="818"/>
      <c r="AH115" s="22"/>
      <c r="AI115" s="22"/>
      <c r="AJ115" s="22"/>
      <c r="AK115" s="22"/>
      <c r="AL115" s="22"/>
      <c r="AM115" s="22"/>
      <c r="AN115" s="22"/>
      <c r="AO115" s="22"/>
      <c r="AP115" s="22"/>
      <c r="AQ115" s="22"/>
      <c r="AR115" s="22"/>
      <c r="AS115" s="22"/>
      <c r="AT115" s="22"/>
      <c r="AU115" s="22"/>
      <c r="AV115" s="22"/>
      <c r="AW115" s="22"/>
    </row>
    <row r="116" spans="1:49" ht="27" customHeight="1" x14ac:dyDescent="0.55000000000000004">
      <c r="A116" s="816"/>
      <c r="B116" s="817"/>
      <c r="C116" s="817"/>
      <c r="D116" s="817"/>
      <c r="E116" s="817"/>
      <c r="F116" s="818"/>
      <c r="G116" s="819"/>
      <c r="H116" s="820"/>
      <c r="I116" s="820"/>
      <c r="J116" s="820"/>
      <c r="K116" s="820"/>
      <c r="L116" s="820"/>
      <c r="M116" s="820"/>
      <c r="N116" s="820"/>
      <c r="O116" s="820"/>
      <c r="P116" s="820"/>
      <c r="Q116" s="820"/>
      <c r="R116" s="820"/>
      <c r="S116" s="820"/>
      <c r="T116" s="818"/>
      <c r="U116" s="819"/>
      <c r="V116" s="820"/>
      <c r="W116" s="820"/>
      <c r="X116" s="820"/>
      <c r="Y116" s="820"/>
      <c r="Z116" s="820"/>
      <c r="AA116" s="820"/>
      <c r="AB116" s="820"/>
      <c r="AC116" s="820"/>
      <c r="AD116" s="820"/>
      <c r="AE116" s="820"/>
      <c r="AF116" s="820"/>
      <c r="AG116" s="818"/>
      <c r="AH116" s="22"/>
      <c r="AI116" s="22"/>
      <c r="AJ116" s="22"/>
      <c r="AK116" s="22"/>
      <c r="AL116" s="22"/>
      <c r="AM116" s="22"/>
      <c r="AN116" s="22"/>
      <c r="AO116" s="22"/>
      <c r="AP116" s="22"/>
      <c r="AQ116" s="22"/>
      <c r="AR116" s="22"/>
      <c r="AS116" s="22"/>
      <c r="AT116" s="22"/>
      <c r="AU116" s="22"/>
      <c r="AV116" s="22"/>
      <c r="AW116" s="22"/>
    </row>
    <row r="117" spans="1:49" ht="27" customHeight="1" x14ac:dyDescent="0.55000000000000004">
      <c r="A117" s="816"/>
      <c r="B117" s="817"/>
      <c r="C117" s="817"/>
      <c r="D117" s="817"/>
      <c r="E117" s="817"/>
      <c r="F117" s="818"/>
      <c r="G117" s="819"/>
      <c r="H117" s="820"/>
      <c r="I117" s="820"/>
      <c r="J117" s="820"/>
      <c r="K117" s="820"/>
      <c r="L117" s="820"/>
      <c r="M117" s="820"/>
      <c r="N117" s="820"/>
      <c r="O117" s="820"/>
      <c r="P117" s="820"/>
      <c r="Q117" s="820"/>
      <c r="R117" s="820"/>
      <c r="S117" s="820"/>
      <c r="T117" s="818"/>
      <c r="U117" s="819"/>
      <c r="V117" s="820"/>
      <c r="W117" s="820"/>
      <c r="X117" s="820"/>
      <c r="Y117" s="820"/>
      <c r="Z117" s="820"/>
      <c r="AA117" s="820"/>
      <c r="AB117" s="820"/>
      <c r="AC117" s="820"/>
      <c r="AD117" s="820"/>
      <c r="AE117" s="820"/>
      <c r="AF117" s="820"/>
      <c r="AG117" s="818"/>
      <c r="AH117" s="22"/>
      <c r="AI117" s="22"/>
      <c r="AJ117" s="22"/>
      <c r="AK117" s="22"/>
      <c r="AL117" s="22"/>
      <c r="AM117" s="22"/>
      <c r="AN117" s="22"/>
      <c r="AO117" s="22"/>
      <c r="AP117" s="22"/>
      <c r="AQ117" s="22"/>
      <c r="AR117" s="22"/>
      <c r="AS117" s="22"/>
      <c r="AT117" s="22"/>
      <c r="AU117" s="22"/>
      <c r="AV117" s="22"/>
      <c r="AW117" s="22"/>
    </row>
    <row r="118" spans="1:49" ht="27" customHeight="1" x14ac:dyDescent="0.55000000000000004">
      <c r="A118" s="816"/>
      <c r="B118" s="817"/>
      <c r="C118" s="817"/>
      <c r="D118" s="817"/>
      <c r="E118" s="817"/>
      <c r="F118" s="818"/>
      <c r="G118" s="819"/>
      <c r="H118" s="820"/>
      <c r="I118" s="820"/>
      <c r="J118" s="820"/>
      <c r="K118" s="820"/>
      <c r="L118" s="820"/>
      <c r="M118" s="820"/>
      <c r="N118" s="820"/>
      <c r="O118" s="820"/>
      <c r="P118" s="820"/>
      <c r="Q118" s="820"/>
      <c r="R118" s="820"/>
      <c r="S118" s="820"/>
      <c r="T118" s="818"/>
      <c r="U118" s="819"/>
      <c r="V118" s="820"/>
      <c r="W118" s="820"/>
      <c r="X118" s="820"/>
      <c r="Y118" s="820"/>
      <c r="Z118" s="820"/>
      <c r="AA118" s="820"/>
      <c r="AB118" s="820"/>
      <c r="AC118" s="820"/>
      <c r="AD118" s="820"/>
      <c r="AE118" s="820"/>
      <c r="AF118" s="820"/>
      <c r="AG118" s="818"/>
      <c r="AH118" s="22"/>
      <c r="AI118" s="22"/>
      <c r="AJ118" s="22"/>
      <c r="AK118" s="22"/>
      <c r="AL118" s="22"/>
      <c r="AM118" s="22"/>
      <c r="AN118" s="22"/>
      <c r="AO118" s="22"/>
      <c r="AP118" s="22"/>
      <c r="AQ118" s="22"/>
      <c r="AR118" s="22"/>
      <c r="AS118" s="22"/>
      <c r="AT118" s="22"/>
      <c r="AU118" s="22"/>
      <c r="AV118" s="22"/>
      <c r="AW118" s="22"/>
    </row>
    <row r="119" spans="1:49" ht="27" customHeight="1" x14ac:dyDescent="0.55000000000000004">
      <c r="A119" s="806" t="s">
        <v>158</v>
      </c>
      <c r="B119" s="807"/>
      <c r="C119" s="807"/>
      <c r="D119" s="807"/>
      <c r="E119" s="807"/>
      <c r="F119" s="792"/>
      <c r="G119" s="808" t="s">
        <v>1707</v>
      </c>
      <c r="H119" s="809"/>
      <c r="I119" s="809"/>
      <c r="J119" s="809"/>
      <c r="K119" s="809"/>
      <c r="L119" s="809"/>
      <c r="M119" s="809"/>
      <c r="N119" s="809"/>
      <c r="O119" s="809"/>
      <c r="P119" s="809"/>
      <c r="Q119" s="809"/>
      <c r="R119" s="809"/>
      <c r="S119" s="809"/>
      <c r="T119" s="792"/>
      <c r="U119" s="808" t="s">
        <v>1708</v>
      </c>
      <c r="V119" s="809"/>
      <c r="W119" s="809"/>
      <c r="X119" s="809"/>
      <c r="Y119" s="809"/>
      <c r="Z119" s="809"/>
      <c r="AA119" s="809"/>
      <c r="AB119" s="809"/>
      <c r="AC119" s="809"/>
      <c r="AD119" s="809"/>
      <c r="AE119" s="809"/>
      <c r="AF119" s="809"/>
      <c r="AG119" s="792"/>
      <c r="AH119" s="22"/>
      <c r="AI119" s="22"/>
      <c r="AJ119" s="22"/>
      <c r="AK119" s="22"/>
      <c r="AL119" s="22"/>
      <c r="AM119" s="22"/>
      <c r="AN119" s="22"/>
      <c r="AO119" s="22"/>
      <c r="AP119" s="22"/>
      <c r="AQ119" s="22"/>
      <c r="AR119" s="22"/>
      <c r="AS119" s="22"/>
      <c r="AT119" s="22"/>
      <c r="AU119" s="22"/>
      <c r="AV119" s="22"/>
      <c r="AW119" s="22"/>
    </row>
    <row r="120" spans="1:49" ht="27" customHeight="1" x14ac:dyDescent="0.55000000000000004">
      <c r="A120" s="806"/>
      <c r="B120" s="807"/>
      <c r="C120" s="807"/>
      <c r="D120" s="807"/>
      <c r="E120" s="807"/>
      <c r="F120" s="792"/>
      <c r="G120" s="808"/>
      <c r="H120" s="809"/>
      <c r="I120" s="809"/>
      <c r="J120" s="809"/>
      <c r="K120" s="809"/>
      <c r="L120" s="809"/>
      <c r="M120" s="809"/>
      <c r="N120" s="809"/>
      <c r="O120" s="809"/>
      <c r="P120" s="809"/>
      <c r="Q120" s="809"/>
      <c r="R120" s="809"/>
      <c r="S120" s="809"/>
      <c r="T120" s="792"/>
      <c r="U120" s="808"/>
      <c r="V120" s="809"/>
      <c r="W120" s="809"/>
      <c r="X120" s="809"/>
      <c r="Y120" s="809"/>
      <c r="Z120" s="809"/>
      <c r="AA120" s="809"/>
      <c r="AB120" s="809"/>
      <c r="AC120" s="809"/>
      <c r="AD120" s="809"/>
      <c r="AE120" s="809"/>
      <c r="AF120" s="809"/>
      <c r="AG120" s="792"/>
      <c r="AH120" s="22"/>
      <c r="AI120" s="22"/>
      <c r="AJ120" s="22"/>
      <c r="AK120" s="22"/>
      <c r="AL120" s="22"/>
      <c r="AM120" s="22"/>
      <c r="AN120" s="22"/>
      <c r="AO120" s="22"/>
      <c r="AP120" s="22"/>
      <c r="AQ120" s="22"/>
      <c r="AR120" s="22"/>
      <c r="AS120" s="22"/>
      <c r="AT120" s="22"/>
      <c r="AU120" s="22"/>
      <c r="AV120" s="22"/>
      <c r="AW120" s="22"/>
    </row>
    <row r="121" spans="1:49" ht="27" customHeight="1" x14ac:dyDescent="0.55000000000000004">
      <c r="A121" s="806"/>
      <c r="B121" s="807"/>
      <c r="C121" s="807"/>
      <c r="D121" s="807"/>
      <c r="E121" s="807"/>
      <c r="F121" s="792"/>
      <c r="G121" s="808"/>
      <c r="H121" s="809"/>
      <c r="I121" s="809"/>
      <c r="J121" s="809"/>
      <c r="K121" s="809"/>
      <c r="L121" s="809"/>
      <c r="M121" s="809"/>
      <c r="N121" s="809"/>
      <c r="O121" s="809"/>
      <c r="P121" s="809"/>
      <c r="Q121" s="809"/>
      <c r="R121" s="809"/>
      <c r="S121" s="809"/>
      <c r="T121" s="792"/>
      <c r="U121" s="808"/>
      <c r="V121" s="809"/>
      <c r="W121" s="809"/>
      <c r="X121" s="809"/>
      <c r="Y121" s="809"/>
      <c r="Z121" s="809"/>
      <c r="AA121" s="809"/>
      <c r="AB121" s="809"/>
      <c r="AC121" s="809"/>
      <c r="AD121" s="809"/>
      <c r="AE121" s="809"/>
      <c r="AF121" s="809"/>
      <c r="AG121" s="792"/>
      <c r="AH121" s="22"/>
      <c r="AI121" s="22"/>
      <c r="AJ121" s="22"/>
      <c r="AK121" s="22"/>
      <c r="AL121" s="22"/>
      <c r="AM121" s="22"/>
      <c r="AN121" s="22"/>
      <c r="AO121" s="22"/>
      <c r="AP121" s="22"/>
      <c r="AQ121" s="22"/>
      <c r="AR121" s="22"/>
      <c r="AS121" s="22"/>
      <c r="AT121" s="22"/>
      <c r="AU121" s="22"/>
      <c r="AV121" s="22"/>
      <c r="AW121" s="22"/>
    </row>
    <row r="122" spans="1:49" ht="27" customHeight="1" x14ac:dyDescent="0.55000000000000004">
      <c r="A122" s="816" t="s">
        <v>1709</v>
      </c>
      <c r="B122" s="817"/>
      <c r="C122" s="817"/>
      <c r="D122" s="817"/>
      <c r="E122" s="817"/>
      <c r="F122" s="818"/>
      <c r="G122" s="819" t="s">
        <v>1710</v>
      </c>
      <c r="H122" s="820"/>
      <c r="I122" s="820"/>
      <c r="J122" s="820"/>
      <c r="K122" s="820"/>
      <c r="L122" s="820"/>
      <c r="M122" s="820"/>
      <c r="N122" s="820"/>
      <c r="O122" s="820"/>
      <c r="P122" s="820"/>
      <c r="Q122" s="820"/>
      <c r="R122" s="820"/>
      <c r="S122" s="820"/>
      <c r="T122" s="818"/>
      <c r="U122" s="819" t="s">
        <v>1711</v>
      </c>
      <c r="V122" s="820"/>
      <c r="W122" s="820"/>
      <c r="X122" s="820"/>
      <c r="Y122" s="820"/>
      <c r="Z122" s="820"/>
      <c r="AA122" s="820"/>
      <c r="AB122" s="820"/>
      <c r="AC122" s="820"/>
      <c r="AD122" s="820"/>
      <c r="AE122" s="820"/>
      <c r="AF122" s="820"/>
      <c r="AG122" s="818"/>
      <c r="AH122" s="22"/>
      <c r="AI122" s="22"/>
      <c r="AJ122" s="22"/>
      <c r="AK122" s="22"/>
      <c r="AL122" s="22"/>
      <c r="AM122" s="22"/>
      <c r="AN122" s="22"/>
      <c r="AO122" s="22"/>
      <c r="AP122" s="22"/>
      <c r="AQ122" s="22"/>
      <c r="AR122" s="22"/>
      <c r="AS122" s="22"/>
      <c r="AT122" s="22"/>
      <c r="AU122" s="22"/>
      <c r="AV122" s="22"/>
      <c r="AW122" s="22"/>
    </row>
    <row r="123" spans="1:49" ht="27" customHeight="1" x14ac:dyDescent="0.55000000000000004">
      <c r="A123" s="816"/>
      <c r="B123" s="817"/>
      <c r="C123" s="817"/>
      <c r="D123" s="817"/>
      <c r="E123" s="817"/>
      <c r="F123" s="818"/>
      <c r="G123" s="819"/>
      <c r="H123" s="820"/>
      <c r="I123" s="820"/>
      <c r="J123" s="820"/>
      <c r="K123" s="820"/>
      <c r="L123" s="820"/>
      <c r="M123" s="820"/>
      <c r="N123" s="820"/>
      <c r="O123" s="820"/>
      <c r="P123" s="820"/>
      <c r="Q123" s="820"/>
      <c r="R123" s="820"/>
      <c r="S123" s="820"/>
      <c r="T123" s="818"/>
      <c r="U123" s="819"/>
      <c r="V123" s="820"/>
      <c r="W123" s="820"/>
      <c r="X123" s="820"/>
      <c r="Y123" s="820"/>
      <c r="Z123" s="820"/>
      <c r="AA123" s="820"/>
      <c r="AB123" s="820"/>
      <c r="AC123" s="820"/>
      <c r="AD123" s="820"/>
      <c r="AE123" s="820"/>
      <c r="AF123" s="820"/>
      <c r="AG123" s="818"/>
      <c r="AH123" s="22"/>
      <c r="AI123" s="22"/>
      <c r="AJ123" s="22"/>
      <c r="AK123" s="22"/>
      <c r="AL123" s="22"/>
      <c r="AM123" s="22"/>
      <c r="AN123" s="22"/>
      <c r="AO123" s="22"/>
      <c r="AP123" s="22"/>
      <c r="AQ123" s="22"/>
      <c r="AR123" s="22"/>
      <c r="AS123" s="22"/>
      <c r="AT123" s="22"/>
      <c r="AU123" s="22"/>
      <c r="AV123" s="22"/>
      <c r="AW123" s="22"/>
    </row>
    <row r="124" spans="1:49" ht="27" customHeight="1" x14ac:dyDescent="0.55000000000000004">
      <c r="A124" s="816"/>
      <c r="B124" s="817"/>
      <c r="C124" s="817"/>
      <c r="D124" s="817"/>
      <c r="E124" s="817"/>
      <c r="F124" s="818"/>
      <c r="G124" s="819"/>
      <c r="H124" s="820"/>
      <c r="I124" s="820"/>
      <c r="J124" s="820"/>
      <c r="K124" s="820"/>
      <c r="L124" s="820"/>
      <c r="M124" s="820"/>
      <c r="N124" s="820"/>
      <c r="O124" s="820"/>
      <c r="P124" s="820"/>
      <c r="Q124" s="820"/>
      <c r="R124" s="820"/>
      <c r="S124" s="820"/>
      <c r="T124" s="818"/>
      <c r="U124" s="819"/>
      <c r="V124" s="820"/>
      <c r="W124" s="820"/>
      <c r="X124" s="820"/>
      <c r="Y124" s="820"/>
      <c r="Z124" s="820"/>
      <c r="AA124" s="820"/>
      <c r="AB124" s="820"/>
      <c r="AC124" s="820"/>
      <c r="AD124" s="820"/>
      <c r="AE124" s="820"/>
      <c r="AF124" s="820"/>
      <c r="AG124" s="818"/>
      <c r="AH124" s="22"/>
      <c r="AI124" s="22"/>
      <c r="AJ124" s="22"/>
      <c r="AK124" s="22"/>
      <c r="AL124" s="22"/>
      <c r="AM124" s="22"/>
      <c r="AN124" s="22"/>
      <c r="AO124" s="22"/>
      <c r="AP124" s="22"/>
      <c r="AQ124" s="22"/>
      <c r="AR124" s="22"/>
      <c r="AS124" s="22"/>
      <c r="AT124" s="22"/>
      <c r="AU124" s="22"/>
      <c r="AV124" s="22"/>
      <c r="AW124" s="22"/>
    </row>
    <row r="125" spans="1:49" ht="27" customHeight="1" x14ac:dyDescent="0.55000000000000004">
      <c r="A125" s="816"/>
      <c r="B125" s="817"/>
      <c r="C125" s="817"/>
      <c r="D125" s="817"/>
      <c r="E125" s="817"/>
      <c r="F125" s="818"/>
      <c r="G125" s="819"/>
      <c r="H125" s="820"/>
      <c r="I125" s="820"/>
      <c r="J125" s="820"/>
      <c r="K125" s="820"/>
      <c r="L125" s="820"/>
      <c r="M125" s="820"/>
      <c r="N125" s="820"/>
      <c r="O125" s="820"/>
      <c r="P125" s="820"/>
      <c r="Q125" s="820"/>
      <c r="R125" s="820"/>
      <c r="S125" s="820"/>
      <c r="T125" s="818"/>
      <c r="U125" s="819"/>
      <c r="V125" s="820"/>
      <c r="W125" s="820"/>
      <c r="X125" s="820"/>
      <c r="Y125" s="820"/>
      <c r="Z125" s="820"/>
      <c r="AA125" s="820"/>
      <c r="AB125" s="820"/>
      <c r="AC125" s="820"/>
      <c r="AD125" s="820"/>
      <c r="AE125" s="820"/>
      <c r="AF125" s="820"/>
      <c r="AG125" s="818"/>
      <c r="AH125" s="22"/>
      <c r="AI125" s="22"/>
      <c r="AJ125" s="22"/>
      <c r="AK125" s="22"/>
      <c r="AL125" s="22"/>
      <c r="AM125" s="22"/>
      <c r="AN125" s="22"/>
      <c r="AO125" s="22"/>
      <c r="AP125" s="22"/>
      <c r="AQ125" s="22"/>
      <c r="AR125" s="22"/>
      <c r="AS125" s="22"/>
      <c r="AT125" s="22"/>
      <c r="AU125" s="22"/>
      <c r="AV125" s="22"/>
      <c r="AW125" s="22"/>
    </row>
    <row r="126" spans="1:49" ht="27" customHeight="1" x14ac:dyDescent="0.55000000000000004">
      <c r="A126" s="816"/>
      <c r="B126" s="817"/>
      <c r="C126" s="817"/>
      <c r="D126" s="817"/>
      <c r="E126" s="817"/>
      <c r="F126" s="818"/>
      <c r="G126" s="819"/>
      <c r="H126" s="820"/>
      <c r="I126" s="820"/>
      <c r="J126" s="820"/>
      <c r="K126" s="820"/>
      <c r="L126" s="820"/>
      <c r="M126" s="820"/>
      <c r="N126" s="820"/>
      <c r="O126" s="820"/>
      <c r="P126" s="820"/>
      <c r="Q126" s="820"/>
      <c r="R126" s="820"/>
      <c r="S126" s="820"/>
      <c r="T126" s="818"/>
      <c r="U126" s="819"/>
      <c r="V126" s="820"/>
      <c r="W126" s="820"/>
      <c r="X126" s="820"/>
      <c r="Y126" s="820"/>
      <c r="Z126" s="820"/>
      <c r="AA126" s="820"/>
      <c r="AB126" s="820"/>
      <c r="AC126" s="820"/>
      <c r="AD126" s="820"/>
      <c r="AE126" s="820"/>
      <c r="AF126" s="820"/>
      <c r="AG126" s="818"/>
      <c r="AH126" s="22"/>
      <c r="AI126" s="22"/>
      <c r="AJ126" s="22"/>
      <c r="AK126" s="22"/>
      <c r="AL126" s="22"/>
      <c r="AM126" s="22"/>
      <c r="AN126" s="22"/>
      <c r="AO126" s="22"/>
      <c r="AP126" s="22"/>
      <c r="AQ126" s="22"/>
      <c r="AR126" s="22"/>
      <c r="AS126" s="22"/>
      <c r="AT126" s="22"/>
      <c r="AU126" s="22"/>
      <c r="AV126" s="22"/>
      <c r="AW126" s="22"/>
    </row>
    <row r="127" spans="1:49" ht="27" customHeight="1" x14ac:dyDescent="0.55000000000000004">
      <c r="A127" s="810" t="s">
        <v>126</v>
      </c>
      <c r="B127" s="811"/>
      <c r="C127" s="811"/>
      <c r="D127" s="811"/>
      <c r="E127" s="811"/>
      <c r="F127" s="812"/>
      <c r="G127" s="810" t="s">
        <v>1</v>
      </c>
      <c r="H127" s="811"/>
      <c r="I127" s="811"/>
      <c r="J127" s="811"/>
      <c r="K127" s="811"/>
      <c r="L127" s="811"/>
      <c r="M127" s="811"/>
      <c r="N127" s="811"/>
      <c r="O127" s="811"/>
      <c r="P127" s="811"/>
      <c r="Q127" s="811"/>
      <c r="R127" s="811"/>
      <c r="S127" s="811"/>
      <c r="T127" s="812"/>
      <c r="U127" s="810" t="s">
        <v>1648</v>
      </c>
      <c r="V127" s="811"/>
      <c r="W127" s="811"/>
      <c r="X127" s="811"/>
      <c r="Y127" s="811"/>
      <c r="Z127" s="811"/>
      <c r="AA127" s="811"/>
      <c r="AB127" s="811"/>
      <c r="AC127" s="811"/>
      <c r="AD127" s="811"/>
      <c r="AE127" s="811"/>
      <c r="AF127" s="811"/>
      <c r="AG127" s="812"/>
      <c r="AH127" s="22"/>
      <c r="AI127" s="22"/>
      <c r="AJ127" s="22"/>
      <c r="AK127" s="22"/>
      <c r="AL127" s="22"/>
      <c r="AM127" s="22"/>
      <c r="AN127" s="22"/>
      <c r="AO127" s="22"/>
      <c r="AP127" s="22"/>
      <c r="AQ127" s="22"/>
      <c r="AR127" s="22"/>
      <c r="AS127" s="22"/>
      <c r="AT127" s="22"/>
      <c r="AU127" s="22"/>
      <c r="AV127" s="22"/>
      <c r="AW127" s="22"/>
    </row>
    <row r="128" spans="1:49" ht="27" customHeight="1" x14ac:dyDescent="0.55000000000000004">
      <c r="A128" s="813"/>
      <c r="B128" s="814"/>
      <c r="C128" s="814"/>
      <c r="D128" s="814"/>
      <c r="E128" s="814"/>
      <c r="F128" s="815"/>
      <c r="G128" s="813"/>
      <c r="H128" s="814"/>
      <c r="I128" s="814"/>
      <c r="J128" s="814"/>
      <c r="K128" s="814"/>
      <c r="L128" s="814"/>
      <c r="M128" s="814"/>
      <c r="N128" s="814"/>
      <c r="O128" s="814"/>
      <c r="P128" s="814"/>
      <c r="Q128" s="814"/>
      <c r="R128" s="814"/>
      <c r="S128" s="814"/>
      <c r="T128" s="815"/>
      <c r="U128" s="813"/>
      <c r="V128" s="814"/>
      <c r="W128" s="814"/>
      <c r="X128" s="814"/>
      <c r="Y128" s="814"/>
      <c r="Z128" s="814"/>
      <c r="AA128" s="814"/>
      <c r="AB128" s="814"/>
      <c r="AC128" s="814"/>
      <c r="AD128" s="814"/>
      <c r="AE128" s="814"/>
      <c r="AF128" s="814"/>
      <c r="AG128" s="815"/>
      <c r="AH128" s="22"/>
      <c r="AI128" s="22"/>
      <c r="AJ128" s="22"/>
      <c r="AK128" s="22"/>
      <c r="AL128" s="22"/>
      <c r="AM128" s="22"/>
      <c r="AN128" s="22"/>
      <c r="AO128" s="22"/>
      <c r="AP128" s="22"/>
      <c r="AQ128" s="22"/>
      <c r="AR128" s="22"/>
      <c r="AS128" s="22"/>
      <c r="AT128" s="22"/>
      <c r="AU128" s="22"/>
      <c r="AV128" s="22"/>
      <c r="AW128" s="22"/>
    </row>
    <row r="129" spans="1:49" ht="27" customHeight="1" x14ac:dyDescent="0.55000000000000004">
      <c r="A129" s="816" t="s">
        <v>160</v>
      </c>
      <c r="B129" s="817"/>
      <c r="C129" s="817"/>
      <c r="D129" s="817"/>
      <c r="E129" s="817"/>
      <c r="F129" s="818"/>
      <c r="G129" s="819" t="s">
        <v>1712</v>
      </c>
      <c r="H129" s="820"/>
      <c r="I129" s="820"/>
      <c r="J129" s="820"/>
      <c r="K129" s="820"/>
      <c r="L129" s="820"/>
      <c r="M129" s="820"/>
      <c r="N129" s="820"/>
      <c r="O129" s="820"/>
      <c r="P129" s="820"/>
      <c r="Q129" s="820"/>
      <c r="R129" s="820"/>
      <c r="S129" s="820"/>
      <c r="T129" s="818"/>
      <c r="U129" s="819" t="s">
        <v>1713</v>
      </c>
      <c r="V129" s="820"/>
      <c r="W129" s="820"/>
      <c r="X129" s="820"/>
      <c r="Y129" s="820"/>
      <c r="Z129" s="820"/>
      <c r="AA129" s="820"/>
      <c r="AB129" s="820"/>
      <c r="AC129" s="820"/>
      <c r="AD129" s="820"/>
      <c r="AE129" s="820"/>
      <c r="AF129" s="820"/>
      <c r="AG129" s="818"/>
      <c r="AH129" s="22"/>
      <c r="AI129" s="22"/>
      <c r="AJ129" s="22"/>
      <c r="AK129" s="22"/>
      <c r="AL129" s="22"/>
      <c r="AM129" s="22"/>
      <c r="AN129" s="22"/>
      <c r="AO129" s="22"/>
      <c r="AP129" s="22"/>
      <c r="AQ129" s="22"/>
      <c r="AR129" s="22"/>
      <c r="AS129" s="22"/>
      <c r="AT129" s="22"/>
      <c r="AU129" s="22"/>
      <c r="AV129" s="22"/>
      <c r="AW129" s="22"/>
    </row>
    <row r="130" spans="1:49" ht="27" customHeight="1" x14ac:dyDescent="0.55000000000000004">
      <c r="A130" s="816"/>
      <c r="B130" s="817"/>
      <c r="C130" s="817"/>
      <c r="D130" s="817"/>
      <c r="E130" s="817"/>
      <c r="F130" s="818"/>
      <c r="G130" s="819"/>
      <c r="H130" s="820"/>
      <c r="I130" s="820"/>
      <c r="J130" s="820"/>
      <c r="K130" s="820"/>
      <c r="L130" s="820"/>
      <c r="M130" s="820"/>
      <c r="N130" s="820"/>
      <c r="O130" s="820"/>
      <c r="P130" s="820"/>
      <c r="Q130" s="820"/>
      <c r="R130" s="820"/>
      <c r="S130" s="820"/>
      <c r="T130" s="818"/>
      <c r="U130" s="819"/>
      <c r="V130" s="820"/>
      <c r="W130" s="820"/>
      <c r="X130" s="820"/>
      <c r="Y130" s="820"/>
      <c r="Z130" s="820"/>
      <c r="AA130" s="820"/>
      <c r="AB130" s="820"/>
      <c r="AC130" s="820"/>
      <c r="AD130" s="820"/>
      <c r="AE130" s="820"/>
      <c r="AF130" s="820"/>
      <c r="AG130" s="818"/>
      <c r="AH130" s="22"/>
      <c r="AI130" s="22"/>
      <c r="AJ130" s="22"/>
      <c r="AK130" s="22"/>
      <c r="AL130" s="22"/>
      <c r="AM130" s="22"/>
      <c r="AN130" s="22"/>
      <c r="AO130" s="22"/>
      <c r="AP130" s="22"/>
      <c r="AQ130" s="22"/>
      <c r="AR130" s="22"/>
      <c r="AS130" s="22"/>
      <c r="AT130" s="22"/>
      <c r="AU130" s="22"/>
      <c r="AV130" s="22"/>
      <c r="AW130" s="22"/>
    </row>
    <row r="131" spans="1:49" ht="27" customHeight="1" x14ac:dyDescent="0.55000000000000004">
      <c r="A131" s="816"/>
      <c r="B131" s="817"/>
      <c r="C131" s="817"/>
      <c r="D131" s="817"/>
      <c r="E131" s="817"/>
      <c r="F131" s="818"/>
      <c r="G131" s="819"/>
      <c r="H131" s="820"/>
      <c r="I131" s="820"/>
      <c r="J131" s="820"/>
      <c r="K131" s="820"/>
      <c r="L131" s="820"/>
      <c r="M131" s="820"/>
      <c r="N131" s="820"/>
      <c r="O131" s="820"/>
      <c r="P131" s="820"/>
      <c r="Q131" s="820"/>
      <c r="R131" s="820"/>
      <c r="S131" s="820"/>
      <c r="T131" s="818"/>
      <c r="U131" s="819"/>
      <c r="V131" s="820"/>
      <c r="W131" s="820"/>
      <c r="X131" s="820"/>
      <c r="Y131" s="820"/>
      <c r="Z131" s="820"/>
      <c r="AA131" s="820"/>
      <c r="AB131" s="820"/>
      <c r="AC131" s="820"/>
      <c r="AD131" s="820"/>
      <c r="AE131" s="820"/>
      <c r="AF131" s="820"/>
      <c r="AG131" s="818"/>
      <c r="AH131" s="22"/>
      <c r="AI131" s="22"/>
      <c r="AJ131" s="22"/>
      <c r="AK131" s="22"/>
      <c r="AL131" s="22"/>
      <c r="AM131" s="22"/>
      <c r="AN131" s="22"/>
      <c r="AO131" s="22"/>
      <c r="AP131" s="22"/>
      <c r="AQ131" s="22"/>
      <c r="AR131" s="22"/>
      <c r="AS131" s="22"/>
      <c r="AT131" s="22"/>
      <c r="AU131" s="22"/>
      <c r="AV131" s="22"/>
      <c r="AW131" s="22"/>
    </row>
    <row r="132" spans="1:49" ht="27" customHeight="1" x14ac:dyDescent="0.55000000000000004">
      <c r="A132" s="816"/>
      <c r="B132" s="817"/>
      <c r="C132" s="817"/>
      <c r="D132" s="817"/>
      <c r="E132" s="817"/>
      <c r="F132" s="818"/>
      <c r="G132" s="819"/>
      <c r="H132" s="820"/>
      <c r="I132" s="820"/>
      <c r="J132" s="820"/>
      <c r="K132" s="820"/>
      <c r="L132" s="820"/>
      <c r="M132" s="820"/>
      <c r="N132" s="820"/>
      <c r="O132" s="820"/>
      <c r="P132" s="820"/>
      <c r="Q132" s="820"/>
      <c r="R132" s="820"/>
      <c r="S132" s="820"/>
      <c r="T132" s="818"/>
      <c r="U132" s="819"/>
      <c r="V132" s="820"/>
      <c r="W132" s="820"/>
      <c r="X132" s="820"/>
      <c r="Y132" s="820"/>
      <c r="Z132" s="820"/>
      <c r="AA132" s="820"/>
      <c r="AB132" s="820"/>
      <c r="AC132" s="820"/>
      <c r="AD132" s="820"/>
      <c r="AE132" s="820"/>
      <c r="AF132" s="820"/>
      <c r="AG132" s="818"/>
      <c r="AH132" s="22"/>
      <c r="AI132" s="22"/>
      <c r="AJ132" s="22"/>
      <c r="AK132" s="22"/>
      <c r="AL132" s="22"/>
      <c r="AM132" s="22"/>
      <c r="AN132" s="22"/>
      <c r="AO132" s="22"/>
      <c r="AP132" s="22"/>
      <c r="AQ132" s="22"/>
      <c r="AR132" s="22"/>
      <c r="AS132" s="22"/>
      <c r="AT132" s="22"/>
      <c r="AU132" s="22"/>
      <c r="AV132" s="22"/>
      <c r="AW132" s="22"/>
    </row>
    <row r="133" spans="1:49" ht="27" customHeight="1" x14ac:dyDescent="0.55000000000000004">
      <c r="A133" s="806" t="s">
        <v>159</v>
      </c>
      <c r="B133" s="807"/>
      <c r="C133" s="807"/>
      <c r="D133" s="807"/>
      <c r="E133" s="807"/>
      <c r="F133" s="792"/>
      <c r="G133" s="808" t="s">
        <v>1714</v>
      </c>
      <c r="H133" s="809"/>
      <c r="I133" s="809"/>
      <c r="J133" s="809"/>
      <c r="K133" s="809"/>
      <c r="L133" s="809"/>
      <c r="M133" s="809"/>
      <c r="N133" s="809"/>
      <c r="O133" s="809"/>
      <c r="P133" s="809"/>
      <c r="Q133" s="809"/>
      <c r="R133" s="809"/>
      <c r="S133" s="809"/>
      <c r="T133" s="792"/>
      <c r="U133" s="808" t="s">
        <v>1715</v>
      </c>
      <c r="V133" s="809"/>
      <c r="W133" s="809"/>
      <c r="X133" s="809"/>
      <c r="Y133" s="809"/>
      <c r="Z133" s="809"/>
      <c r="AA133" s="809"/>
      <c r="AB133" s="809"/>
      <c r="AC133" s="809"/>
      <c r="AD133" s="809"/>
      <c r="AE133" s="809"/>
      <c r="AF133" s="809"/>
      <c r="AG133" s="792"/>
      <c r="AH133" s="22"/>
      <c r="AI133" s="22"/>
      <c r="AJ133" s="22"/>
      <c r="AK133" s="22"/>
      <c r="AL133" s="22"/>
      <c r="AM133" s="22"/>
      <c r="AN133" s="22"/>
      <c r="AO133" s="22"/>
      <c r="AP133" s="22"/>
      <c r="AQ133" s="22"/>
      <c r="AR133" s="22"/>
      <c r="AS133" s="22"/>
      <c r="AT133" s="22"/>
      <c r="AU133" s="22"/>
      <c r="AV133" s="22"/>
      <c r="AW133" s="22"/>
    </row>
    <row r="134" spans="1:49" ht="27" customHeight="1" x14ac:dyDescent="0.55000000000000004">
      <c r="A134" s="806"/>
      <c r="B134" s="807"/>
      <c r="C134" s="807"/>
      <c r="D134" s="807"/>
      <c r="E134" s="807"/>
      <c r="F134" s="792"/>
      <c r="G134" s="808"/>
      <c r="H134" s="809"/>
      <c r="I134" s="809"/>
      <c r="J134" s="809"/>
      <c r="K134" s="809"/>
      <c r="L134" s="809"/>
      <c r="M134" s="809"/>
      <c r="N134" s="809"/>
      <c r="O134" s="809"/>
      <c r="P134" s="809"/>
      <c r="Q134" s="809"/>
      <c r="R134" s="809"/>
      <c r="S134" s="809"/>
      <c r="T134" s="792"/>
      <c r="U134" s="808"/>
      <c r="V134" s="809"/>
      <c r="W134" s="809"/>
      <c r="X134" s="809"/>
      <c r="Y134" s="809"/>
      <c r="Z134" s="809"/>
      <c r="AA134" s="809"/>
      <c r="AB134" s="809"/>
      <c r="AC134" s="809"/>
      <c r="AD134" s="809"/>
      <c r="AE134" s="809"/>
      <c r="AF134" s="809"/>
      <c r="AG134" s="792"/>
      <c r="AH134" s="22"/>
      <c r="AI134" s="22"/>
      <c r="AJ134" s="22"/>
      <c r="AK134" s="22"/>
      <c r="AL134" s="22"/>
      <c r="AM134" s="22"/>
      <c r="AN134" s="22"/>
      <c r="AO134" s="22"/>
      <c r="AP134" s="22"/>
      <c r="AQ134" s="22"/>
      <c r="AR134" s="22"/>
      <c r="AS134" s="22"/>
      <c r="AT134" s="22"/>
      <c r="AU134" s="22"/>
      <c r="AV134" s="22"/>
      <c r="AW134" s="22"/>
    </row>
    <row r="135" spans="1:49" ht="27" customHeight="1" x14ac:dyDescent="0.55000000000000004">
      <c r="A135" s="806"/>
      <c r="B135" s="807"/>
      <c r="C135" s="807"/>
      <c r="D135" s="807"/>
      <c r="E135" s="807"/>
      <c r="F135" s="792"/>
      <c r="G135" s="808"/>
      <c r="H135" s="809"/>
      <c r="I135" s="809"/>
      <c r="J135" s="809"/>
      <c r="K135" s="809"/>
      <c r="L135" s="809"/>
      <c r="M135" s="809"/>
      <c r="N135" s="809"/>
      <c r="O135" s="809"/>
      <c r="P135" s="809"/>
      <c r="Q135" s="809"/>
      <c r="R135" s="809"/>
      <c r="S135" s="809"/>
      <c r="T135" s="792"/>
      <c r="U135" s="808"/>
      <c r="V135" s="809"/>
      <c r="W135" s="809"/>
      <c r="X135" s="809"/>
      <c r="Y135" s="809"/>
      <c r="Z135" s="809"/>
      <c r="AA135" s="809"/>
      <c r="AB135" s="809"/>
      <c r="AC135" s="809"/>
      <c r="AD135" s="809"/>
      <c r="AE135" s="809"/>
      <c r="AF135" s="809"/>
      <c r="AG135" s="792"/>
      <c r="AH135" s="22"/>
      <c r="AI135" s="22"/>
      <c r="AJ135" s="22"/>
      <c r="AK135" s="22"/>
      <c r="AL135" s="22"/>
      <c r="AM135" s="22"/>
      <c r="AN135" s="22"/>
      <c r="AO135" s="22"/>
      <c r="AP135" s="22"/>
      <c r="AQ135" s="22"/>
      <c r="AR135" s="22"/>
      <c r="AS135" s="22"/>
      <c r="AT135" s="22"/>
      <c r="AU135" s="22"/>
      <c r="AV135" s="22"/>
      <c r="AW135" s="22"/>
    </row>
    <row r="136" spans="1:49" x14ac:dyDescent="0.55000000000000004">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c r="AA136" s="22"/>
      <c r="AB136" s="22"/>
      <c r="AC136" s="22"/>
      <c r="AD136" s="22"/>
      <c r="AE136" s="22"/>
      <c r="AF136" s="22"/>
      <c r="AG136" s="22"/>
      <c r="AH136" s="22"/>
      <c r="AI136" s="22"/>
      <c r="AJ136" s="22"/>
      <c r="AK136" s="22"/>
      <c r="AL136" s="22"/>
      <c r="AM136" s="22"/>
      <c r="AN136" s="22"/>
      <c r="AO136" s="22"/>
      <c r="AP136" s="22"/>
      <c r="AQ136" s="22"/>
      <c r="AR136" s="22"/>
      <c r="AS136" s="22"/>
      <c r="AT136" s="22"/>
      <c r="AU136" s="22"/>
      <c r="AV136" s="22"/>
      <c r="AW136" s="22"/>
    </row>
  </sheetData>
  <sheetProtection algorithmName="SHA-512" hashValue="zQfypusFTOR08U2IU7urRr81XfTiNy5EBNi6ilx65k3VaX7Y+qdV//D3A7BVdXCdD+BlUDltCBTRnRCT0Fy8dw==" saltValue="LA0/ZE2B/jU955skNW2/dQ==" spinCount="100000" sheet="1" objects="1" scenarios="1" formatColumns="0" formatRows="0"/>
  <mergeCells count="285">
    <mergeCell ref="F17:F20"/>
    <mergeCell ref="U22:AF24"/>
    <mergeCell ref="A17:E20"/>
    <mergeCell ref="A5:AG5"/>
    <mergeCell ref="A6:F6"/>
    <mergeCell ref="G6:T6"/>
    <mergeCell ref="U6:AG6"/>
    <mergeCell ref="A7:E9"/>
    <mergeCell ref="F7:F9"/>
    <mergeCell ref="G7:S9"/>
    <mergeCell ref="T7:T9"/>
    <mergeCell ref="U7:AF9"/>
    <mergeCell ref="AG7:AG9"/>
    <mergeCell ref="AG10:AG11"/>
    <mergeCell ref="A12:E16"/>
    <mergeCell ref="F12:F16"/>
    <mergeCell ref="G12:S16"/>
    <mergeCell ref="T12:T16"/>
    <mergeCell ref="U12:AF16"/>
    <mergeCell ref="AG12:AG16"/>
    <mergeCell ref="A10:E11"/>
    <mergeCell ref="F10:F11"/>
    <mergeCell ref="G10:S11"/>
    <mergeCell ref="T10:T11"/>
    <mergeCell ref="U10:AF11"/>
    <mergeCell ref="A38:E40"/>
    <mergeCell ref="G17:S20"/>
    <mergeCell ref="T17:T20"/>
    <mergeCell ref="U17:AF20"/>
    <mergeCell ref="AG25:AG27"/>
    <mergeCell ref="A28:E31"/>
    <mergeCell ref="F28:F31"/>
    <mergeCell ref="G28:S31"/>
    <mergeCell ref="T28:T31"/>
    <mergeCell ref="U28:AF31"/>
    <mergeCell ref="AG28:AG31"/>
    <mergeCell ref="A25:E27"/>
    <mergeCell ref="F25:F27"/>
    <mergeCell ref="G25:S27"/>
    <mergeCell ref="T25:T27"/>
    <mergeCell ref="U25:AF27"/>
    <mergeCell ref="AG17:AG20"/>
    <mergeCell ref="A21:F21"/>
    <mergeCell ref="G21:T21"/>
    <mergeCell ref="U21:AG21"/>
    <mergeCell ref="A22:E24"/>
    <mergeCell ref="F22:F24"/>
    <mergeCell ref="G22:S24"/>
    <mergeCell ref="F38:F40"/>
    <mergeCell ref="G38:S40"/>
    <mergeCell ref="T38:T40"/>
    <mergeCell ref="U38:AF40"/>
    <mergeCell ref="AG38:AG40"/>
    <mergeCell ref="AG32:AG34"/>
    <mergeCell ref="A35:E37"/>
    <mergeCell ref="F35:F37"/>
    <mergeCell ref="F41:F44"/>
    <mergeCell ref="G41:S44"/>
    <mergeCell ref="T41:T44"/>
    <mergeCell ref="U41:AF44"/>
    <mergeCell ref="T22:T24"/>
    <mergeCell ref="G35:S37"/>
    <mergeCell ref="T35:T37"/>
    <mergeCell ref="U35:AF37"/>
    <mergeCell ref="AG35:AG37"/>
    <mergeCell ref="A32:E34"/>
    <mergeCell ref="F32:F34"/>
    <mergeCell ref="G32:S34"/>
    <mergeCell ref="T32:T34"/>
    <mergeCell ref="U32:AF34"/>
    <mergeCell ref="AG22:AG24"/>
    <mergeCell ref="A51:E53"/>
    <mergeCell ref="F51:F53"/>
    <mergeCell ref="G51:S53"/>
    <mergeCell ref="T51:T53"/>
    <mergeCell ref="U51:AF53"/>
    <mergeCell ref="AG51:AG53"/>
    <mergeCell ref="A49:E50"/>
    <mergeCell ref="F49:F50"/>
    <mergeCell ref="G49:S50"/>
    <mergeCell ref="T49:T50"/>
    <mergeCell ref="U49:AF50"/>
    <mergeCell ref="AG49:AG50"/>
    <mergeCell ref="G45:T45"/>
    <mergeCell ref="U45:AG45"/>
    <mergeCell ref="A46:E48"/>
    <mergeCell ref="F46:F48"/>
    <mergeCell ref="G46:S48"/>
    <mergeCell ref="T46:T48"/>
    <mergeCell ref="U46:AF48"/>
    <mergeCell ref="AG46:AG48"/>
    <mergeCell ref="AG41:AG44"/>
    <mergeCell ref="A41:E44"/>
    <mergeCell ref="A45:F45"/>
    <mergeCell ref="G54:S57"/>
    <mergeCell ref="T54:T57"/>
    <mergeCell ref="U54:AF57"/>
    <mergeCell ref="AG54:AG57"/>
    <mergeCell ref="A58:E62"/>
    <mergeCell ref="F58:F62"/>
    <mergeCell ref="G58:S62"/>
    <mergeCell ref="T58:T62"/>
    <mergeCell ref="U58:AF62"/>
    <mergeCell ref="AG58:AG62"/>
    <mergeCell ref="A54:E57"/>
    <mergeCell ref="F54:F57"/>
    <mergeCell ref="AG63:AG64"/>
    <mergeCell ref="A63:E64"/>
    <mergeCell ref="F63:F64"/>
    <mergeCell ref="G63:S64"/>
    <mergeCell ref="T63:T64"/>
    <mergeCell ref="U63:AF64"/>
    <mergeCell ref="A65:F65"/>
    <mergeCell ref="G65:T65"/>
    <mergeCell ref="U65:AG65"/>
    <mergeCell ref="A66:E69"/>
    <mergeCell ref="F66:F69"/>
    <mergeCell ref="G66:S69"/>
    <mergeCell ref="T66:T69"/>
    <mergeCell ref="U66:AF69"/>
    <mergeCell ref="AG66:AG69"/>
    <mergeCell ref="AG70:AG73"/>
    <mergeCell ref="A74:E76"/>
    <mergeCell ref="F74:F76"/>
    <mergeCell ref="G74:S76"/>
    <mergeCell ref="T74:T76"/>
    <mergeCell ref="U74:AF76"/>
    <mergeCell ref="AG74:AG76"/>
    <mergeCell ref="A70:E73"/>
    <mergeCell ref="F70:F73"/>
    <mergeCell ref="G70:S73"/>
    <mergeCell ref="T70:T73"/>
    <mergeCell ref="U70:AF73"/>
    <mergeCell ref="A77:AG77"/>
    <mergeCell ref="A78:F78"/>
    <mergeCell ref="G78:T78"/>
    <mergeCell ref="U78:AG78"/>
    <mergeCell ref="A79:E82"/>
    <mergeCell ref="F79:F82"/>
    <mergeCell ref="G79:S82"/>
    <mergeCell ref="T79:T82"/>
    <mergeCell ref="U79:AF82"/>
    <mergeCell ref="AG79:AG82"/>
    <mergeCell ref="AG83:AG86"/>
    <mergeCell ref="A87:E89"/>
    <mergeCell ref="F87:F89"/>
    <mergeCell ref="G87:S89"/>
    <mergeCell ref="T87:T89"/>
    <mergeCell ref="U87:AF89"/>
    <mergeCell ref="AG87:AG89"/>
    <mergeCell ref="A83:E86"/>
    <mergeCell ref="F83:F86"/>
    <mergeCell ref="G83:S86"/>
    <mergeCell ref="T83:T86"/>
    <mergeCell ref="U83:AF86"/>
    <mergeCell ref="AG90:AG93"/>
    <mergeCell ref="A94:E96"/>
    <mergeCell ref="F94:F96"/>
    <mergeCell ref="G94:S96"/>
    <mergeCell ref="T94:T96"/>
    <mergeCell ref="U94:AF96"/>
    <mergeCell ref="AG94:AG96"/>
    <mergeCell ref="A90:E93"/>
    <mergeCell ref="F90:F93"/>
    <mergeCell ref="G90:S93"/>
    <mergeCell ref="T90:T93"/>
    <mergeCell ref="U90:AF93"/>
    <mergeCell ref="AG97:AG99"/>
    <mergeCell ref="A100:E102"/>
    <mergeCell ref="F100:F102"/>
    <mergeCell ref="G100:S102"/>
    <mergeCell ref="T100:T102"/>
    <mergeCell ref="U100:AF102"/>
    <mergeCell ref="AG100:AG102"/>
    <mergeCell ref="A97:E99"/>
    <mergeCell ref="F97:F99"/>
    <mergeCell ref="G97:S99"/>
    <mergeCell ref="T97:T99"/>
    <mergeCell ref="U97:AF99"/>
    <mergeCell ref="AG103:AG105"/>
    <mergeCell ref="A106:E107"/>
    <mergeCell ref="F106:F107"/>
    <mergeCell ref="G106:S107"/>
    <mergeCell ref="T106:T107"/>
    <mergeCell ref="U106:AF107"/>
    <mergeCell ref="AG106:AG107"/>
    <mergeCell ref="A103:E105"/>
    <mergeCell ref="F103:F105"/>
    <mergeCell ref="G103:S105"/>
    <mergeCell ref="T103:T105"/>
    <mergeCell ref="U103:AF105"/>
    <mergeCell ref="AG108:AG110"/>
    <mergeCell ref="A111:E113"/>
    <mergeCell ref="F111:F113"/>
    <mergeCell ref="G111:S113"/>
    <mergeCell ref="T111:T113"/>
    <mergeCell ref="U111:AF113"/>
    <mergeCell ref="AG111:AG113"/>
    <mergeCell ref="A108:E110"/>
    <mergeCell ref="F108:F110"/>
    <mergeCell ref="G108:S110"/>
    <mergeCell ref="T108:T110"/>
    <mergeCell ref="U108:AF110"/>
    <mergeCell ref="A114:F114"/>
    <mergeCell ref="G114:T114"/>
    <mergeCell ref="U114:AG114"/>
    <mergeCell ref="A115:E118"/>
    <mergeCell ref="F115:F118"/>
    <mergeCell ref="G115:S118"/>
    <mergeCell ref="T115:T118"/>
    <mergeCell ref="U115:AF118"/>
    <mergeCell ref="AG115:AG118"/>
    <mergeCell ref="U129:AF132"/>
    <mergeCell ref="AG129:AG132"/>
    <mergeCell ref="AG119:AG121"/>
    <mergeCell ref="A122:E126"/>
    <mergeCell ref="F122:F126"/>
    <mergeCell ref="G122:S126"/>
    <mergeCell ref="T122:T126"/>
    <mergeCell ref="U122:AF126"/>
    <mergeCell ref="AG122:AG126"/>
    <mergeCell ref="A119:E121"/>
    <mergeCell ref="F119:F121"/>
    <mergeCell ref="G119:S121"/>
    <mergeCell ref="T119:T121"/>
    <mergeCell ref="U119:AF121"/>
    <mergeCell ref="AI26:AJ26"/>
    <mergeCell ref="AI27:AJ27"/>
    <mergeCell ref="AI18:AJ18"/>
    <mergeCell ref="AI19:AJ19"/>
    <mergeCell ref="AI20:AJ20"/>
    <mergeCell ref="AI21:AJ21"/>
    <mergeCell ref="AI22:AJ22"/>
    <mergeCell ref="AG133:AG135"/>
    <mergeCell ref="A1:AG2"/>
    <mergeCell ref="A3:AG4"/>
    <mergeCell ref="AI16:AJ16"/>
    <mergeCell ref="AI17:AJ17"/>
    <mergeCell ref="A133:E135"/>
    <mergeCell ref="F133:F135"/>
    <mergeCell ref="G133:S135"/>
    <mergeCell ref="T133:T135"/>
    <mergeCell ref="U133:AF135"/>
    <mergeCell ref="A127:F128"/>
    <mergeCell ref="G127:T128"/>
    <mergeCell ref="U127:AG128"/>
    <mergeCell ref="A129:E132"/>
    <mergeCell ref="F129:F132"/>
    <mergeCell ref="G129:S132"/>
    <mergeCell ref="T129:T132"/>
    <mergeCell ref="AK26:AV26"/>
    <mergeCell ref="AK27:AV27"/>
    <mergeCell ref="AK28:AV28"/>
    <mergeCell ref="AK29:AV29"/>
    <mergeCell ref="AK30:AV30"/>
    <mergeCell ref="AI28:AJ28"/>
    <mergeCell ref="AI29:AJ29"/>
    <mergeCell ref="AI30:AJ30"/>
    <mergeCell ref="AI14:AV14"/>
    <mergeCell ref="AI15:AJ15"/>
    <mergeCell ref="AK15:AV15"/>
    <mergeCell ref="AK16:AV16"/>
    <mergeCell ref="AK17:AV17"/>
    <mergeCell ref="AK18:AV18"/>
    <mergeCell ref="AK19:AV19"/>
    <mergeCell ref="AK20:AV20"/>
    <mergeCell ref="AK21:AV21"/>
    <mergeCell ref="AK22:AV22"/>
    <mergeCell ref="AK23:AV23"/>
    <mergeCell ref="AK24:AV24"/>
    <mergeCell ref="AK25:AV25"/>
    <mergeCell ref="AI23:AJ23"/>
    <mergeCell ref="AI24:AJ24"/>
    <mergeCell ref="AI25:AJ25"/>
    <mergeCell ref="AI12:AU12"/>
    <mergeCell ref="AI9:AU9"/>
    <mergeCell ref="AI7:AU7"/>
    <mergeCell ref="AI8:AU8"/>
    <mergeCell ref="AI10:AU10"/>
    <mergeCell ref="AI11:AU11"/>
    <mergeCell ref="AI1:AV2"/>
    <mergeCell ref="AI3:AU3"/>
    <mergeCell ref="AI4:AU4"/>
    <mergeCell ref="AI5:AU5"/>
    <mergeCell ref="AI6:AU6"/>
  </mergeCells>
  <hyperlinks>
    <hyperlink ref="AI4" r:id="rId1" xr:uid="{462A389B-2D35-4E34-8F8A-91B35C72D8CD}"/>
    <hyperlink ref="AI6" r:id="rId2" xr:uid="{5DC4F420-D05A-4DD2-9AE1-5BC45E2FEB66}"/>
    <hyperlink ref="AI8" r:id="rId3" xr:uid="{1D81DBAE-5EC6-4D0C-AF2F-9FA7ED3A165D}"/>
    <hyperlink ref="AI10" r:id="rId4" xr:uid="{CB976A76-6EE4-44DD-8442-2B3FE5FE7623}"/>
    <hyperlink ref="AI12" r:id="rId5" xr:uid="{86682D18-3551-40E5-AA61-30D97C24897D}"/>
    <hyperlink ref="AI12:AU12" r:id="rId6" display="https://fmx.cpa.state.tx.us/fmx/pubs/afrrptreq/universities/index.php?section=organization&amp;page=tuition  " xr:uid="{76DB3F8F-8514-4B49-BC3E-8C697CEB17A4}"/>
  </hyperlinks>
  <pageMargins left="0.7" right="0.7" top="0.75" bottom="0.75" header="0.3" footer="0.3"/>
  <drawing r:id="rId7"/>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115A4-109E-4587-ADEE-001FAEE140EA}">
  <sheetPr codeName="Sheet11">
    <tabColor theme="5"/>
    <pageSetUpPr fitToPage="1"/>
  </sheetPr>
  <dimension ref="A1:X86"/>
  <sheetViews>
    <sheetView zoomScale="50" zoomScaleNormal="50" workbookViewId="0">
      <selection sqref="A1:T1"/>
    </sheetView>
  </sheetViews>
  <sheetFormatPr defaultColWidth="8.83203125" defaultRowHeight="21" x14ac:dyDescent="0.55000000000000004"/>
  <cols>
    <col min="1" max="1" width="62.6640625" style="13" customWidth="1"/>
    <col min="2" max="2" width="8.6640625" style="13" hidden="1" customWidth="1"/>
    <col min="3" max="3" width="10.6640625" style="13" hidden="1" customWidth="1"/>
    <col min="4" max="8" width="14.58203125" style="13" customWidth="1"/>
    <col min="9" max="9" width="20.58203125" style="13" customWidth="1"/>
    <col min="10" max="10" width="14.58203125" style="13" customWidth="1"/>
    <col min="11" max="11" width="2.58203125" style="13" customWidth="1"/>
    <col min="12" max="16" width="14.58203125" style="13" customWidth="1"/>
    <col min="17" max="17" width="20.58203125" style="13" customWidth="1"/>
    <col min="18" max="18" width="14.58203125" style="13" customWidth="1"/>
    <col min="19" max="19" width="2.58203125" style="13" customWidth="1"/>
    <col min="20" max="20" width="15.58203125" style="13" customWidth="1"/>
    <col min="21" max="21" width="5.58203125" style="13" customWidth="1"/>
    <col min="22" max="16384" width="8.83203125" style="13"/>
  </cols>
  <sheetData>
    <row r="1" spans="1:24" ht="55.2" customHeight="1" x14ac:dyDescent="0.55000000000000004">
      <c r="A1" s="834" t="s">
        <v>814</v>
      </c>
      <c r="B1" s="834"/>
      <c r="C1" s="834"/>
      <c r="D1" s="834"/>
      <c r="E1" s="834"/>
      <c r="F1" s="834"/>
      <c r="G1" s="834"/>
      <c r="H1" s="834"/>
      <c r="I1" s="834"/>
      <c r="J1" s="834"/>
      <c r="K1" s="834"/>
      <c r="L1" s="834"/>
      <c r="M1" s="834"/>
      <c r="N1" s="834"/>
      <c r="O1" s="834"/>
      <c r="P1" s="834"/>
      <c r="Q1" s="834"/>
      <c r="R1" s="834"/>
      <c r="S1" s="834"/>
      <c r="T1" s="834"/>
      <c r="U1" s="12"/>
    </row>
    <row r="2" spans="1:24" ht="34.950000000000003" customHeight="1" x14ac:dyDescent="0.55000000000000004">
      <c r="A2" s="848" t="s">
        <v>1840</v>
      </c>
      <c r="B2" s="848"/>
      <c r="C2" s="848"/>
      <c r="D2" s="848"/>
      <c r="E2" s="848"/>
      <c r="F2" s="848"/>
      <c r="G2" s="848"/>
      <c r="H2" s="848"/>
      <c r="I2" s="848"/>
      <c r="J2" s="848"/>
      <c r="K2" s="848"/>
      <c r="L2" s="848"/>
      <c r="M2" s="848"/>
      <c r="N2" s="848"/>
      <c r="O2" s="848"/>
      <c r="P2" s="848"/>
      <c r="Q2" s="848"/>
      <c r="R2" s="848"/>
      <c r="S2" s="848"/>
      <c r="T2" s="848"/>
      <c r="U2" s="12"/>
    </row>
    <row r="3" spans="1:24" ht="27" customHeight="1" x14ac:dyDescent="0.55000000000000004">
      <c r="A3" s="849" t="str">
        <f>"Report as of "&amp;TEXT(Hidden!$A$4,"MMMM D, YYYY")</f>
        <v>Report as of April 22, 2025</v>
      </c>
      <c r="B3" s="849"/>
      <c r="C3" s="849"/>
      <c r="D3" s="849"/>
      <c r="E3" s="849"/>
      <c r="F3" s="849"/>
      <c r="G3" s="849"/>
      <c r="H3" s="849"/>
      <c r="I3" s="849"/>
      <c r="J3" s="849"/>
      <c r="K3" s="849"/>
      <c r="L3" s="849"/>
      <c r="M3" s="849"/>
      <c r="N3" s="849"/>
      <c r="O3" s="849"/>
      <c r="P3" s="849"/>
      <c r="Q3" s="849"/>
      <c r="R3" s="849"/>
      <c r="S3" s="849"/>
      <c r="T3" s="849"/>
      <c r="U3" s="12"/>
    </row>
    <row r="4" spans="1:24" ht="27" customHeight="1" x14ac:dyDescent="0.55000000000000004">
      <c r="A4" s="836"/>
      <c r="B4" s="836"/>
      <c r="C4" s="836"/>
      <c r="D4" s="836"/>
      <c r="E4" s="836"/>
      <c r="F4" s="836"/>
      <c r="G4" s="836"/>
      <c r="H4" s="836"/>
      <c r="I4" s="836"/>
      <c r="J4" s="836"/>
      <c r="K4" s="836"/>
      <c r="L4" s="836"/>
      <c r="M4" s="836"/>
      <c r="N4" s="836"/>
      <c r="O4" s="836"/>
      <c r="P4" s="836"/>
      <c r="Q4" s="836"/>
      <c r="R4" s="836"/>
      <c r="S4" s="836"/>
      <c r="T4" s="836"/>
      <c r="U4" s="12"/>
    </row>
    <row r="5" spans="1:24" ht="31.95" customHeight="1" x14ac:dyDescent="0.55000000000000004">
      <c r="A5" s="835" t="s">
        <v>15</v>
      </c>
      <c r="B5" s="835"/>
      <c r="C5" s="835"/>
      <c r="D5" s="835"/>
      <c r="E5" s="835"/>
      <c r="F5" s="835"/>
      <c r="G5" s="835"/>
      <c r="H5" s="835"/>
      <c r="I5" s="835"/>
      <c r="J5" s="835"/>
      <c r="K5" s="835"/>
      <c r="L5" s="835"/>
      <c r="M5" s="835"/>
      <c r="N5" s="835"/>
      <c r="O5" s="835"/>
      <c r="P5" s="835"/>
      <c r="Q5" s="835"/>
      <c r="R5" s="835"/>
      <c r="S5" s="835"/>
      <c r="T5" s="835"/>
      <c r="U5" s="12"/>
      <c r="X5" s="130"/>
    </row>
    <row r="6" spans="1:24" ht="27" customHeight="1" x14ac:dyDescent="0.55000000000000004">
      <c r="A6" s="836"/>
      <c r="B6" s="836"/>
      <c r="C6" s="836"/>
      <c r="D6" s="836"/>
      <c r="E6" s="836"/>
      <c r="F6" s="836"/>
      <c r="G6" s="836"/>
      <c r="H6" s="836"/>
      <c r="I6" s="836"/>
      <c r="J6" s="836"/>
      <c r="K6" s="836"/>
      <c r="L6" s="836"/>
      <c r="M6" s="836"/>
      <c r="N6" s="836"/>
      <c r="O6" s="836"/>
      <c r="P6" s="836"/>
      <c r="Q6" s="836"/>
      <c r="R6" s="836"/>
      <c r="S6" s="836"/>
      <c r="T6" s="836"/>
      <c r="U6" s="12"/>
    </row>
    <row r="7" spans="1:24" ht="27" customHeight="1" x14ac:dyDescent="0.6">
      <c r="A7" s="12"/>
      <c r="B7" s="12"/>
      <c r="C7" s="12"/>
      <c r="D7" s="14"/>
      <c r="E7" s="845" t="s">
        <v>161</v>
      </c>
      <c r="F7" s="846"/>
      <c r="G7" s="846"/>
      <c r="H7" s="847"/>
      <c r="I7" s="12"/>
      <c r="J7" s="12"/>
      <c r="K7" s="12"/>
      <c r="L7" s="12"/>
      <c r="M7" s="837" t="s">
        <v>162</v>
      </c>
      <c r="N7" s="838"/>
      <c r="O7" s="838"/>
      <c r="P7" s="838"/>
      <c r="Q7" s="12"/>
      <c r="R7" s="12"/>
      <c r="S7" s="12"/>
      <c r="T7" s="12"/>
      <c r="U7" s="12"/>
    </row>
    <row r="8" spans="1:24" ht="27" customHeight="1" x14ac:dyDescent="0.6">
      <c r="A8" s="12"/>
      <c r="B8" s="12"/>
      <c r="C8" s="12"/>
      <c r="D8" s="15" t="s">
        <v>161</v>
      </c>
      <c r="E8" s="841" t="s">
        <v>163</v>
      </c>
      <c r="F8" s="842"/>
      <c r="G8" s="841" t="s">
        <v>164</v>
      </c>
      <c r="H8" s="842"/>
      <c r="I8" s="839" t="s">
        <v>161</v>
      </c>
      <c r="J8" s="840"/>
      <c r="K8" s="16"/>
      <c r="L8" s="15" t="s">
        <v>162</v>
      </c>
      <c r="M8" s="843" t="s">
        <v>165</v>
      </c>
      <c r="N8" s="844"/>
      <c r="O8" s="843" t="s">
        <v>166</v>
      </c>
      <c r="P8" s="844"/>
      <c r="Q8" s="839" t="s">
        <v>162</v>
      </c>
      <c r="R8" s="840"/>
      <c r="S8" s="16"/>
      <c r="T8" s="12"/>
      <c r="U8" s="12"/>
    </row>
    <row r="9" spans="1:24" s="95" customFormat="1" ht="27" customHeight="1" x14ac:dyDescent="0.6">
      <c r="A9" s="90" t="s">
        <v>167</v>
      </c>
      <c r="B9" s="91" t="s">
        <v>32</v>
      </c>
      <c r="C9" s="91" t="s">
        <v>33</v>
      </c>
      <c r="D9" s="91" t="s">
        <v>168</v>
      </c>
      <c r="E9" s="123" t="s">
        <v>169</v>
      </c>
      <c r="F9" s="92" t="s">
        <v>170</v>
      </c>
      <c r="G9" s="123" t="s">
        <v>169</v>
      </c>
      <c r="H9" s="92" t="s">
        <v>170</v>
      </c>
      <c r="I9" s="91" t="s">
        <v>171</v>
      </c>
      <c r="J9" s="91" t="s">
        <v>172</v>
      </c>
      <c r="K9" s="93"/>
      <c r="L9" s="91" t="s">
        <v>168</v>
      </c>
      <c r="M9" s="123" t="s">
        <v>169</v>
      </c>
      <c r="N9" s="92" t="s">
        <v>170</v>
      </c>
      <c r="O9" s="123" t="s">
        <v>169</v>
      </c>
      <c r="P9" s="92" t="s">
        <v>170</v>
      </c>
      <c r="Q9" s="91" t="s">
        <v>171</v>
      </c>
      <c r="R9" s="91" t="s">
        <v>172</v>
      </c>
      <c r="S9" s="93"/>
      <c r="T9" s="91" t="s">
        <v>173</v>
      </c>
      <c r="U9" s="94"/>
    </row>
    <row r="10" spans="1:24" s="103" customFormat="1" ht="27" customHeight="1" x14ac:dyDescent="0.6">
      <c r="A10" s="96" t="s">
        <v>39</v>
      </c>
      <c r="B10" s="97">
        <v>390</v>
      </c>
      <c r="C10" s="98">
        <v>30</v>
      </c>
      <c r="D10" s="99">
        <f>SUMIFS(Input[T. - Gross E&amp;G],Input[Institution Name],A10)
+SUMIFS(Input[T. - Gross Desg],Input[Institution Name],A10)</f>
        <v>30057060</v>
      </c>
      <c r="E10" s="124">
        <f>SUMIFS(Input[T. W. - Stat (R AFR) E&amp;G],Input[Institution Name],A10)
+SUMIFS(Input[T. W. - Stat (R AFR) Desg],Input[Institution Name],A10)</f>
        <v>0</v>
      </c>
      <c r="F10" s="100">
        <f>SUMIFS(Input[T. W. - Inst. (R AFR) E&amp;G],Input[Institution Name],A10)
+SUMIFS(Input[T. W. - Inst. (R AFR) Desg],Input[Institution Name],A10)</f>
        <v>0</v>
      </c>
      <c r="G10" s="124">
        <f>SUMIFS(Input[T. Exp. - Stat (R AFR) E&amp;G],Input[Institution Name],A10)
+SUMIFS(Input[T. Exp. - Stat (R AFR) Desg],Input[Institution Name],A10)</f>
        <v>-229432</v>
      </c>
      <c r="H10" s="100">
        <f>SUMIFS(Input[T. Exp. - Inst. (R AFR) E&amp;G],Input[Institution Name],A10)
+SUMIFS(Input[T. Exp. - Inst. (R AFR) Desg],Input[Institution Name],A10)</f>
        <v>0</v>
      </c>
      <c r="I10" s="99">
        <f>SUMIFS(Input[T. Schlr E&amp;G],Input[Institution Name],A10)
+SUMIFS(Input[T. Schlr Desg],Input[Institution Name],A10)</f>
        <v>-2270150</v>
      </c>
      <c r="J10" s="101">
        <f t="shared" ref="J10:J23" si="0">SUM(D10:I10)</f>
        <v>27557478</v>
      </c>
      <c r="K10" s="93"/>
      <c r="L10" s="99">
        <f>SUMIFS(Input[Fees - Gross E&amp;G],Input[Institution Name],A10)
+SUMIFS(Input[Fees - Gross Desg],Input[Institution Name],A10)</f>
        <v>1063004</v>
      </c>
      <c r="M10" s="124">
        <f>SUMIFS(Input[F. W. - Stat (R AFR) E&amp;G],Input[Institution Name],A10)
+SUMIFS(Input[F. W. - Stat (R AFR) Desg],Input[Institution Name],A10)</f>
        <v>0</v>
      </c>
      <c r="N10" s="100">
        <f>SUMIFS(Input[F. W. - Inst. (R AFR) E&amp;G],Input[Institution Name],A10)
+SUMIFS(Input[F. W. - Inst. (R AFR) Desg],Input[Institution Name],A10)</f>
        <v>0</v>
      </c>
      <c r="O10" s="124">
        <f>SUMIFS(Input[F. Exp. - Stat (R AFR) E&amp;G],Input[Institution Name],A10)
+SUMIFS(Input[F. Exp. - Stat (R AFR) Desg],Input[Institution Name],A10)</f>
        <v>0</v>
      </c>
      <c r="P10" s="100">
        <f>SUMIFS(Input[F. Exp. - Inst. (R AFR) E&amp;G],Input[Institution Name],A10)
+SUMIFS(Input[F. Exp. - Inst. (R AFR) Desg],Input[Institution Name],A10)</f>
        <v>0</v>
      </c>
      <c r="Q10" s="99">
        <f>SUMIFS(Input[Fee Schlr E&amp;G],Input[Institution Name],A10)
+SUMIFS(Input[Fee Schlr Desg],Input[Institution Name],A10)</f>
        <v>-82064</v>
      </c>
      <c r="R10" s="101">
        <f t="shared" ref="R10:R23" si="1">SUM(L10:Q10)</f>
        <v>980940</v>
      </c>
      <c r="S10" s="93"/>
      <c r="T10" s="101">
        <f t="shared" ref="T10:T23" si="2">J10+R10</f>
        <v>28538418</v>
      </c>
      <c r="U10" s="102"/>
    </row>
    <row r="11" spans="1:24" s="103" customFormat="1" ht="27" customHeight="1" x14ac:dyDescent="0.6">
      <c r="A11" s="104" t="s">
        <v>40</v>
      </c>
      <c r="B11" s="105">
        <v>400</v>
      </c>
      <c r="C11" s="106">
        <v>104952</v>
      </c>
      <c r="D11" s="107">
        <f>SUMIFS(Input[T. - Gross E&amp;G],Input[Institution Name],A11)
+SUMIFS(Input[T. - Gross Desg],Input[Institution Name],A11)</f>
        <v>40071171</v>
      </c>
      <c r="E11" s="125">
        <f>SUMIFS(Input[T. W. - Stat (R AFR) E&amp;G],Input[Institution Name],A11)
+SUMIFS(Input[T. W. - Stat (R AFR) Desg],Input[Institution Name],A11)</f>
        <v>0</v>
      </c>
      <c r="F11" s="108">
        <f>SUMIFS(Input[T. W. - Inst. (R AFR) E&amp;G],Input[Institution Name],A11)
+SUMIFS(Input[T. W. - Inst. (R AFR) Desg],Input[Institution Name],A11)</f>
        <v>0</v>
      </c>
      <c r="G11" s="125">
        <f>SUMIFS(Input[T. Exp. - Stat (R AFR) E&amp;G],Input[Institution Name],A11)
+SUMIFS(Input[T. Exp. - Stat (R AFR) Desg],Input[Institution Name],A11)</f>
        <v>-928255</v>
      </c>
      <c r="H11" s="108">
        <f>SUMIFS(Input[T. Exp. - Inst. (R AFR) E&amp;G],Input[Institution Name],A11)
+SUMIFS(Input[T. Exp. - Inst. (R AFR) Desg],Input[Institution Name],A11)</f>
        <v>0</v>
      </c>
      <c r="I11" s="107">
        <f>SUMIFS(Input[T. Schlr E&amp;G],Input[Institution Name],A11)
+SUMIFS(Input[T. Schlr Desg],Input[Institution Name],A11)</f>
        <v>-3796238</v>
      </c>
      <c r="J11" s="109">
        <f t="shared" si="0"/>
        <v>35346678</v>
      </c>
      <c r="K11" s="93"/>
      <c r="L11" s="107">
        <f>SUMIFS(Input[Fees - Gross E&amp;G],Input[Institution Name],A11)
+SUMIFS(Input[Fees - Gross Desg],Input[Institution Name],A11)</f>
        <v>14094235</v>
      </c>
      <c r="M11" s="125">
        <f>SUMIFS(Input[F. W. - Stat (R AFR) E&amp;G],Input[Institution Name],A11)
+SUMIFS(Input[F. W. - Stat (R AFR) Desg],Input[Institution Name],A11)</f>
        <v>0</v>
      </c>
      <c r="N11" s="108">
        <f>SUMIFS(Input[F. W. - Inst. (R AFR) E&amp;G],Input[Institution Name],A11)
+SUMIFS(Input[F. W. - Inst. (R AFR) Desg],Input[Institution Name],A11)</f>
        <v>0</v>
      </c>
      <c r="O11" s="125">
        <f>SUMIFS(Input[F. Exp. - Stat (R AFR) E&amp;G],Input[Institution Name],A11)
+SUMIFS(Input[F. Exp. - Stat (R AFR) Desg],Input[Institution Name],A11)</f>
        <v>0</v>
      </c>
      <c r="P11" s="108">
        <f>SUMIFS(Input[F. Exp. - Inst. (R AFR) E&amp;G],Input[Institution Name],A11)
+SUMIFS(Input[F. Exp. - Inst. (R AFR) Desg],Input[Institution Name],A11)</f>
        <v>0</v>
      </c>
      <c r="Q11" s="107">
        <f>SUMIFS(Input[Fee Schlr E&amp;G],Input[Institution Name],A11)
+SUMIFS(Input[Fee Schlr Desg],Input[Institution Name],A11)</f>
        <v>-1140841</v>
      </c>
      <c r="R11" s="109">
        <f t="shared" si="1"/>
        <v>12953394</v>
      </c>
      <c r="S11" s="93"/>
      <c r="T11" s="109">
        <f t="shared" si="2"/>
        <v>48300072</v>
      </c>
      <c r="U11" s="102"/>
    </row>
    <row r="12" spans="1:24" s="103" customFormat="1" ht="27" customHeight="1" x14ac:dyDescent="0.55000000000000004">
      <c r="A12" s="96" t="s">
        <v>41</v>
      </c>
      <c r="B12" s="97">
        <v>410</v>
      </c>
      <c r="C12" s="98">
        <v>11618</v>
      </c>
      <c r="D12" s="99">
        <f>SUMIFS(Input[T. - Gross E&amp;G],Input[Institution Name],A12)
+SUMIFS(Input[T. - Gross Desg],Input[Institution Name],A12)</f>
        <v>58036935</v>
      </c>
      <c r="E12" s="124">
        <f>SUMIFS(Input[T. W. - Stat (R AFR) E&amp;G],Input[Institution Name],A12)
+SUMIFS(Input[T. W. - Stat (R AFR) Desg],Input[Institution Name],A12)</f>
        <v>0</v>
      </c>
      <c r="F12" s="100">
        <f>SUMIFS(Input[T. W. - Inst. (R AFR) E&amp;G],Input[Institution Name],A12)
+SUMIFS(Input[T. W. - Inst. (R AFR) Desg],Input[Institution Name],A12)</f>
        <v>0</v>
      </c>
      <c r="G12" s="124">
        <f>SUMIFS(Input[T. Exp. - Stat (R AFR) E&amp;G],Input[Institution Name],A12)
+SUMIFS(Input[T. Exp. - Stat (R AFR) Desg],Input[Institution Name],A12)</f>
        <v>-624485</v>
      </c>
      <c r="H12" s="100">
        <f>SUMIFS(Input[T. Exp. - Inst. (R AFR) E&amp;G],Input[Institution Name],A12)
+SUMIFS(Input[T. Exp. - Inst. (R AFR) Desg],Input[Institution Name],A12)</f>
        <v>0</v>
      </c>
      <c r="I12" s="99">
        <f>SUMIFS(Input[T. Schlr E&amp;G],Input[Institution Name],A12)
+SUMIFS(Input[T. Schlr Desg],Input[Institution Name],A12)</f>
        <v>-1418713</v>
      </c>
      <c r="J12" s="101">
        <f t="shared" si="0"/>
        <v>55993737</v>
      </c>
      <c r="K12" s="110"/>
      <c r="L12" s="99">
        <f>SUMIFS(Input[Fees - Gross E&amp;G],Input[Institution Name],A12)
+SUMIFS(Input[Fees - Gross Desg],Input[Institution Name],A12)</f>
        <v>13114308</v>
      </c>
      <c r="M12" s="124">
        <f>SUMIFS(Input[F. W. - Stat (R AFR) E&amp;G],Input[Institution Name],A12)
+SUMIFS(Input[F. W. - Stat (R AFR) Desg],Input[Institution Name],A12)</f>
        <v>0</v>
      </c>
      <c r="N12" s="100">
        <f>SUMIFS(Input[F. W. - Inst. (R AFR) E&amp;G],Input[Institution Name],A12)
+SUMIFS(Input[F. W. - Inst. (R AFR) Desg],Input[Institution Name],A12)</f>
        <v>0</v>
      </c>
      <c r="O12" s="124">
        <f>SUMIFS(Input[F. Exp. - Stat (R AFR) E&amp;G],Input[Institution Name],A12)
+SUMIFS(Input[F. Exp. - Stat (R AFR) Desg],Input[Institution Name],A12)</f>
        <v>-190868</v>
      </c>
      <c r="P12" s="100">
        <f>SUMIFS(Input[F. Exp. - Inst. (R AFR) E&amp;G],Input[Institution Name],A12)
+SUMIFS(Input[F. Exp. - Inst. (R AFR) Desg],Input[Institution Name],A12)</f>
        <v>0</v>
      </c>
      <c r="Q12" s="99">
        <f>SUMIFS(Input[Fee Schlr E&amp;G],Input[Institution Name],A12)
+SUMIFS(Input[Fee Schlr Desg],Input[Institution Name],A12)</f>
        <v>0</v>
      </c>
      <c r="R12" s="101">
        <f t="shared" si="1"/>
        <v>12923440</v>
      </c>
      <c r="S12" s="110"/>
      <c r="T12" s="101">
        <f t="shared" si="2"/>
        <v>68917177</v>
      </c>
      <c r="U12" s="102"/>
    </row>
    <row r="13" spans="1:24" s="103" customFormat="1" ht="27" customHeight="1" x14ac:dyDescent="0.55000000000000004">
      <c r="A13" s="104" t="s">
        <v>42</v>
      </c>
      <c r="B13" s="105">
        <v>420</v>
      </c>
      <c r="C13" s="106">
        <v>40</v>
      </c>
      <c r="D13" s="107">
        <f>SUMIFS(Input[T. - Gross E&amp;G],Input[Institution Name],A13)
+SUMIFS(Input[T. - Gross Desg],Input[Institution Name],A13)</f>
        <v>64155273</v>
      </c>
      <c r="E13" s="125">
        <f>SUMIFS(Input[T. W. - Stat (R AFR) E&amp;G],Input[Institution Name],A13)
+SUMIFS(Input[T. W. - Stat (R AFR) Desg],Input[Institution Name],A13)</f>
        <v>0</v>
      </c>
      <c r="F13" s="108">
        <f>SUMIFS(Input[T. W. - Inst. (R AFR) E&amp;G],Input[Institution Name],A13)
+SUMIFS(Input[T. W. - Inst. (R AFR) Desg],Input[Institution Name],A13)</f>
        <v>0</v>
      </c>
      <c r="G13" s="125">
        <f>SUMIFS(Input[T. Exp. - Stat (R AFR) E&amp;G],Input[Institution Name],A13)
+SUMIFS(Input[T. Exp. - Stat (R AFR) Desg],Input[Institution Name],A13)</f>
        <v>-2121298</v>
      </c>
      <c r="H13" s="108">
        <f>SUMIFS(Input[T. Exp. - Inst. (R AFR) E&amp;G],Input[Institution Name],A13)
+SUMIFS(Input[T. Exp. - Inst. (R AFR) Desg],Input[Institution Name],A13)</f>
        <v>0</v>
      </c>
      <c r="I13" s="107">
        <f>SUMIFS(Input[T. Schlr E&amp;G],Input[Institution Name],A13)
+SUMIFS(Input[T. Schlr Desg],Input[Institution Name],A13)</f>
        <v>-1115001</v>
      </c>
      <c r="J13" s="109">
        <f t="shared" si="0"/>
        <v>60918974</v>
      </c>
      <c r="K13" s="110"/>
      <c r="L13" s="107">
        <f>SUMIFS(Input[Fees - Gross E&amp;G],Input[Institution Name],A13)
+SUMIFS(Input[Fees - Gross Desg],Input[Institution Name],A13)</f>
        <v>0</v>
      </c>
      <c r="M13" s="125">
        <f>SUMIFS(Input[F. W. - Stat (R AFR) E&amp;G],Input[Institution Name],A13)
+SUMIFS(Input[F. W. - Stat (R AFR) Desg],Input[Institution Name],A13)</f>
        <v>0</v>
      </c>
      <c r="N13" s="108">
        <f>SUMIFS(Input[F. W. - Inst. (R AFR) E&amp;G],Input[Institution Name],A13)
+SUMIFS(Input[F. W. - Inst. (R AFR) Desg],Input[Institution Name],A13)</f>
        <v>0</v>
      </c>
      <c r="O13" s="125">
        <f>SUMIFS(Input[F. Exp. - Stat (R AFR) E&amp;G],Input[Institution Name],A13)
+SUMIFS(Input[F. Exp. - Stat (R AFR) Desg],Input[Institution Name],A13)</f>
        <v>-235700</v>
      </c>
      <c r="P13" s="108">
        <f>SUMIFS(Input[F. Exp. - Inst. (R AFR) E&amp;G],Input[Institution Name],A13)
+SUMIFS(Input[F. Exp. - Inst. (R AFR) Desg],Input[Institution Name],A13)</f>
        <v>0</v>
      </c>
      <c r="Q13" s="107">
        <f>SUMIFS(Input[Fee Schlr E&amp;G],Input[Institution Name],A13)
+SUMIFS(Input[Fee Schlr Desg],Input[Institution Name],A13)</f>
        <v>-123889</v>
      </c>
      <c r="R13" s="109">
        <f t="shared" si="1"/>
        <v>-359589</v>
      </c>
      <c r="S13" s="110"/>
      <c r="T13" s="109">
        <f t="shared" si="2"/>
        <v>60559385</v>
      </c>
      <c r="U13" s="102"/>
    </row>
    <row r="14" spans="1:24" s="103" customFormat="1" ht="27" customHeight="1" x14ac:dyDescent="0.55000000000000004">
      <c r="A14" s="96" t="s">
        <v>43</v>
      </c>
      <c r="B14" s="97">
        <v>430</v>
      </c>
      <c r="C14" s="98">
        <v>25554</v>
      </c>
      <c r="D14" s="99">
        <f>SUMIFS(Input[T. - Gross E&amp;G],Input[Institution Name],A14)
+SUMIFS(Input[T. - Gross Desg],Input[Institution Name],A14)</f>
        <v>1529396</v>
      </c>
      <c r="E14" s="124">
        <f>SUMIFS(Input[T. W. - Stat (R AFR) E&amp;G],Input[Institution Name],A14)
+SUMIFS(Input[T. W. - Stat (R AFR) Desg],Input[Institution Name],A14)</f>
        <v>0</v>
      </c>
      <c r="F14" s="100">
        <f>SUMIFS(Input[T. W. - Inst. (R AFR) E&amp;G],Input[Institution Name],A14)
+SUMIFS(Input[T. W. - Inst. (R AFR) Desg],Input[Institution Name],A14)</f>
        <v>0</v>
      </c>
      <c r="G14" s="124">
        <f>SUMIFS(Input[T. Exp. - Stat (R AFR) E&amp;G],Input[Institution Name],A14)
+SUMIFS(Input[T. Exp. - Stat (R AFR) Desg],Input[Institution Name],A14)</f>
        <v>-8500</v>
      </c>
      <c r="H14" s="100">
        <f>SUMIFS(Input[T. Exp. - Inst. (R AFR) E&amp;G],Input[Institution Name],A14)
+SUMIFS(Input[T. Exp. - Inst. (R AFR) Desg],Input[Institution Name],A14)</f>
        <v>-11470</v>
      </c>
      <c r="I14" s="99">
        <f>SUMIFS(Input[T. Schlr E&amp;G],Input[Institution Name],A14)
+SUMIFS(Input[T. Schlr Desg],Input[Institution Name],A14)</f>
        <v>0</v>
      </c>
      <c r="J14" s="101">
        <f t="shared" si="0"/>
        <v>1509426</v>
      </c>
      <c r="K14" s="110"/>
      <c r="L14" s="99">
        <f>SUMIFS(Input[Fees - Gross E&amp;G],Input[Institution Name],A14)
+SUMIFS(Input[Fees - Gross Desg],Input[Institution Name],A14)</f>
        <v>352454</v>
      </c>
      <c r="M14" s="124">
        <f>SUMIFS(Input[F. W. - Stat (R AFR) E&amp;G],Input[Institution Name],A14)
+SUMIFS(Input[F. W. - Stat (R AFR) Desg],Input[Institution Name],A14)</f>
        <v>0</v>
      </c>
      <c r="N14" s="100">
        <f>SUMIFS(Input[F. W. - Inst. (R AFR) E&amp;G],Input[Institution Name],A14)
+SUMIFS(Input[F. W. - Inst. (R AFR) Desg],Input[Institution Name],A14)</f>
        <v>0</v>
      </c>
      <c r="O14" s="124">
        <f>SUMIFS(Input[F. Exp. - Stat (R AFR) E&amp;G],Input[Institution Name],A14)
+SUMIFS(Input[F. Exp. - Stat (R AFR) Desg],Input[Institution Name],A14)</f>
        <v>0</v>
      </c>
      <c r="P14" s="100">
        <f>SUMIFS(Input[F. Exp. - Inst. (R AFR) E&amp;G],Input[Institution Name],A14)
+SUMIFS(Input[F. Exp. - Inst. (R AFR) Desg],Input[Institution Name],A14)</f>
        <v>-5260</v>
      </c>
      <c r="Q14" s="99">
        <f>SUMIFS(Input[Fee Schlr E&amp;G],Input[Institution Name],A14)
+SUMIFS(Input[Fee Schlr Desg],Input[Institution Name],A14)</f>
        <v>0</v>
      </c>
      <c r="R14" s="101">
        <f t="shared" si="1"/>
        <v>347194</v>
      </c>
      <c r="S14" s="110"/>
      <c r="T14" s="101">
        <f t="shared" si="2"/>
        <v>1856620</v>
      </c>
      <c r="U14" s="102"/>
    </row>
    <row r="15" spans="1:24" s="103" customFormat="1" ht="27" customHeight="1" x14ac:dyDescent="0.55000000000000004">
      <c r="A15" s="104" t="s">
        <v>44</v>
      </c>
      <c r="B15" s="105">
        <v>440</v>
      </c>
      <c r="C15" s="106">
        <v>42439</v>
      </c>
      <c r="D15" s="107">
        <f>SUMIFS(Input[T. - Gross E&amp;G],Input[Institution Name],A15)
+SUMIFS(Input[T. - Gross Desg],Input[Institution Name],A15)</f>
        <v>1101866</v>
      </c>
      <c r="E15" s="125">
        <f>SUMIFS(Input[T. W. - Stat (R AFR) E&amp;G],Input[Institution Name],A15)
+SUMIFS(Input[T. W. - Stat (R AFR) Desg],Input[Institution Name],A15)</f>
        <v>0</v>
      </c>
      <c r="F15" s="108">
        <f>SUMIFS(Input[T. W. - Inst. (R AFR) E&amp;G],Input[Institution Name],A15)
+SUMIFS(Input[T. W. - Inst. (R AFR) Desg],Input[Institution Name],A15)</f>
        <v>0</v>
      </c>
      <c r="G15" s="125">
        <f>SUMIFS(Input[T. Exp. - Stat (R AFR) E&amp;G],Input[Institution Name],A15)
+SUMIFS(Input[T. Exp. - Stat (R AFR) Desg],Input[Institution Name],A15)</f>
        <v>0</v>
      </c>
      <c r="H15" s="108">
        <f>SUMIFS(Input[T. Exp. - Inst. (R AFR) E&amp;G],Input[Institution Name],A15)
+SUMIFS(Input[T. Exp. - Inst. (R AFR) Desg],Input[Institution Name],A15)</f>
        <v>0</v>
      </c>
      <c r="I15" s="107">
        <f>SUMIFS(Input[T. Schlr E&amp;G],Input[Institution Name],A15)
+SUMIFS(Input[T. Schlr Desg],Input[Institution Name],A15)</f>
        <v>0</v>
      </c>
      <c r="J15" s="109">
        <f t="shared" si="0"/>
        <v>1101866</v>
      </c>
      <c r="K15" s="110"/>
      <c r="L15" s="107">
        <f>SUMIFS(Input[Fees - Gross E&amp;G],Input[Institution Name],A15)
+SUMIFS(Input[Fees - Gross Desg],Input[Institution Name],A15)</f>
        <v>117194</v>
      </c>
      <c r="M15" s="125">
        <f>SUMIFS(Input[F. W. - Stat (R AFR) E&amp;G],Input[Institution Name],A15)
+SUMIFS(Input[F. W. - Stat (R AFR) Desg],Input[Institution Name],A15)</f>
        <v>0</v>
      </c>
      <c r="N15" s="108">
        <f>SUMIFS(Input[F. W. - Inst. (R AFR) E&amp;G],Input[Institution Name],A15)
+SUMIFS(Input[F. W. - Inst. (R AFR) Desg],Input[Institution Name],A15)</f>
        <v>0</v>
      </c>
      <c r="O15" s="125">
        <f>SUMIFS(Input[F. Exp. - Stat (R AFR) E&amp;G],Input[Institution Name],A15)
+SUMIFS(Input[F. Exp. - Stat (R AFR) Desg],Input[Institution Name],A15)</f>
        <v>0</v>
      </c>
      <c r="P15" s="108">
        <f>SUMIFS(Input[F. Exp. - Inst. (R AFR) E&amp;G],Input[Institution Name],A15)
+SUMIFS(Input[F. Exp. - Inst. (R AFR) Desg],Input[Institution Name],A15)</f>
        <v>0</v>
      </c>
      <c r="Q15" s="107">
        <f>SUMIFS(Input[Fee Schlr E&amp;G],Input[Institution Name],A15)
+SUMIFS(Input[Fee Schlr Desg],Input[Institution Name],A15)</f>
        <v>0</v>
      </c>
      <c r="R15" s="109">
        <f t="shared" si="1"/>
        <v>117194</v>
      </c>
      <c r="S15" s="110"/>
      <c r="T15" s="109">
        <f t="shared" si="2"/>
        <v>1219060</v>
      </c>
      <c r="U15" s="102"/>
    </row>
    <row r="16" spans="1:24" s="103" customFormat="1" ht="27" customHeight="1" x14ac:dyDescent="0.55000000000000004">
      <c r="A16" s="96" t="s">
        <v>45</v>
      </c>
      <c r="B16" s="97">
        <v>450</v>
      </c>
      <c r="C16" s="98">
        <v>89</v>
      </c>
      <c r="D16" s="99">
        <f>SUMIFS(Input[T. - Gross E&amp;G],Input[Institution Name],A16)
+SUMIFS(Input[T. - Gross Desg],Input[Institution Name],A16)</f>
        <v>46193638</v>
      </c>
      <c r="E16" s="124">
        <f>SUMIFS(Input[T. W. - Stat (R AFR) E&amp;G],Input[Institution Name],A16)
+SUMIFS(Input[T. W. - Stat (R AFR) Desg],Input[Institution Name],A16)</f>
        <v>0</v>
      </c>
      <c r="F16" s="100">
        <f>SUMIFS(Input[T. W. - Inst. (R AFR) E&amp;G],Input[Institution Name],A16)
+SUMIFS(Input[T. W. - Inst. (R AFR) Desg],Input[Institution Name],A16)</f>
        <v>0</v>
      </c>
      <c r="G16" s="124">
        <f>SUMIFS(Input[T. Exp. - Stat (R AFR) E&amp;G],Input[Institution Name],A16)
+SUMIFS(Input[T. Exp. - Stat (R AFR) Desg],Input[Institution Name],A16)</f>
        <v>-1301169</v>
      </c>
      <c r="H16" s="100">
        <f>SUMIFS(Input[T. Exp. - Inst. (R AFR) E&amp;G],Input[Institution Name],A16)
+SUMIFS(Input[T. Exp. - Inst. (R AFR) Desg],Input[Institution Name],A16)</f>
        <v>0</v>
      </c>
      <c r="I16" s="99">
        <f>SUMIFS(Input[T. Schlr E&amp;G],Input[Institution Name],A16)
+SUMIFS(Input[T. Schlr Desg],Input[Institution Name],A16)</f>
        <v>-3258985</v>
      </c>
      <c r="J16" s="101">
        <f t="shared" si="0"/>
        <v>41633484</v>
      </c>
      <c r="K16" s="110"/>
      <c r="L16" s="99">
        <f>SUMIFS(Input[Fees - Gross E&amp;G],Input[Institution Name],A16)
+SUMIFS(Input[Fees - Gross Desg],Input[Institution Name],A16)</f>
        <v>16526203</v>
      </c>
      <c r="M16" s="124">
        <f>SUMIFS(Input[F. W. - Stat (R AFR) E&amp;G],Input[Institution Name],A16)
+SUMIFS(Input[F. W. - Stat (R AFR) Desg],Input[Institution Name],A16)</f>
        <v>0</v>
      </c>
      <c r="N16" s="100">
        <f>SUMIFS(Input[F. W. - Inst. (R AFR) E&amp;G],Input[Institution Name],A16)
+SUMIFS(Input[F. W. - Inst. (R AFR) Desg],Input[Institution Name],A16)</f>
        <v>0</v>
      </c>
      <c r="O16" s="124">
        <f>SUMIFS(Input[F. Exp. - Stat (R AFR) E&amp;G],Input[Institution Name],A16)
+SUMIFS(Input[F. Exp. - Stat (R AFR) Desg],Input[Institution Name],A16)</f>
        <v>-323828</v>
      </c>
      <c r="P16" s="100">
        <f>SUMIFS(Input[F. Exp. - Inst. (R AFR) E&amp;G],Input[Institution Name],A16)
+SUMIFS(Input[F. Exp. - Inst. (R AFR) Desg],Input[Institution Name],A16)</f>
        <v>0</v>
      </c>
      <c r="Q16" s="99">
        <f>SUMIFS(Input[Fee Schlr E&amp;G],Input[Institution Name],A16)
+SUMIFS(Input[Fee Schlr Desg],Input[Institution Name],A16)</f>
        <v>-1307609</v>
      </c>
      <c r="R16" s="101">
        <f t="shared" si="1"/>
        <v>14894766</v>
      </c>
      <c r="S16" s="110"/>
      <c r="T16" s="101">
        <f t="shared" si="2"/>
        <v>56528250</v>
      </c>
      <c r="U16" s="102"/>
    </row>
    <row r="17" spans="1:21" s="103" customFormat="1" ht="27" customHeight="1" x14ac:dyDescent="0.55000000000000004">
      <c r="A17" s="104" t="s">
        <v>46</v>
      </c>
      <c r="B17" s="105">
        <v>461</v>
      </c>
      <c r="C17" s="106">
        <v>130</v>
      </c>
      <c r="D17" s="107">
        <f>SUMIFS(Input[T. - Gross E&amp;G],Input[Institution Name],A17)
+SUMIFS(Input[T. - Gross Desg],Input[Institution Name],A17)</f>
        <v>24043514</v>
      </c>
      <c r="E17" s="125">
        <f>SUMIFS(Input[T. W. - Stat (R AFR) E&amp;G],Input[Institution Name],A17)
+SUMIFS(Input[T. W. - Stat (R AFR) Desg],Input[Institution Name],A17)</f>
        <v>0</v>
      </c>
      <c r="F17" s="108">
        <f>SUMIFS(Input[T. W. - Inst. (R AFR) E&amp;G],Input[Institution Name],A17)
+SUMIFS(Input[T. W. - Inst. (R AFR) Desg],Input[Institution Name],A17)</f>
        <v>0</v>
      </c>
      <c r="G17" s="125">
        <f>SUMIFS(Input[T. Exp. - Stat (R AFR) E&amp;G],Input[Institution Name],A17)
+SUMIFS(Input[T. Exp. - Stat (R AFR) Desg],Input[Institution Name],A17)</f>
        <v>0</v>
      </c>
      <c r="H17" s="108">
        <f>SUMIFS(Input[T. Exp. - Inst. (R AFR) E&amp;G],Input[Institution Name],A17)
+SUMIFS(Input[T. Exp. - Inst. (R AFR) Desg],Input[Institution Name],A17)</f>
        <v>0</v>
      </c>
      <c r="I17" s="107">
        <f>SUMIFS(Input[T. Schlr E&amp;G],Input[Institution Name],A17)
+SUMIFS(Input[T. Schlr Desg],Input[Institution Name],A17)</f>
        <v>-3119014</v>
      </c>
      <c r="J17" s="109">
        <f t="shared" si="0"/>
        <v>20924500</v>
      </c>
      <c r="K17" s="110"/>
      <c r="L17" s="107">
        <f>SUMIFS(Input[Fees - Gross E&amp;G],Input[Institution Name],A17)
+SUMIFS(Input[Fees - Gross Desg],Input[Institution Name],A17)</f>
        <v>11405662</v>
      </c>
      <c r="M17" s="125">
        <f>SUMIFS(Input[F. W. - Stat (R AFR) E&amp;G],Input[Institution Name],A17)
+SUMIFS(Input[F. W. - Stat (R AFR) Desg],Input[Institution Name],A17)</f>
        <v>0</v>
      </c>
      <c r="N17" s="108">
        <f>SUMIFS(Input[F. W. - Inst. (R AFR) E&amp;G],Input[Institution Name],A17)
+SUMIFS(Input[F. W. - Inst. (R AFR) Desg],Input[Institution Name],A17)</f>
        <v>0</v>
      </c>
      <c r="O17" s="125">
        <f>SUMIFS(Input[F. Exp. - Stat (R AFR) E&amp;G],Input[Institution Name],A17)
+SUMIFS(Input[F. Exp. - Stat (R AFR) Desg],Input[Institution Name],A17)</f>
        <v>0</v>
      </c>
      <c r="P17" s="108">
        <f>SUMIFS(Input[F. Exp. - Inst. (R AFR) E&amp;G],Input[Institution Name],A17)
+SUMIFS(Input[F. Exp. - Inst. (R AFR) Desg],Input[Institution Name],A17)</f>
        <v>0</v>
      </c>
      <c r="Q17" s="107">
        <f>SUMIFS(Input[Fee Schlr E&amp;G],Input[Institution Name],A17)
+SUMIFS(Input[Fee Schlr Desg],Input[Institution Name],A17)</f>
        <v>-796503</v>
      </c>
      <c r="R17" s="109">
        <f t="shared" si="1"/>
        <v>10609159</v>
      </c>
      <c r="S17" s="110"/>
      <c r="T17" s="109">
        <f t="shared" si="2"/>
        <v>31533659</v>
      </c>
      <c r="U17" s="102"/>
    </row>
    <row r="18" spans="1:21" s="103" customFormat="1" ht="27" customHeight="1" x14ac:dyDescent="0.55000000000000004">
      <c r="A18" s="96" t="s">
        <v>47</v>
      </c>
      <c r="B18" s="97">
        <v>470</v>
      </c>
      <c r="C18" s="98">
        <v>412</v>
      </c>
      <c r="D18" s="99">
        <f>SUMIFS(Input[T. - Gross E&amp;G],Input[Institution Name],A18)
+SUMIFS(Input[T. - Gross Desg],Input[Institution Name],A18)</f>
        <v>49351763</v>
      </c>
      <c r="E18" s="124">
        <f>SUMIFS(Input[T. W. - Stat (R AFR) E&amp;G],Input[Institution Name],A18)
+SUMIFS(Input[T. W. - Stat (R AFR) Desg],Input[Institution Name],A18)</f>
        <v>0</v>
      </c>
      <c r="F18" s="100">
        <f>SUMIFS(Input[T. W. - Inst. (R AFR) E&amp;G],Input[Institution Name],A18)
+SUMIFS(Input[T. W. - Inst. (R AFR) Desg],Input[Institution Name],A18)</f>
        <v>0</v>
      </c>
      <c r="G18" s="124">
        <f>SUMIFS(Input[T. Exp. - Stat (R AFR) E&amp;G],Input[Institution Name],A18)
+SUMIFS(Input[T. Exp. - Stat (R AFR) Desg],Input[Institution Name],A18)</f>
        <v>-1609828</v>
      </c>
      <c r="H18" s="100">
        <f>SUMIFS(Input[T. Exp. - Inst. (R AFR) E&amp;G],Input[Institution Name],A18)
+SUMIFS(Input[T. Exp. - Inst. (R AFR) Desg],Input[Institution Name],A18)</f>
        <v>0</v>
      </c>
      <c r="I18" s="99">
        <f>SUMIFS(Input[T. Schlr E&amp;G],Input[Institution Name],A18)
+SUMIFS(Input[T. Schlr Desg],Input[Institution Name],A18)</f>
        <v>-8107234</v>
      </c>
      <c r="J18" s="101">
        <f t="shared" si="0"/>
        <v>39634701</v>
      </c>
      <c r="K18" s="110"/>
      <c r="L18" s="99">
        <f>SUMIFS(Input[Fees - Gross E&amp;G],Input[Institution Name],A18)
+SUMIFS(Input[Fees - Gross Desg],Input[Institution Name],A18)</f>
        <v>28112095</v>
      </c>
      <c r="M18" s="124">
        <f>SUMIFS(Input[F. W. - Stat (R AFR) E&amp;G],Input[Institution Name],A18)
+SUMIFS(Input[F. W. - Stat (R AFR) Desg],Input[Institution Name],A18)</f>
        <v>0</v>
      </c>
      <c r="N18" s="100">
        <f>SUMIFS(Input[F. W. - Inst. (R AFR) E&amp;G],Input[Institution Name],A18)
+SUMIFS(Input[F. W. - Inst. (R AFR) Desg],Input[Institution Name],A18)</f>
        <v>0</v>
      </c>
      <c r="O18" s="124">
        <f>SUMIFS(Input[F. Exp. - Stat (R AFR) E&amp;G],Input[Institution Name],A18)
+SUMIFS(Input[F. Exp. - Stat (R AFR) Desg],Input[Institution Name],A18)</f>
        <v>-1978900</v>
      </c>
      <c r="P18" s="100">
        <f>SUMIFS(Input[F. Exp. - Inst. (R AFR) E&amp;G],Input[Institution Name],A18)
+SUMIFS(Input[F. Exp. - Inst. (R AFR) Desg],Input[Institution Name],A18)</f>
        <v>0</v>
      </c>
      <c r="Q18" s="99">
        <f>SUMIFS(Input[Fee Schlr E&amp;G],Input[Institution Name],A18)
+SUMIFS(Input[Fee Schlr Desg],Input[Institution Name],A18)</f>
        <v>0</v>
      </c>
      <c r="R18" s="101">
        <f t="shared" si="1"/>
        <v>26133195</v>
      </c>
      <c r="S18" s="110"/>
      <c r="T18" s="101">
        <f t="shared" si="2"/>
        <v>65767896</v>
      </c>
      <c r="U18" s="102"/>
    </row>
    <row r="19" spans="1:21" s="103" customFormat="1" ht="27" customHeight="1" x14ac:dyDescent="0.55000000000000004">
      <c r="A19" s="104" t="s">
        <v>48</v>
      </c>
      <c r="B19" s="105">
        <v>480</v>
      </c>
      <c r="C19" s="106">
        <v>862</v>
      </c>
      <c r="D19" s="107">
        <f>SUMIFS(Input[T. - Gross E&amp;G],Input[Institution Name],A19)
+SUMIFS(Input[T. - Gross Desg],Input[Institution Name],A19)</f>
        <v>15660966</v>
      </c>
      <c r="E19" s="125">
        <f>SUMIFS(Input[T. W. - Stat (R AFR) E&amp;G],Input[Institution Name],A19)
+SUMIFS(Input[T. W. - Stat (R AFR) Desg],Input[Institution Name],A19)</f>
        <v>0</v>
      </c>
      <c r="F19" s="108">
        <f>SUMIFS(Input[T. W. - Inst. (R AFR) E&amp;G],Input[Institution Name],A19)
+SUMIFS(Input[T. W. - Inst. (R AFR) Desg],Input[Institution Name],A19)</f>
        <v>0</v>
      </c>
      <c r="G19" s="125">
        <f>SUMIFS(Input[T. Exp. - Stat (R AFR) E&amp;G],Input[Institution Name],A19)
+SUMIFS(Input[T. Exp. - Stat (R AFR) Desg],Input[Institution Name],A19)</f>
        <v>-266664</v>
      </c>
      <c r="H19" s="108">
        <f>SUMIFS(Input[T. Exp. - Inst. (R AFR) E&amp;G],Input[Institution Name],A19)
+SUMIFS(Input[T. Exp. - Inst. (R AFR) Desg],Input[Institution Name],A19)</f>
        <v>0</v>
      </c>
      <c r="I19" s="107">
        <f>SUMIFS(Input[T. Schlr E&amp;G],Input[Institution Name],A19)
+SUMIFS(Input[T. Schlr Desg],Input[Institution Name],A19)</f>
        <v>-3027901</v>
      </c>
      <c r="J19" s="109">
        <f t="shared" si="0"/>
        <v>12366401</v>
      </c>
      <c r="K19" s="110"/>
      <c r="L19" s="107">
        <f>SUMIFS(Input[Fees - Gross E&amp;G],Input[Institution Name],A19)
+SUMIFS(Input[Fees - Gross Desg],Input[Institution Name],A19)</f>
        <v>7524275</v>
      </c>
      <c r="M19" s="125">
        <f>SUMIFS(Input[F. W. - Stat (R AFR) E&amp;G],Input[Institution Name],A19)
+SUMIFS(Input[F. W. - Stat (R AFR) Desg],Input[Institution Name],A19)</f>
        <v>0</v>
      </c>
      <c r="N19" s="108">
        <f>SUMIFS(Input[F. W. - Inst. (R AFR) E&amp;G],Input[Institution Name],A19)
+SUMIFS(Input[F. W. - Inst. (R AFR) Desg],Input[Institution Name],A19)</f>
        <v>0</v>
      </c>
      <c r="O19" s="125">
        <f>SUMIFS(Input[F. Exp. - Stat (R AFR) E&amp;G],Input[Institution Name],A19)
+SUMIFS(Input[F. Exp. - Stat (R AFR) Desg],Input[Institution Name],A19)</f>
        <v>-142872</v>
      </c>
      <c r="P19" s="108">
        <f>SUMIFS(Input[F. Exp. - Inst. (R AFR) E&amp;G],Input[Institution Name],A19)
+SUMIFS(Input[F. Exp. - Inst. (R AFR) Desg],Input[Institution Name],A19)</f>
        <v>0</v>
      </c>
      <c r="Q19" s="107">
        <f>SUMIFS(Input[Fee Schlr E&amp;G],Input[Institution Name],A19)
+SUMIFS(Input[Fee Schlr Desg],Input[Institution Name],A19)</f>
        <v>0</v>
      </c>
      <c r="R19" s="109">
        <f t="shared" si="1"/>
        <v>7381403</v>
      </c>
      <c r="S19" s="110"/>
      <c r="T19" s="109">
        <f t="shared" si="2"/>
        <v>19747804</v>
      </c>
      <c r="U19" s="102"/>
    </row>
    <row r="20" spans="1:21" s="103" customFormat="1" ht="27" customHeight="1" x14ac:dyDescent="0.55000000000000004">
      <c r="A20" s="96" t="s">
        <v>743</v>
      </c>
      <c r="B20" s="97">
        <v>500</v>
      </c>
      <c r="C20" s="98">
        <v>203599</v>
      </c>
      <c r="D20" s="99">
        <f>SUMIFS(Input[T. - Gross E&amp;G],Input[Institution Name],A20)
+SUMIFS(Input[T. - Gross Desg],Input[Institution Name],A20)</f>
        <v>5278226</v>
      </c>
      <c r="E20" s="124">
        <f>SUMIFS(Input[T. W. - Stat (R AFR) E&amp;G],Input[Institution Name],A20)
+SUMIFS(Input[T. W. - Stat (R AFR) Desg],Input[Institution Name],A20)</f>
        <v>0</v>
      </c>
      <c r="F20" s="100">
        <f>SUMIFS(Input[T. W. - Inst. (R AFR) E&amp;G],Input[Institution Name],A20)
+SUMIFS(Input[T. W. - Inst. (R AFR) Desg],Input[Institution Name],A20)</f>
        <v>0</v>
      </c>
      <c r="G20" s="124">
        <f>SUMIFS(Input[T. Exp. - Stat (R AFR) E&amp;G],Input[Institution Name],A20)
+SUMIFS(Input[T. Exp. - Stat (R AFR) Desg],Input[Institution Name],A20)</f>
        <v>-71740</v>
      </c>
      <c r="H20" s="100">
        <f>SUMIFS(Input[T. Exp. - Inst. (R AFR) E&amp;G],Input[Institution Name],A20)
+SUMIFS(Input[T. Exp. - Inst. (R AFR) Desg],Input[Institution Name],A20)</f>
        <v>0</v>
      </c>
      <c r="I20" s="99">
        <f>SUMIFS(Input[T. Schlr E&amp;G],Input[Institution Name],A20)
+SUMIFS(Input[T. Schlr Desg],Input[Institution Name],A20)</f>
        <v>-32218</v>
      </c>
      <c r="J20" s="101">
        <f t="shared" si="0"/>
        <v>5174268</v>
      </c>
      <c r="K20" s="110"/>
      <c r="L20" s="99">
        <f>SUMIFS(Input[Fees - Gross E&amp;G],Input[Institution Name],A20)
+SUMIFS(Input[Fees - Gross Desg],Input[Institution Name],A20)</f>
        <v>422777</v>
      </c>
      <c r="M20" s="124">
        <f>SUMIFS(Input[F. W. - Stat (R AFR) E&amp;G],Input[Institution Name],A20)
+SUMIFS(Input[F. W. - Stat (R AFR) Desg],Input[Institution Name],A20)</f>
        <v>0</v>
      </c>
      <c r="N20" s="100">
        <f>SUMIFS(Input[F. W. - Inst. (R AFR) E&amp;G],Input[Institution Name],A20)
+SUMIFS(Input[F. W. - Inst. (R AFR) Desg],Input[Institution Name],A20)</f>
        <v>0</v>
      </c>
      <c r="O20" s="124">
        <f>SUMIFS(Input[F. Exp. - Stat (R AFR) E&amp;G],Input[Institution Name],A20)
+SUMIFS(Input[F. Exp. - Stat (R AFR) Desg],Input[Institution Name],A20)</f>
        <v>0</v>
      </c>
      <c r="P20" s="100">
        <f>SUMIFS(Input[F. Exp. - Inst. (R AFR) E&amp;G],Input[Institution Name],A20)
+SUMIFS(Input[F. Exp. - Inst. (R AFR) Desg],Input[Institution Name],A20)</f>
        <v>0</v>
      </c>
      <c r="Q20" s="99">
        <f>SUMIFS(Input[Fee Schlr E&amp;G],Input[Institution Name],A20)
+SUMIFS(Input[Fee Schlr Desg],Input[Institution Name],A20)</f>
        <v>0</v>
      </c>
      <c r="R20" s="101">
        <f t="shared" si="1"/>
        <v>422777</v>
      </c>
      <c r="S20" s="110"/>
      <c r="T20" s="101">
        <f t="shared" si="2"/>
        <v>5597045</v>
      </c>
      <c r="U20" s="102"/>
    </row>
    <row r="21" spans="1:21" s="103" customFormat="1" ht="27" customHeight="1" x14ac:dyDescent="0.55000000000000004">
      <c r="A21" s="104" t="s">
        <v>742</v>
      </c>
      <c r="B21" s="105">
        <v>510</v>
      </c>
      <c r="C21" s="106">
        <v>203658</v>
      </c>
      <c r="D21" s="107">
        <f>SUMIFS(Input[T. - Gross E&amp;G],Input[Institution Name],A21)
+SUMIFS(Input[T. - Gross Desg],Input[Institution Name],A21)</f>
        <v>3908127</v>
      </c>
      <c r="E21" s="125">
        <f>SUMIFS(Input[T. W. - Stat (R AFR) E&amp;G],Input[Institution Name],A21)
+SUMIFS(Input[T. W. - Stat (R AFR) Desg],Input[Institution Name],A21)</f>
        <v>0</v>
      </c>
      <c r="F21" s="108">
        <f>SUMIFS(Input[T. W. - Inst. (R AFR) E&amp;G],Input[Institution Name],A21)
+SUMIFS(Input[T. W. - Inst. (R AFR) Desg],Input[Institution Name],A21)</f>
        <v>0</v>
      </c>
      <c r="G21" s="125">
        <f>SUMIFS(Input[T. Exp. - Stat (R AFR) E&amp;G],Input[Institution Name],A21)
+SUMIFS(Input[T. Exp. - Stat (R AFR) Desg],Input[Institution Name],A21)</f>
        <v>0</v>
      </c>
      <c r="H21" s="108">
        <f>SUMIFS(Input[T. Exp. - Inst. (R AFR) E&amp;G],Input[Institution Name],A21)
+SUMIFS(Input[T. Exp. - Inst. (R AFR) Desg],Input[Institution Name],A21)</f>
        <v>0</v>
      </c>
      <c r="I21" s="107">
        <f>SUMIFS(Input[T. Schlr E&amp;G],Input[Institution Name],A21)
+SUMIFS(Input[T. Schlr Desg],Input[Institution Name],A21)</f>
        <v>-974879</v>
      </c>
      <c r="J21" s="109">
        <f t="shared" si="0"/>
        <v>2933248</v>
      </c>
      <c r="K21" s="110"/>
      <c r="L21" s="107">
        <f>SUMIFS(Input[Fees - Gross E&amp;G],Input[Institution Name],A21)
+SUMIFS(Input[Fees - Gross Desg],Input[Institution Name],A21)</f>
        <v>1046166</v>
      </c>
      <c r="M21" s="125">
        <f>SUMIFS(Input[F. W. - Stat (R AFR) E&amp;G],Input[Institution Name],A21)
+SUMIFS(Input[F. W. - Stat (R AFR) Desg],Input[Institution Name],A21)</f>
        <v>0</v>
      </c>
      <c r="N21" s="108">
        <f>SUMIFS(Input[F. W. - Inst. (R AFR) E&amp;G],Input[Institution Name],A21)
+SUMIFS(Input[F. W. - Inst. (R AFR) Desg],Input[Institution Name],A21)</f>
        <v>0</v>
      </c>
      <c r="O21" s="125">
        <f>SUMIFS(Input[F. Exp. - Stat (R AFR) E&amp;G],Input[Institution Name],A21)
+SUMIFS(Input[F. Exp. - Stat (R AFR) Desg],Input[Institution Name],A21)</f>
        <v>0</v>
      </c>
      <c r="P21" s="108">
        <f>SUMIFS(Input[F. Exp. - Inst. (R AFR) E&amp;G],Input[Institution Name],A21)
+SUMIFS(Input[F. Exp. - Inst. (R AFR) Desg],Input[Institution Name],A21)</f>
        <v>0</v>
      </c>
      <c r="Q21" s="107">
        <f>SUMIFS(Input[Fee Schlr E&amp;G],Input[Institution Name],A21)
+SUMIFS(Input[Fee Schlr Desg],Input[Institution Name],A21)</f>
        <v>-265056</v>
      </c>
      <c r="R21" s="109">
        <f t="shared" si="1"/>
        <v>781110</v>
      </c>
      <c r="S21" s="110"/>
      <c r="T21" s="109">
        <f t="shared" si="2"/>
        <v>3714358</v>
      </c>
      <c r="U21" s="102"/>
    </row>
    <row r="22" spans="1:21" s="103" customFormat="1" ht="27" customHeight="1" x14ac:dyDescent="0.55000000000000004">
      <c r="A22" s="96" t="s">
        <v>745</v>
      </c>
      <c r="B22" s="97">
        <v>520</v>
      </c>
      <c r="C22" s="98">
        <v>203652</v>
      </c>
      <c r="D22" s="99">
        <f>SUMIFS(Input[T. - Gross E&amp;G],Input[Institution Name],A22)
+SUMIFS(Input[T. - Gross Desg],Input[Institution Name],A22)</f>
        <v>3315030</v>
      </c>
      <c r="E22" s="124">
        <f>SUMIFS(Input[T. W. - Stat (R AFR) E&amp;G],Input[Institution Name],A22)
+SUMIFS(Input[T. W. - Stat (R AFR) Desg],Input[Institution Name],A22)</f>
        <v>0</v>
      </c>
      <c r="F22" s="100">
        <f>SUMIFS(Input[T. W. - Inst. (R AFR) E&amp;G],Input[Institution Name],A22)
+SUMIFS(Input[T. W. - Inst. (R AFR) Desg],Input[Institution Name],A22)</f>
        <v>0</v>
      </c>
      <c r="G22" s="124">
        <f>SUMIFS(Input[T. Exp. - Stat (R AFR) E&amp;G],Input[Institution Name],A22)
+SUMIFS(Input[T. Exp. - Stat (R AFR) Desg],Input[Institution Name],A22)</f>
        <v>-25693</v>
      </c>
      <c r="H22" s="100">
        <f>SUMIFS(Input[T. Exp. - Inst. (R AFR) E&amp;G],Input[Institution Name],A22)
+SUMIFS(Input[T. Exp. - Inst. (R AFR) Desg],Input[Institution Name],A22)</f>
        <v>0</v>
      </c>
      <c r="I22" s="99">
        <f>SUMIFS(Input[T. Schlr E&amp;G],Input[Institution Name],A22)
+SUMIFS(Input[T. Schlr Desg],Input[Institution Name],A22)</f>
        <v>124117</v>
      </c>
      <c r="J22" s="101">
        <f t="shared" si="0"/>
        <v>3413454</v>
      </c>
      <c r="K22" s="110"/>
      <c r="L22" s="99">
        <f>SUMIFS(Input[Fees - Gross E&amp;G],Input[Institution Name],A22)
+SUMIFS(Input[Fees - Gross Desg],Input[Institution Name],A22)</f>
        <v>657325</v>
      </c>
      <c r="M22" s="124">
        <f>SUMIFS(Input[F. W. - Stat (R AFR) E&amp;G],Input[Institution Name],A22)
+SUMIFS(Input[F. W. - Stat (R AFR) Desg],Input[Institution Name],A22)</f>
        <v>0</v>
      </c>
      <c r="N22" s="100">
        <f>SUMIFS(Input[F. W. - Inst. (R AFR) E&amp;G],Input[Institution Name],A22)
+SUMIFS(Input[F. W. - Inst. (R AFR) Desg],Input[Institution Name],A22)</f>
        <v>0</v>
      </c>
      <c r="O22" s="124">
        <f>SUMIFS(Input[F. Exp. - Stat (R AFR) E&amp;G],Input[Institution Name],A22)
+SUMIFS(Input[F. Exp. - Stat (R AFR) Desg],Input[Institution Name],A22)</f>
        <v>-3654</v>
      </c>
      <c r="P22" s="100">
        <f>SUMIFS(Input[F. Exp. - Inst. (R AFR) E&amp;G],Input[Institution Name],A22)
+SUMIFS(Input[F. Exp. - Inst. (R AFR) Desg],Input[Institution Name],A22)</f>
        <v>0</v>
      </c>
      <c r="Q22" s="99">
        <f>SUMIFS(Input[Fee Schlr E&amp;G],Input[Institution Name],A22)
+SUMIFS(Input[Fee Schlr Desg],Input[Institution Name],A22)</f>
        <v>24228</v>
      </c>
      <c r="R22" s="101">
        <f t="shared" si="1"/>
        <v>677899</v>
      </c>
      <c r="S22" s="110"/>
      <c r="T22" s="101">
        <f t="shared" si="2"/>
        <v>4091353</v>
      </c>
      <c r="U22" s="102"/>
    </row>
    <row r="23" spans="1:21" s="103" customFormat="1" ht="27" customHeight="1" thickBot="1" x14ac:dyDescent="0.6">
      <c r="A23" s="111" t="s">
        <v>744</v>
      </c>
      <c r="B23" s="112">
        <v>530</v>
      </c>
      <c r="C23" s="113">
        <v>103606</v>
      </c>
      <c r="D23" s="114">
        <f>SUMIFS(Input[T. - Gross E&amp;G],Input[Institution Name],A23)
+SUMIFS(Input[T. - Gross Desg],Input[Institution Name],A23)</f>
        <v>12811760</v>
      </c>
      <c r="E23" s="126">
        <f>SUMIFS(Input[T. W. - Stat (R AFR) E&amp;G],Input[Institution Name],A23)
+SUMIFS(Input[T. W. - Stat (R AFR) Desg],Input[Institution Name],A23)</f>
        <v>-19527</v>
      </c>
      <c r="F23" s="115">
        <f>SUMIFS(Input[T. W. - Inst. (R AFR) E&amp;G],Input[Institution Name],A23)
+SUMIFS(Input[T. W. - Inst. (R AFR) Desg],Input[Institution Name],A23)</f>
        <v>0</v>
      </c>
      <c r="G23" s="126">
        <f>SUMIFS(Input[T. Exp. - Stat (R AFR) E&amp;G],Input[Institution Name],A23)
+SUMIFS(Input[T. Exp. - Stat (R AFR) Desg],Input[Institution Name],A23)</f>
        <v>0</v>
      </c>
      <c r="H23" s="115">
        <f>SUMIFS(Input[T. Exp. - Inst. (R AFR) E&amp;G],Input[Institution Name],A23)
+SUMIFS(Input[T. Exp. - Inst. (R AFR) Desg],Input[Institution Name],A23)</f>
        <v>0</v>
      </c>
      <c r="I23" s="114">
        <f>SUMIFS(Input[T. Schlr E&amp;G],Input[Institution Name],A23)
+SUMIFS(Input[T. Schlr Desg],Input[Institution Name],A23)</f>
        <v>0</v>
      </c>
      <c r="J23" s="116">
        <f t="shared" si="0"/>
        <v>12792233</v>
      </c>
      <c r="K23" s="110"/>
      <c r="L23" s="114">
        <f>SUMIFS(Input[Fees - Gross E&amp;G],Input[Institution Name],A23)
+SUMIFS(Input[Fees - Gross Desg],Input[Institution Name],A23)</f>
        <v>0</v>
      </c>
      <c r="M23" s="126">
        <f>SUMIFS(Input[F. W. - Stat (R AFR) E&amp;G],Input[Institution Name],A23)
+SUMIFS(Input[F. W. - Stat (R AFR) Desg],Input[Institution Name],A23)</f>
        <v>0</v>
      </c>
      <c r="N23" s="115">
        <f>SUMIFS(Input[F. W. - Inst. (R AFR) E&amp;G],Input[Institution Name],A23)
+SUMIFS(Input[F. W. - Inst. (R AFR) Desg],Input[Institution Name],A23)</f>
        <v>0</v>
      </c>
      <c r="O23" s="126">
        <f>SUMIFS(Input[F. Exp. - Stat (R AFR) E&amp;G],Input[Institution Name],A23)
+SUMIFS(Input[F. Exp. - Stat (R AFR) Desg],Input[Institution Name],A23)</f>
        <v>0</v>
      </c>
      <c r="P23" s="115">
        <f>SUMIFS(Input[F. Exp. - Inst. (R AFR) E&amp;G],Input[Institution Name],A23)
+SUMIFS(Input[F. Exp. - Inst. (R AFR) Desg],Input[Institution Name],A23)</f>
        <v>0</v>
      </c>
      <c r="Q23" s="114">
        <f>SUMIFS(Input[Fee Schlr E&amp;G],Input[Institution Name],A23)
+SUMIFS(Input[Fee Schlr Desg],Input[Institution Name],A23)</f>
        <v>0</v>
      </c>
      <c r="R23" s="116">
        <f t="shared" si="1"/>
        <v>0</v>
      </c>
      <c r="S23" s="110"/>
      <c r="T23" s="116">
        <f t="shared" si="2"/>
        <v>12792233</v>
      </c>
      <c r="U23" s="102"/>
    </row>
    <row r="24" spans="1:21" s="103" customFormat="1" ht="27" customHeight="1" thickTop="1" x14ac:dyDescent="0.55000000000000004">
      <c r="A24" s="370">
        <f>COUNTA(A10:A23)</f>
        <v>14</v>
      </c>
      <c r="B24" s="371"/>
      <c r="C24" s="372"/>
      <c r="D24" s="373">
        <f t="shared" ref="D24:J24" si="3">SUM(D10:D23)</f>
        <v>355514725</v>
      </c>
      <c r="E24" s="374">
        <f t="shared" si="3"/>
        <v>-19527</v>
      </c>
      <c r="F24" s="375">
        <f t="shared" si="3"/>
        <v>0</v>
      </c>
      <c r="G24" s="374">
        <f t="shared" si="3"/>
        <v>-7187064</v>
      </c>
      <c r="H24" s="375">
        <f t="shared" si="3"/>
        <v>-11470</v>
      </c>
      <c r="I24" s="368">
        <f t="shared" si="3"/>
        <v>-26996216</v>
      </c>
      <c r="J24" s="368">
        <f t="shared" si="3"/>
        <v>321300448</v>
      </c>
      <c r="K24" s="110"/>
      <c r="L24" s="368">
        <f t="shared" ref="L24:R24" si="4">SUM(L10:L23)</f>
        <v>94435698</v>
      </c>
      <c r="M24" s="374">
        <f t="shared" si="4"/>
        <v>0</v>
      </c>
      <c r="N24" s="375">
        <f t="shared" si="4"/>
        <v>0</v>
      </c>
      <c r="O24" s="374">
        <f t="shared" si="4"/>
        <v>-2875822</v>
      </c>
      <c r="P24" s="375">
        <f t="shared" si="4"/>
        <v>-5260</v>
      </c>
      <c r="Q24" s="368">
        <f t="shared" si="4"/>
        <v>-3691734</v>
      </c>
      <c r="R24" s="368">
        <f t="shared" si="4"/>
        <v>87862882</v>
      </c>
      <c r="S24" s="369"/>
      <c r="T24" s="368">
        <f>SUM(T10:T23)</f>
        <v>409163330</v>
      </c>
      <c r="U24" s="102"/>
    </row>
    <row r="25" spans="1:21" ht="27" customHeight="1" x14ac:dyDescent="0.55000000000000004">
      <c r="A25" s="18"/>
      <c r="B25" s="19"/>
      <c r="C25" s="20"/>
      <c r="D25" s="17"/>
      <c r="E25" s="17"/>
      <c r="F25" s="17"/>
      <c r="G25" s="17"/>
      <c r="H25" s="17"/>
      <c r="I25" s="17"/>
      <c r="J25" s="17"/>
      <c r="K25" s="17"/>
      <c r="L25" s="17"/>
      <c r="M25" s="17"/>
      <c r="N25" s="17"/>
      <c r="O25" s="17"/>
      <c r="P25" s="17"/>
      <c r="Q25" s="17"/>
      <c r="R25" s="17"/>
      <c r="S25" s="17"/>
      <c r="T25" s="17"/>
      <c r="U25" s="12"/>
    </row>
    <row r="26" spans="1:21" ht="27" customHeight="1" x14ac:dyDescent="0.55000000000000004">
      <c r="A26" s="18"/>
      <c r="B26" s="19"/>
      <c r="C26" s="20"/>
      <c r="D26" s="17"/>
      <c r="E26" s="17"/>
      <c r="F26" s="17"/>
      <c r="G26" s="17"/>
      <c r="H26" s="17"/>
      <c r="I26" s="17"/>
      <c r="J26" s="17"/>
      <c r="K26" s="17"/>
      <c r="L26" s="17"/>
      <c r="M26" s="17"/>
      <c r="N26" s="17"/>
      <c r="O26" s="17"/>
      <c r="P26" s="17"/>
      <c r="Q26" s="17"/>
      <c r="R26" s="17"/>
      <c r="S26" s="17"/>
      <c r="T26" s="17"/>
      <c r="U26" s="12"/>
    </row>
    <row r="27" spans="1:21" ht="31.95" customHeight="1" x14ac:dyDescent="0.55000000000000004">
      <c r="A27" s="835" t="s">
        <v>820</v>
      </c>
      <c r="B27" s="835"/>
      <c r="C27" s="835"/>
      <c r="D27" s="835"/>
      <c r="E27" s="835"/>
      <c r="F27" s="835"/>
      <c r="G27" s="835"/>
      <c r="H27" s="835"/>
      <c r="I27" s="835"/>
      <c r="J27" s="835"/>
      <c r="K27" s="835"/>
      <c r="L27" s="835"/>
      <c r="M27" s="835"/>
      <c r="N27" s="835"/>
      <c r="O27" s="835"/>
      <c r="P27" s="835"/>
      <c r="Q27" s="835"/>
      <c r="R27" s="835"/>
      <c r="S27" s="835"/>
      <c r="T27" s="835"/>
      <c r="U27" s="12"/>
    </row>
    <row r="28" spans="1:21" ht="27" customHeight="1" x14ac:dyDescent="0.55000000000000004">
      <c r="A28" s="836"/>
      <c r="B28" s="836"/>
      <c r="C28" s="836"/>
      <c r="D28" s="836"/>
      <c r="E28" s="836"/>
      <c r="F28" s="836"/>
      <c r="G28" s="836"/>
      <c r="H28" s="836"/>
      <c r="I28" s="836"/>
      <c r="J28" s="836"/>
      <c r="K28" s="836"/>
      <c r="L28" s="836"/>
      <c r="M28" s="836"/>
      <c r="N28" s="836"/>
      <c r="O28" s="836"/>
      <c r="P28" s="836"/>
      <c r="Q28" s="836"/>
      <c r="R28" s="836"/>
      <c r="S28" s="836"/>
      <c r="T28" s="836"/>
      <c r="U28" s="12"/>
    </row>
    <row r="29" spans="1:21" ht="27" customHeight="1" x14ac:dyDescent="0.6">
      <c r="A29" s="12"/>
      <c r="B29" s="12"/>
      <c r="C29" s="12"/>
      <c r="D29" s="14"/>
      <c r="E29" s="845" t="s">
        <v>161</v>
      </c>
      <c r="F29" s="846"/>
      <c r="G29" s="846"/>
      <c r="H29" s="847"/>
      <c r="I29" s="12"/>
      <c r="J29" s="12"/>
      <c r="K29" s="12"/>
      <c r="L29" s="12"/>
      <c r="M29" s="837" t="s">
        <v>162</v>
      </c>
      <c r="N29" s="838"/>
      <c r="O29" s="838"/>
      <c r="P29" s="838"/>
      <c r="Q29" s="12"/>
      <c r="R29" s="12"/>
      <c r="S29" s="12"/>
      <c r="T29" s="12"/>
      <c r="U29" s="12"/>
    </row>
    <row r="30" spans="1:21" ht="27" customHeight="1" x14ac:dyDescent="0.6">
      <c r="A30" s="12"/>
      <c r="B30" s="12"/>
      <c r="C30" s="12"/>
      <c r="D30" s="15" t="s">
        <v>161</v>
      </c>
      <c r="E30" s="841" t="s">
        <v>163</v>
      </c>
      <c r="F30" s="842"/>
      <c r="G30" s="841" t="s">
        <v>164</v>
      </c>
      <c r="H30" s="842"/>
      <c r="I30" s="839" t="s">
        <v>161</v>
      </c>
      <c r="J30" s="840"/>
      <c r="K30" s="16"/>
      <c r="L30" s="15" t="s">
        <v>162</v>
      </c>
      <c r="M30" s="843" t="s">
        <v>165</v>
      </c>
      <c r="N30" s="844"/>
      <c r="O30" s="843" t="s">
        <v>166</v>
      </c>
      <c r="P30" s="844"/>
      <c r="Q30" s="839" t="s">
        <v>162</v>
      </c>
      <c r="R30" s="840"/>
      <c r="S30" s="16"/>
      <c r="T30" s="12"/>
      <c r="U30" s="12"/>
    </row>
    <row r="31" spans="1:21" s="103" customFormat="1" ht="27" customHeight="1" x14ac:dyDescent="0.6">
      <c r="A31" s="90" t="s">
        <v>167</v>
      </c>
      <c r="B31" s="91" t="s">
        <v>32</v>
      </c>
      <c r="C31" s="91" t="s">
        <v>33</v>
      </c>
      <c r="D31" s="91" t="s">
        <v>168</v>
      </c>
      <c r="E31" s="123" t="s">
        <v>169</v>
      </c>
      <c r="F31" s="92" t="s">
        <v>170</v>
      </c>
      <c r="G31" s="123" t="s">
        <v>169</v>
      </c>
      <c r="H31" s="92" t="s">
        <v>170</v>
      </c>
      <c r="I31" s="91" t="s">
        <v>171</v>
      </c>
      <c r="J31" s="91" t="s">
        <v>172</v>
      </c>
      <c r="K31" s="93"/>
      <c r="L31" s="91" t="s">
        <v>168</v>
      </c>
      <c r="M31" s="123" t="s">
        <v>169</v>
      </c>
      <c r="N31" s="92" t="s">
        <v>170</v>
      </c>
      <c r="O31" s="123" t="s">
        <v>169</v>
      </c>
      <c r="P31" s="92" t="s">
        <v>170</v>
      </c>
      <c r="Q31" s="91" t="s">
        <v>171</v>
      </c>
      <c r="R31" s="91" t="s">
        <v>172</v>
      </c>
      <c r="S31" s="93"/>
      <c r="T31" s="91" t="s">
        <v>173</v>
      </c>
      <c r="U31" s="102"/>
    </row>
    <row r="32" spans="1:21" s="103" customFormat="1" ht="27" customHeight="1" x14ac:dyDescent="0.55000000000000004">
      <c r="A32" s="96" t="s">
        <v>49</v>
      </c>
      <c r="B32" s="97">
        <v>490</v>
      </c>
      <c r="C32" s="98">
        <v>36273</v>
      </c>
      <c r="D32" s="99">
        <f>SUMIFS(Input[T. - Gross E&amp;G],Input[Institution Name],A32)
+SUMIFS(Input[T. - Gross Desg],Input[Institution Name],A32)</f>
        <v>6580925</v>
      </c>
      <c r="E32" s="124">
        <f>SUMIFS(Input[T. W. - Stat (R AFR) E&amp;G],Input[Institution Name],A32)
+SUMIFS(Input[T. W. - Stat (R AFR) Desg],Input[Institution Name],A32)</f>
        <v>0</v>
      </c>
      <c r="F32" s="100">
        <f>SUMIFS(Input[T. W. - Inst. (R AFR) E&amp;G],Input[Institution Name],A32)
+SUMIFS(Input[T. W. - Inst. (R AFR) Desg],Input[Institution Name],A32)</f>
        <v>0</v>
      </c>
      <c r="G32" s="124">
        <f>SUMIFS(Input[T. Exp. - Stat (R AFR) E&amp;G],Input[Institution Name],A32)
+SUMIFS(Input[T. Exp. - Stat (R AFR) Desg],Input[Institution Name],A32)</f>
        <v>-143558</v>
      </c>
      <c r="H32" s="100">
        <f>SUMIFS(Input[T. Exp. - Inst. (R AFR) E&amp;G],Input[Institution Name],A32)
+SUMIFS(Input[T. Exp. - Inst. (R AFR) Desg],Input[Institution Name],A32)</f>
        <v>-240023</v>
      </c>
      <c r="I32" s="99">
        <f>SUMIFS(Input[T. Schlr E&amp;G],Input[Institution Name],A32)
+SUMIFS(Input[T. Schlr Desg],Input[Institution Name],A32)</f>
        <v>-2178022</v>
      </c>
      <c r="J32" s="101">
        <f t="shared" ref="J32:J84" si="5">SUM(D32:I32)</f>
        <v>4019322</v>
      </c>
      <c r="K32" s="110"/>
      <c r="L32" s="99">
        <f>SUMIFS(Input[Fees - Gross E&amp;G],Input[Institution Name],A32)
+SUMIFS(Input[Fees - Gross Desg],Input[Institution Name],A32)</f>
        <v>3079234</v>
      </c>
      <c r="M32" s="124">
        <f>SUMIFS(Input[F. W. - Stat (R AFR) E&amp;G],Input[Institution Name],A32)
+SUMIFS(Input[F. W. - Stat (R AFR) Desg],Input[Institution Name],A32)</f>
        <v>0</v>
      </c>
      <c r="N32" s="100">
        <f>SUMIFS(Input[F. W. - Inst. (R AFR) E&amp;G],Input[Institution Name],A32)
+SUMIFS(Input[F. W. - Inst. (R AFR) Desg],Input[Institution Name],A32)</f>
        <v>0</v>
      </c>
      <c r="O32" s="124">
        <f>SUMIFS(Input[F. Exp. - Stat (R AFR) E&amp;G],Input[Institution Name],A32)
+SUMIFS(Input[F. Exp. - Stat (R AFR) Desg],Input[Institution Name],A32)</f>
        <v>-7231</v>
      </c>
      <c r="P32" s="100">
        <f>SUMIFS(Input[F. Exp. - Inst. (R AFR) E&amp;G],Input[Institution Name],A32)
+SUMIFS(Input[F. Exp. - Inst. (R AFR) Desg],Input[Institution Name],A32)</f>
        <v>-272446</v>
      </c>
      <c r="Q32" s="99">
        <f>SUMIFS(Input[Fee Schlr E&amp;G],Input[Institution Name],A32)
+SUMIFS(Input[Fee Schlr Desg],Input[Institution Name],A32)</f>
        <v>-983889</v>
      </c>
      <c r="R32" s="101">
        <f t="shared" ref="R32:R84" si="6">SUM(L32:Q32)</f>
        <v>1815668</v>
      </c>
      <c r="S32" s="110"/>
      <c r="T32" s="101">
        <f t="shared" ref="T32:T84" si="7">J32+R32</f>
        <v>5834990</v>
      </c>
      <c r="U32" s="102"/>
    </row>
    <row r="33" spans="1:21" s="103" customFormat="1" ht="27" customHeight="1" x14ac:dyDescent="0.55000000000000004">
      <c r="A33" s="104" t="s">
        <v>50</v>
      </c>
      <c r="B33" s="105">
        <v>500</v>
      </c>
      <c r="C33" s="106">
        <v>23582</v>
      </c>
      <c r="D33" s="107">
        <f>SUMIFS(Input[T. - Gross E&amp;G],Input[Institution Name],A33)
+SUMIFS(Input[T. - Gross Desg],Input[Institution Name],A33)</f>
        <v>3378573</v>
      </c>
      <c r="E33" s="125">
        <f>SUMIFS(Input[T. W. - Stat (R AFR) E&amp;G],Input[Institution Name],A33)
+SUMIFS(Input[T. W. - Stat (R AFR) Desg],Input[Institution Name],A33)</f>
        <v>0</v>
      </c>
      <c r="F33" s="108">
        <f>SUMIFS(Input[T. W. - Inst. (R AFR) E&amp;G],Input[Institution Name],A33)
+SUMIFS(Input[T. W. - Inst. (R AFR) Desg],Input[Institution Name],A33)</f>
        <v>0</v>
      </c>
      <c r="G33" s="125">
        <f>SUMIFS(Input[T. Exp. - Stat (R AFR) E&amp;G],Input[Institution Name],A33)
+SUMIFS(Input[T. Exp. - Stat (R AFR) Desg],Input[Institution Name],A33)</f>
        <v>-90368</v>
      </c>
      <c r="H33" s="108">
        <f>SUMIFS(Input[T. Exp. - Inst. (R AFR) E&amp;G],Input[Institution Name],A33)
+SUMIFS(Input[T. Exp. - Inst. (R AFR) Desg],Input[Institution Name],A33)</f>
        <v>0</v>
      </c>
      <c r="I33" s="107">
        <f>SUMIFS(Input[T. Schlr E&amp;G],Input[Institution Name],A33)
+SUMIFS(Input[T. Schlr Desg],Input[Institution Name],A33)</f>
        <v>-2250039</v>
      </c>
      <c r="J33" s="109">
        <f t="shared" si="5"/>
        <v>1038166</v>
      </c>
      <c r="K33" s="110"/>
      <c r="L33" s="107">
        <f>SUMIFS(Input[Fees - Gross E&amp;G],Input[Institution Name],A33)
+SUMIFS(Input[Fees - Gross Desg],Input[Institution Name],A33)</f>
        <v>3108822</v>
      </c>
      <c r="M33" s="125">
        <f>SUMIFS(Input[F. W. - Stat (R AFR) E&amp;G],Input[Institution Name],A33)
+SUMIFS(Input[F. W. - Stat (R AFR) Desg],Input[Institution Name],A33)</f>
        <v>0</v>
      </c>
      <c r="N33" s="108">
        <f>SUMIFS(Input[F. W. - Inst. (R AFR) E&amp;G],Input[Institution Name],A33)
+SUMIFS(Input[F. W. - Inst. (R AFR) Desg],Input[Institution Name],A33)</f>
        <v>0</v>
      </c>
      <c r="O33" s="125">
        <f>SUMIFS(Input[F. Exp. - Stat (R AFR) E&amp;G],Input[Institution Name],A33)
+SUMIFS(Input[F. Exp. - Stat (R AFR) Desg],Input[Institution Name],A33)</f>
        <v>-38412</v>
      </c>
      <c r="P33" s="108">
        <f>SUMIFS(Input[F. Exp. - Inst. (R AFR) E&amp;G],Input[Institution Name],A33)
+SUMIFS(Input[F. Exp. - Inst. (R AFR) Desg],Input[Institution Name],A33)</f>
        <v>0</v>
      </c>
      <c r="Q33" s="107">
        <f>SUMIFS(Input[Fee Schlr E&amp;G],Input[Institution Name],A33)
+SUMIFS(Input[Fee Schlr Desg],Input[Institution Name],A33)</f>
        <v>-878785</v>
      </c>
      <c r="R33" s="109">
        <f t="shared" si="6"/>
        <v>2191625</v>
      </c>
      <c r="S33" s="110"/>
      <c r="T33" s="109">
        <f t="shared" si="7"/>
        <v>3229791</v>
      </c>
      <c r="U33" s="102"/>
    </row>
    <row r="34" spans="1:21" s="103" customFormat="1" ht="27" customHeight="1" x14ac:dyDescent="0.55000000000000004">
      <c r="A34" s="96" t="s">
        <v>51</v>
      </c>
      <c r="B34" s="97">
        <v>510</v>
      </c>
      <c r="C34" s="98">
        <v>23485</v>
      </c>
      <c r="D34" s="99">
        <f>SUMIFS(Input[T. - Gross E&amp;G],Input[Institution Name],A34)
+SUMIFS(Input[T. - Gross Desg],Input[Institution Name],A34)</f>
        <v>3893627</v>
      </c>
      <c r="E34" s="124">
        <f>SUMIFS(Input[T. W. - Stat (R AFR) E&amp;G],Input[Institution Name],A34)
+SUMIFS(Input[T. W. - Stat (R AFR) Desg],Input[Institution Name],A34)</f>
        <v>0</v>
      </c>
      <c r="F34" s="100">
        <f>SUMIFS(Input[T. W. - Inst. (R AFR) E&amp;G],Input[Institution Name],A34)
+SUMIFS(Input[T. W. - Inst. (R AFR) Desg],Input[Institution Name],A34)</f>
        <v>0</v>
      </c>
      <c r="G34" s="124">
        <f>SUMIFS(Input[T. Exp. - Stat (R AFR) E&amp;G],Input[Institution Name],A34)
+SUMIFS(Input[T. Exp. - Stat (R AFR) Desg],Input[Institution Name],A34)</f>
        <v>-73317</v>
      </c>
      <c r="H34" s="100">
        <f>SUMIFS(Input[T. Exp. - Inst. (R AFR) E&amp;G],Input[Institution Name],A34)
+SUMIFS(Input[T. Exp. - Inst. (R AFR) Desg],Input[Institution Name],A34)</f>
        <v>0</v>
      </c>
      <c r="I34" s="99">
        <f>SUMIFS(Input[T. Schlr E&amp;G],Input[Institution Name],A34)
+SUMIFS(Input[T. Schlr Desg],Input[Institution Name],A34)</f>
        <v>-1673938</v>
      </c>
      <c r="J34" s="101">
        <f t="shared" si="5"/>
        <v>2146372</v>
      </c>
      <c r="K34" s="110"/>
      <c r="L34" s="99">
        <f>SUMIFS(Input[Fees - Gross E&amp;G],Input[Institution Name],A34)
+SUMIFS(Input[Fees - Gross Desg],Input[Institution Name],A34)</f>
        <v>2480809</v>
      </c>
      <c r="M34" s="124">
        <f>SUMIFS(Input[F. W. - Stat (R AFR) E&amp;G],Input[Institution Name],A34)
+SUMIFS(Input[F. W. - Stat (R AFR) Desg],Input[Institution Name],A34)</f>
        <v>0</v>
      </c>
      <c r="N34" s="100">
        <f>SUMIFS(Input[F. W. - Inst. (R AFR) E&amp;G],Input[Institution Name],A34)
+SUMIFS(Input[F. W. - Inst. (R AFR) Desg],Input[Institution Name],A34)</f>
        <v>0</v>
      </c>
      <c r="O34" s="124">
        <f>SUMIFS(Input[F. Exp. - Stat (R AFR) E&amp;G],Input[Institution Name],A34)
+SUMIFS(Input[F. Exp. - Stat (R AFR) Desg],Input[Institution Name],A34)</f>
        <v>-37030</v>
      </c>
      <c r="P34" s="100">
        <f>SUMIFS(Input[F. Exp. - Inst. (R AFR) E&amp;G],Input[Institution Name],A34)
+SUMIFS(Input[F. Exp. - Inst. (R AFR) Desg],Input[Institution Name],A34)</f>
        <v>0</v>
      </c>
      <c r="Q34" s="99">
        <f>SUMIFS(Input[Fee Schlr E&amp;G],Input[Institution Name],A34)
+SUMIFS(Input[Fee Schlr Desg],Input[Institution Name],A34)</f>
        <v>-1080656</v>
      </c>
      <c r="R34" s="101">
        <f t="shared" si="6"/>
        <v>1363123</v>
      </c>
      <c r="S34" s="110"/>
      <c r="T34" s="101">
        <f t="shared" si="7"/>
        <v>3509495</v>
      </c>
      <c r="U34" s="102"/>
    </row>
    <row r="35" spans="1:21" s="103" customFormat="1" ht="27" customHeight="1" x14ac:dyDescent="0.55000000000000004">
      <c r="A35" s="104" t="s">
        <v>52</v>
      </c>
      <c r="B35" s="105">
        <v>520</v>
      </c>
      <c r="C35" s="106">
        <v>9225</v>
      </c>
      <c r="D35" s="107">
        <f>SUMIFS(Input[T. - Gross E&amp;G],Input[Institution Name],A35)
+SUMIFS(Input[T. - Gross Desg],Input[Institution Name],A35)</f>
        <v>15811500</v>
      </c>
      <c r="E35" s="125">
        <f>SUMIFS(Input[T. W. - Stat (R AFR) E&amp;G],Input[Institution Name],A35)
+SUMIFS(Input[T. W. - Stat (R AFR) Desg],Input[Institution Name],A35)</f>
        <v>0</v>
      </c>
      <c r="F35" s="108">
        <f>SUMIFS(Input[T. W. - Inst. (R AFR) E&amp;G],Input[Institution Name],A35)
+SUMIFS(Input[T. W. - Inst. (R AFR) Desg],Input[Institution Name],A35)</f>
        <v>0</v>
      </c>
      <c r="G35" s="125">
        <f>SUMIFS(Input[T. Exp. - Stat (R AFR) E&amp;G],Input[Institution Name],A35)
+SUMIFS(Input[T. Exp. - Stat (R AFR) Desg],Input[Institution Name],A35)</f>
        <v>-379424</v>
      </c>
      <c r="H35" s="108">
        <f>SUMIFS(Input[T. Exp. - Inst. (R AFR) E&amp;G],Input[Institution Name],A35)
+SUMIFS(Input[T. Exp. - Inst. (R AFR) Desg],Input[Institution Name],A35)</f>
        <v>-925824</v>
      </c>
      <c r="I35" s="107">
        <f>SUMIFS(Input[T. Schlr E&amp;G],Input[Institution Name],A35)
+SUMIFS(Input[T. Schlr Desg],Input[Institution Name],A35)</f>
        <v>-7689683</v>
      </c>
      <c r="J35" s="109">
        <f t="shared" si="5"/>
        <v>6816569</v>
      </c>
      <c r="K35" s="110"/>
      <c r="L35" s="107">
        <f>SUMIFS(Input[Fees - Gross E&amp;G],Input[Institution Name],A35)
+SUMIFS(Input[Fees - Gross Desg],Input[Institution Name],A35)</f>
        <v>0</v>
      </c>
      <c r="M35" s="125">
        <f>SUMIFS(Input[F. W. - Stat (R AFR) E&amp;G],Input[Institution Name],A35)
+SUMIFS(Input[F. W. - Stat (R AFR) Desg],Input[Institution Name],A35)</f>
        <v>0</v>
      </c>
      <c r="N35" s="108">
        <f>SUMIFS(Input[F. W. - Inst. (R AFR) E&amp;G],Input[Institution Name],A35)
+SUMIFS(Input[F. W. - Inst. (R AFR) Desg],Input[Institution Name],A35)</f>
        <v>0</v>
      </c>
      <c r="O35" s="125">
        <f>SUMIFS(Input[F. Exp. - Stat (R AFR) E&amp;G],Input[Institution Name],A35)
+SUMIFS(Input[F. Exp. - Stat (R AFR) Desg],Input[Institution Name],A35)</f>
        <v>0</v>
      </c>
      <c r="P35" s="108">
        <f>SUMIFS(Input[F. Exp. - Inst. (R AFR) E&amp;G],Input[Institution Name],A35)
+SUMIFS(Input[F. Exp. - Inst. (R AFR) Desg],Input[Institution Name],A35)</f>
        <v>0</v>
      </c>
      <c r="Q35" s="107">
        <f>SUMIFS(Input[Fee Schlr E&amp;G],Input[Institution Name],A35)
+SUMIFS(Input[Fee Schlr Desg],Input[Institution Name],A35)</f>
        <v>0</v>
      </c>
      <c r="R35" s="109">
        <f t="shared" si="6"/>
        <v>0</v>
      </c>
      <c r="S35" s="110"/>
      <c r="T35" s="109">
        <f t="shared" si="7"/>
        <v>6816569</v>
      </c>
      <c r="U35" s="102"/>
    </row>
    <row r="36" spans="1:21" s="103" customFormat="1" ht="27" customHeight="1" x14ac:dyDescent="0.55000000000000004">
      <c r="A36" s="96" t="s">
        <v>53</v>
      </c>
      <c r="B36" s="97">
        <v>530</v>
      </c>
      <c r="C36" s="98">
        <v>9932</v>
      </c>
      <c r="D36" s="99">
        <f>SUMIFS(Input[T. - Gross E&amp;G],Input[Institution Name],A36)
+SUMIFS(Input[T. - Gross Desg],Input[Institution Name],A36)</f>
        <v>6983192</v>
      </c>
      <c r="E36" s="124">
        <f>SUMIFS(Input[T. W. - Stat (R AFR) E&amp;G],Input[Institution Name],A36)
+SUMIFS(Input[T. W. - Stat (R AFR) Desg],Input[Institution Name],A36)</f>
        <v>0</v>
      </c>
      <c r="F36" s="100">
        <f>SUMIFS(Input[T. W. - Inst. (R AFR) E&amp;G],Input[Institution Name],A36)
+SUMIFS(Input[T. W. - Inst. (R AFR) Desg],Input[Institution Name],A36)</f>
        <v>0</v>
      </c>
      <c r="G36" s="124">
        <f>SUMIFS(Input[T. Exp. - Stat (R AFR) E&amp;G],Input[Institution Name],A36)
+SUMIFS(Input[T. Exp. - Stat (R AFR) Desg],Input[Institution Name],A36)</f>
        <v>-212464</v>
      </c>
      <c r="H36" s="100">
        <f>SUMIFS(Input[T. Exp. - Inst. (R AFR) E&amp;G],Input[Institution Name],A36)
+SUMIFS(Input[T. Exp. - Inst. (R AFR) Desg],Input[Institution Name],A36)</f>
        <v>-402650</v>
      </c>
      <c r="I36" s="99">
        <f>SUMIFS(Input[T. Schlr E&amp;G],Input[Institution Name],A36)
+SUMIFS(Input[T. Schlr Desg],Input[Institution Name],A36)</f>
        <v>-2352162</v>
      </c>
      <c r="J36" s="101">
        <f t="shared" si="5"/>
        <v>4015916</v>
      </c>
      <c r="K36" s="110"/>
      <c r="L36" s="99">
        <f>SUMIFS(Input[Fees - Gross E&amp;G],Input[Institution Name],A36)
+SUMIFS(Input[Fees - Gross Desg],Input[Institution Name],A36)</f>
        <v>0</v>
      </c>
      <c r="M36" s="124">
        <f>SUMIFS(Input[F. W. - Stat (R AFR) E&amp;G],Input[Institution Name],A36)
+SUMIFS(Input[F. W. - Stat (R AFR) Desg],Input[Institution Name],A36)</f>
        <v>0</v>
      </c>
      <c r="N36" s="100">
        <f>SUMIFS(Input[F. W. - Inst. (R AFR) E&amp;G],Input[Institution Name],A36)
+SUMIFS(Input[F. W. - Inst. (R AFR) Desg],Input[Institution Name],A36)</f>
        <v>0</v>
      </c>
      <c r="O36" s="124">
        <f>SUMIFS(Input[F. Exp. - Stat (R AFR) E&amp;G],Input[Institution Name],A36)
+SUMIFS(Input[F. Exp. - Stat (R AFR) Desg],Input[Institution Name],A36)</f>
        <v>0</v>
      </c>
      <c r="P36" s="100">
        <f>SUMIFS(Input[F. Exp. - Inst. (R AFR) E&amp;G],Input[Institution Name],A36)
+SUMIFS(Input[F. Exp. - Inst. (R AFR) Desg],Input[Institution Name],A36)</f>
        <v>0</v>
      </c>
      <c r="Q36" s="99">
        <f>SUMIFS(Input[Fee Schlr E&amp;G],Input[Institution Name],A36)
+SUMIFS(Input[Fee Schlr Desg],Input[Institution Name],A36)</f>
        <v>0</v>
      </c>
      <c r="R36" s="101">
        <f t="shared" si="6"/>
        <v>0</v>
      </c>
      <c r="S36" s="110"/>
      <c r="T36" s="101">
        <f t="shared" si="7"/>
        <v>4015916</v>
      </c>
      <c r="U36" s="102"/>
    </row>
    <row r="37" spans="1:21" s="103" customFormat="1" ht="27" customHeight="1" x14ac:dyDescent="0.55000000000000004">
      <c r="A37" s="104" t="s">
        <v>54</v>
      </c>
      <c r="B37" s="105">
        <v>540</v>
      </c>
      <c r="C37" s="106">
        <v>33965</v>
      </c>
      <c r="D37" s="107">
        <f>SUMIFS(Input[T. - Gross E&amp;G],Input[Institution Name],A37)
+SUMIFS(Input[T. - Gross Desg],Input[Institution Name],A37)</f>
        <v>3954327</v>
      </c>
      <c r="E37" s="125">
        <f>SUMIFS(Input[T. W. - Stat (R AFR) E&amp;G],Input[Institution Name],A37)
+SUMIFS(Input[T. W. - Stat (R AFR) Desg],Input[Institution Name],A37)</f>
        <v>0</v>
      </c>
      <c r="F37" s="108">
        <f>SUMIFS(Input[T. W. - Inst. (R AFR) E&amp;G],Input[Institution Name],A37)
+SUMIFS(Input[T. W. - Inst. (R AFR) Desg],Input[Institution Name],A37)</f>
        <v>0</v>
      </c>
      <c r="G37" s="125">
        <f>SUMIFS(Input[T. Exp. - Stat (R AFR) E&amp;G],Input[Institution Name],A37)
+SUMIFS(Input[T. Exp. - Stat (R AFR) Desg],Input[Institution Name],A37)</f>
        <v>-38595</v>
      </c>
      <c r="H37" s="108">
        <f>SUMIFS(Input[T. Exp. - Inst. (R AFR) E&amp;G],Input[Institution Name],A37)
+SUMIFS(Input[T. Exp. - Inst. (R AFR) Desg],Input[Institution Name],A37)</f>
        <v>-136982</v>
      </c>
      <c r="I37" s="107">
        <f>SUMIFS(Input[T. Schlr E&amp;G],Input[Institution Name],A37)
+SUMIFS(Input[T. Schlr Desg],Input[Institution Name],A37)</f>
        <v>-1383595</v>
      </c>
      <c r="J37" s="109">
        <f t="shared" si="5"/>
        <v>2395155</v>
      </c>
      <c r="K37" s="110"/>
      <c r="L37" s="107">
        <f>SUMIFS(Input[Fees - Gross E&amp;G],Input[Institution Name],A37)
+SUMIFS(Input[Fees - Gross Desg],Input[Institution Name],A37)</f>
        <v>0</v>
      </c>
      <c r="M37" s="125">
        <f>SUMIFS(Input[F. W. - Stat (R AFR) E&amp;G],Input[Institution Name],A37)
+SUMIFS(Input[F. W. - Stat (R AFR) Desg],Input[Institution Name],A37)</f>
        <v>0</v>
      </c>
      <c r="N37" s="108">
        <f>SUMIFS(Input[F. W. - Inst. (R AFR) E&amp;G],Input[Institution Name],A37)
+SUMIFS(Input[F. W. - Inst. (R AFR) Desg],Input[Institution Name],A37)</f>
        <v>0</v>
      </c>
      <c r="O37" s="125">
        <f>SUMIFS(Input[F. Exp. - Stat (R AFR) E&amp;G],Input[Institution Name],A37)
+SUMIFS(Input[F. Exp. - Stat (R AFR) Desg],Input[Institution Name],A37)</f>
        <v>0</v>
      </c>
      <c r="P37" s="108">
        <f>SUMIFS(Input[F. Exp. - Inst. (R AFR) E&amp;G],Input[Institution Name],A37)
+SUMIFS(Input[F. Exp. - Inst. (R AFR) Desg],Input[Institution Name],A37)</f>
        <v>0</v>
      </c>
      <c r="Q37" s="107">
        <f>SUMIFS(Input[Fee Schlr E&amp;G],Input[Institution Name],A37)
+SUMIFS(Input[Fee Schlr Desg],Input[Institution Name],A37)</f>
        <v>0</v>
      </c>
      <c r="R37" s="109">
        <f t="shared" si="6"/>
        <v>0</v>
      </c>
      <c r="S37" s="110"/>
      <c r="T37" s="109">
        <f t="shared" si="7"/>
        <v>2395155</v>
      </c>
      <c r="U37" s="102"/>
    </row>
    <row r="38" spans="1:21" s="103" customFormat="1" ht="27" customHeight="1" x14ac:dyDescent="0.55000000000000004">
      <c r="A38" s="96" t="s">
        <v>55</v>
      </c>
      <c r="B38" s="97">
        <v>550</v>
      </c>
      <c r="C38" s="98">
        <v>3634</v>
      </c>
      <c r="D38" s="99">
        <f>SUMIFS(Input[T. - Gross E&amp;G],Input[Institution Name],A38)
+SUMIFS(Input[T. - Gross Desg],Input[Institution Name],A38)</f>
        <v>33054501</v>
      </c>
      <c r="E38" s="124">
        <f>SUMIFS(Input[T. W. - Stat (R AFR) E&amp;G],Input[Institution Name],A38)
+SUMIFS(Input[T. W. - Stat (R AFR) Desg],Input[Institution Name],A38)</f>
        <v>0</v>
      </c>
      <c r="F38" s="100">
        <f>SUMIFS(Input[T. W. - Inst. (R AFR) E&amp;G],Input[Institution Name],A38)
+SUMIFS(Input[T. W. - Inst. (R AFR) Desg],Input[Institution Name],A38)</f>
        <v>0</v>
      </c>
      <c r="G38" s="124">
        <f>SUMIFS(Input[T. Exp. - Stat (R AFR) E&amp;G],Input[Institution Name],A38)
+SUMIFS(Input[T. Exp. - Stat (R AFR) Desg],Input[Institution Name],A38)</f>
        <v>-2124024</v>
      </c>
      <c r="H38" s="100">
        <f>SUMIFS(Input[T. Exp. - Inst. (R AFR) E&amp;G],Input[Institution Name],A38)
+SUMIFS(Input[T. Exp. - Inst. (R AFR) Desg],Input[Institution Name],A38)</f>
        <v>0</v>
      </c>
      <c r="I38" s="99">
        <f>SUMIFS(Input[T. Schlr E&amp;G],Input[Institution Name],A38)
+SUMIFS(Input[T. Schlr Desg],Input[Institution Name],A38)</f>
        <v>-12103864</v>
      </c>
      <c r="J38" s="101">
        <f t="shared" si="5"/>
        <v>18826613</v>
      </c>
      <c r="K38" s="110"/>
      <c r="L38" s="99">
        <f>SUMIFS(Input[Fees - Gross E&amp;G],Input[Institution Name],A38)
+SUMIFS(Input[Fees - Gross Desg],Input[Institution Name],A38)</f>
        <v>2268262</v>
      </c>
      <c r="M38" s="124">
        <f>SUMIFS(Input[F. W. - Stat (R AFR) E&amp;G],Input[Institution Name],A38)
+SUMIFS(Input[F. W. - Stat (R AFR) Desg],Input[Institution Name],A38)</f>
        <v>0</v>
      </c>
      <c r="N38" s="100">
        <f>SUMIFS(Input[F. W. - Inst. (R AFR) E&amp;G],Input[Institution Name],A38)
+SUMIFS(Input[F. W. - Inst. (R AFR) Desg],Input[Institution Name],A38)</f>
        <v>0</v>
      </c>
      <c r="O38" s="124">
        <f>SUMIFS(Input[F. Exp. - Stat (R AFR) E&amp;G],Input[Institution Name],A38)
+SUMIFS(Input[F. Exp. - Stat (R AFR) Desg],Input[Institution Name],A38)</f>
        <v>0</v>
      </c>
      <c r="P38" s="100">
        <f>SUMIFS(Input[F. Exp. - Inst. (R AFR) E&amp;G],Input[Institution Name],A38)
+SUMIFS(Input[F. Exp. - Inst. (R AFR) Desg],Input[Institution Name],A38)</f>
        <v>0</v>
      </c>
      <c r="Q38" s="99">
        <f>SUMIFS(Input[Fee Schlr E&amp;G],Input[Institution Name],A38)
+SUMIFS(Input[Fee Schlr Desg],Input[Institution Name],A38)</f>
        <v>0</v>
      </c>
      <c r="R38" s="101">
        <f t="shared" si="6"/>
        <v>2268262</v>
      </c>
      <c r="S38" s="110"/>
      <c r="T38" s="101">
        <f t="shared" si="7"/>
        <v>21094875</v>
      </c>
      <c r="U38" s="102"/>
    </row>
    <row r="39" spans="1:21" s="103" customFormat="1" ht="27" customHeight="1" x14ac:dyDescent="0.55000000000000004">
      <c r="A39" s="104" t="s">
        <v>56</v>
      </c>
      <c r="B39" s="105">
        <v>552</v>
      </c>
      <c r="C39" s="106">
        <v>133965</v>
      </c>
      <c r="D39" s="107">
        <f>SUMIFS(Input[T. - Gross E&amp;G],Input[Institution Name],A39)
+SUMIFS(Input[T. - Gross Desg],Input[Institution Name],A39)</f>
        <v>2141472</v>
      </c>
      <c r="E39" s="125">
        <f>SUMIFS(Input[T. W. - Stat (R AFR) E&amp;G],Input[Institution Name],A39)
+SUMIFS(Input[T. W. - Stat (R AFR) Desg],Input[Institution Name],A39)</f>
        <v>0</v>
      </c>
      <c r="F39" s="108">
        <f>SUMIFS(Input[T. W. - Inst. (R AFR) E&amp;G],Input[Institution Name],A39)
+SUMIFS(Input[T. W. - Inst. (R AFR) Desg],Input[Institution Name],A39)</f>
        <v>0</v>
      </c>
      <c r="G39" s="125">
        <f>SUMIFS(Input[T. Exp. - Stat (R AFR) E&amp;G],Input[Institution Name],A39)
+SUMIFS(Input[T. Exp. - Stat (R AFR) Desg],Input[Institution Name],A39)</f>
        <v>-148026</v>
      </c>
      <c r="H39" s="108">
        <f>SUMIFS(Input[T. Exp. - Inst. (R AFR) E&amp;G],Input[Institution Name],A39)
+SUMIFS(Input[T. Exp. - Inst. (R AFR) Desg],Input[Institution Name],A39)</f>
        <v>-168087</v>
      </c>
      <c r="I39" s="107">
        <f>SUMIFS(Input[T. Schlr E&amp;G],Input[Institution Name],A39)
+SUMIFS(Input[T. Schlr Desg],Input[Institution Name],A39)</f>
        <v>-772211</v>
      </c>
      <c r="J39" s="109">
        <f t="shared" si="5"/>
        <v>1053148</v>
      </c>
      <c r="K39" s="110"/>
      <c r="L39" s="107">
        <f>SUMIFS(Input[Fees - Gross E&amp;G],Input[Institution Name],A39)
+SUMIFS(Input[Fees - Gross Desg],Input[Institution Name],A39)</f>
        <v>0</v>
      </c>
      <c r="M39" s="125">
        <f>SUMIFS(Input[F. W. - Stat (R AFR) E&amp;G],Input[Institution Name],A39)
+SUMIFS(Input[F. W. - Stat (R AFR) Desg],Input[Institution Name],A39)</f>
        <v>0</v>
      </c>
      <c r="N39" s="108">
        <f>SUMIFS(Input[F. W. - Inst. (R AFR) E&amp;G],Input[Institution Name],A39)
+SUMIFS(Input[F. W. - Inst. (R AFR) Desg],Input[Institution Name],A39)</f>
        <v>0</v>
      </c>
      <c r="O39" s="125">
        <f>SUMIFS(Input[F. Exp. - Stat (R AFR) E&amp;G],Input[Institution Name],A39)
+SUMIFS(Input[F. Exp. - Stat (R AFR) Desg],Input[Institution Name],A39)</f>
        <v>0</v>
      </c>
      <c r="P39" s="108">
        <f>SUMIFS(Input[F. Exp. - Inst. (R AFR) E&amp;G],Input[Institution Name],A39)
+SUMIFS(Input[F. Exp. - Inst. (R AFR) Desg],Input[Institution Name],A39)</f>
        <v>0</v>
      </c>
      <c r="Q39" s="107">
        <f>SUMIFS(Input[Fee Schlr E&amp;G],Input[Institution Name],A39)
+SUMIFS(Input[Fee Schlr Desg],Input[Institution Name],A39)</f>
        <v>0</v>
      </c>
      <c r="R39" s="109">
        <f t="shared" si="6"/>
        <v>0</v>
      </c>
      <c r="S39" s="110"/>
      <c r="T39" s="109">
        <f t="shared" si="7"/>
        <v>1053148</v>
      </c>
      <c r="U39" s="102"/>
    </row>
    <row r="40" spans="1:21" s="103" customFormat="1" ht="27" customHeight="1" thickBot="1" x14ac:dyDescent="0.6">
      <c r="A40" s="117" t="s">
        <v>57</v>
      </c>
      <c r="B40" s="118">
        <v>553</v>
      </c>
      <c r="C40" s="119">
        <v>203634</v>
      </c>
      <c r="D40" s="120">
        <f>SUMIFS(Input[T. - Gross E&amp;G],Input[Institution Name],A40)
+SUMIFS(Input[T. - Gross Desg],Input[Institution Name],A40)</f>
        <v>5446966</v>
      </c>
      <c r="E40" s="127">
        <f>SUMIFS(Input[T. W. - Stat (R AFR) E&amp;G],Input[Institution Name],A40)
+SUMIFS(Input[T. W. - Stat (R AFR) Desg],Input[Institution Name],A40)</f>
        <v>0</v>
      </c>
      <c r="F40" s="121">
        <f>SUMIFS(Input[T. W. - Inst. (R AFR) E&amp;G],Input[Institution Name],A40)
+SUMIFS(Input[T. W. - Inst. (R AFR) Desg],Input[Institution Name],A40)</f>
        <v>0</v>
      </c>
      <c r="G40" s="127">
        <f>SUMIFS(Input[T. Exp. - Stat (R AFR) E&amp;G],Input[Institution Name],A40)
+SUMIFS(Input[T. Exp. - Stat (R AFR) Desg],Input[Institution Name],A40)</f>
        <v>-57542</v>
      </c>
      <c r="H40" s="121">
        <f>SUMIFS(Input[T. Exp. - Inst. (R AFR) E&amp;G],Input[Institution Name],A40)
+SUMIFS(Input[T. Exp. - Inst. (R AFR) Desg],Input[Institution Name],A40)</f>
        <v>-123739</v>
      </c>
      <c r="I40" s="120">
        <f>SUMIFS(Input[T. Schlr E&amp;G],Input[Institution Name],A40)
+SUMIFS(Input[T. Schlr Desg],Input[Institution Name],A40)</f>
        <v>-2215567</v>
      </c>
      <c r="J40" s="122">
        <f t="shared" si="5"/>
        <v>3050118</v>
      </c>
      <c r="K40" s="110"/>
      <c r="L40" s="120">
        <f>SUMIFS(Input[Fees - Gross E&amp;G],Input[Institution Name],A40)
+SUMIFS(Input[Fees - Gross Desg],Input[Institution Name],A40)</f>
        <v>0</v>
      </c>
      <c r="M40" s="127">
        <f>SUMIFS(Input[F. W. - Stat (R AFR) E&amp;G],Input[Institution Name],A40)
+SUMIFS(Input[F. W. - Stat (R AFR) Desg],Input[Institution Name],A40)</f>
        <v>0</v>
      </c>
      <c r="N40" s="121">
        <f>SUMIFS(Input[F. W. - Inst. (R AFR) E&amp;G],Input[Institution Name],A40)
+SUMIFS(Input[F. W. - Inst. (R AFR) Desg],Input[Institution Name],A40)</f>
        <v>0</v>
      </c>
      <c r="O40" s="127">
        <f>SUMIFS(Input[F. Exp. - Stat (R AFR) E&amp;G],Input[Institution Name],A40)
+SUMIFS(Input[F. Exp. - Stat (R AFR) Desg],Input[Institution Name],A40)</f>
        <v>0</v>
      </c>
      <c r="P40" s="121">
        <f>SUMIFS(Input[F. Exp. - Inst. (R AFR) E&amp;G],Input[Institution Name],A40)
+SUMIFS(Input[F. Exp. - Inst. (R AFR) Desg],Input[Institution Name],A40)</f>
        <v>0</v>
      </c>
      <c r="Q40" s="120">
        <f>SUMIFS(Input[Fee Schlr E&amp;G],Input[Institution Name],A40)
+SUMIFS(Input[Fee Schlr Desg],Input[Institution Name],A40)</f>
        <v>0</v>
      </c>
      <c r="R40" s="122">
        <f t="shared" si="6"/>
        <v>0</v>
      </c>
      <c r="S40" s="110"/>
      <c r="T40" s="122">
        <f t="shared" si="7"/>
        <v>3050118</v>
      </c>
      <c r="U40" s="102"/>
    </row>
    <row r="41" spans="1:21" s="103" customFormat="1" ht="27" customHeight="1" thickTop="1" x14ac:dyDescent="0.55000000000000004">
      <c r="A41" s="370">
        <f>COUNTA(A32:A40)</f>
        <v>9</v>
      </c>
      <c r="B41" s="371"/>
      <c r="C41" s="372"/>
      <c r="D41" s="373">
        <f t="shared" ref="D41:J41" si="8">SUM(D32:D40)</f>
        <v>81245083</v>
      </c>
      <c r="E41" s="374">
        <f t="shared" si="8"/>
        <v>0</v>
      </c>
      <c r="F41" s="375">
        <f t="shared" si="8"/>
        <v>0</v>
      </c>
      <c r="G41" s="374">
        <f t="shared" si="8"/>
        <v>-3267318</v>
      </c>
      <c r="H41" s="375">
        <f t="shared" si="8"/>
        <v>-1997305</v>
      </c>
      <c r="I41" s="368">
        <f t="shared" si="8"/>
        <v>-32619081</v>
      </c>
      <c r="J41" s="368">
        <f t="shared" si="8"/>
        <v>43361379</v>
      </c>
      <c r="K41" s="110"/>
      <c r="L41" s="368">
        <f t="shared" ref="L41:R41" si="9">SUM(L32:L40)</f>
        <v>10937127</v>
      </c>
      <c r="M41" s="374">
        <f t="shared" si="9"/>
        <v>0</v>
      </c>
      <c r="N41" s="375">
        <f t="shared" si="9"/>
        <v>0</v>
      </c>
      <c r="O41" s="374">
        <f t="shared" si="9"/>
        <v>-82673</v>
      </c>
      <c r="P41" s="375">
        <f t="shared" si="9"/>
        <v>-272446</v>
      </c>
      <c r="Q41" s="368">
        <f t="shared" si="9"/>
        <v>-2943330</v>
      </c>
      <c r="R41" s="368">
        <f t="shared" si="9"/>
        <v>7638678</v>
      </c>
      <c r="S41" s="369"/>
      <c r="T41" s="368">
        <f>SUM(T32:T40)</f>
        <v>51000057</v>
      </c>
      <c r="U41" s="102"/>
    </row>
    <row r="42" spans="1:21" ht="27" customHeight="1" x14ac:dyDescent="0.55000000000000004">
      <c r="A42" s="18"/>
      <c r="B42" s="19"/>
      <c r="C42" s="20"/>
      <c r="D42" s="17"/>
      <c r="E42" s="17"/>
      <c r="F42" s="17"/>
      <c r="G42" s="17"/>
      <c r="H42" s="17"/>
      <c r="I42" s="17"/>
      <c r="J42" s="17"/>
      <c r="K42" s="17"/>
      <c r="L42" s="17"/>
      <c r="M42" s="17"/>
      <c r="N42" s="17"/>
      <c r="O42" s="17"/>
      <c r="P42" s="17"/>
      <c r="Q42" s="17"/>
      <c r="R42" s="17"/>
      <c r="S42" s="17"/>
      <c r="T42" s="17"/>
      <c r="U42" s="12"/>
    </row>
    <row r="43" spans="1:21" ht="27" customHeight="1" x14ac:dyDescent="0.55000000000000004">
      <c r="A43" s="18"/>
      <c r="B43" s="19"/>
      <c r="C43" s="20"/>
      <c r="D43" s="17"/>
      <c r="E43" s="17"/>
      <c r="F43" s="17"/>
      <c r="G43" s="17"/>
      <c r="H43" s="17"/>
      <c r="I43" s="17"/>
      <c r="J43" s="17"/>
      <c r="K43" s="17"/>
      <c r="L43" s="17"/>
      <c r="M43" s="17"/>
      <c r="N43" s="17"/>
      <c r="O43" s="17"/>
      <c r="P43" s="17"/>
      <c r="Q43" s="17"/>
      <c r="R43" s="17"/>
      <c r="S43" s="17"/>
      <c r="T43" s="17"/>
      <c r="U43" s="12"/>
    </row>
    <row r="44" spans="1:21" ht="31.95" customHeight="1" x14ac:dyDescent="0.55000000000000004">
      <c r="A44" s="835" t="s">
        <v>22</v>
      </c>
      <c r="B44" s="835"/>
      <c r="C44" s="835"/>
      <c r="D44" s="835"/>
      <c r="E44" s="835"/>
      <c r="F44" s="835"/>
      <c r="G44" s="835"/>
      <c r="H44" s="835"/>
      <c r="I44" s="835"/>
      <c r="J44" s="835"/>
      <c r="K44" s="835"/>
      <c r="L44" s="835"/>
      <c r="M44" s="835"/>
      <c r="N44" s="835"/>
      <c r="O44" s="835"/>
      <c r="P44" s="835"/>
      <c r="Q44" s="835"/>
      <c r="R44" s="835"/>
      <c r="S44" s="835"/>
      <c r="T44" s="835"/>
      <c r="U44" s="12"/>
    </row>
    <row r="45" spans="1:21" ht="27" customHeight="1" x14ac:dyDescent="0.55000000000000004">
      <c r="A45" s="836"/>
      <c r="B45" s="836"/>
      <c r="C45" s="836"/>
      <c r="D45" s="836"/>
      <c r="E45" s="836"/>
      <c r="F45" s="836"/>
      <c r="G45" s="836"/>
      <c r="H45" s="836"/>
      <c r="I45" s="836"/>
      <c r="J45" s="836"/>
      <c r="K45" s="836"/>
      <c r="L45" s="836"/>
      <c r="M45" s="836"/>
      <c r="N45" s="836"/>
      <c r="O45" s="836"/>
      <c r="P45" s="836"/>
      <c r="Q45" s="836"/>
      <c r="R45" s="836"/>
      <c r="S45" s="836"/>
      <c r="T45" s="836"/>
      <c r="U45" s="12"/>
    </row>
    <row r="46" spans="1:21" ht="27" customHeight="1" x14ac:dyDescent="0.6">
      <c r="A46" s="12"/>
      <c r="B46" s="12"/>
      <c r="C46" s="12"/>
      <c r="D46" s="14"/>
      <c r="E46" s="845" t="s">
        <v>161</v>
      </c>
      <c r="F46" s="846"/>
      <c r="G46" s="846"/>
      <c r="H46" s="847"/>
      <c r="I46" s="12"/>
      <c r="J46" s="12"/>
      <c r="K46" s="12"/>
      <c r="L46" s="12"/>
      <c r="M46" s="837" t="s">
        <v>162</v>
      </c>
      <c r="N46" s="838"/>
      <c r="O46" s="838"/>
      <c r="P46" s="838"/>
      <c r="Q46" s="12"/>
      <c r="R46" s="12"/>
      <c r="S46" s="12"/>
      <c r="T46" s="12"/>
      <c r="U46" s="12"/>
    </row>
    <row r="47" spans="1:21" ht="27" customHeight="1" x14ac:dyDescent="0.6">
      <c r="A47" s="12"/>
      <c r="B47" s="12"/>
      <c r="C47" s="12"/>
      <c r="D47" s="15" t="s">
        <v>161</v>
      </c>
      <c r="E47" s="841" t="s">
        <v>163</v>
      </c>
      <c r="F47" s="842"/>
      <c r="G47" s="841" t="s">
        <v>164</v>
      </c>
      <c r="H47" s="842"/>
      <c r="I47" s="839" t="s">
        <v>161</v>
      </c>
      <c r="J47" s="840"/>
      <c r="K47" s="21"/>
      <c r="L47" s="15" t="s">
        <v>162</v>
      </c>
      <c r="M47" s="843" t="s">
        <v>165</v>
      </c>
      <c r="N47" s="844"/>
      <c r="O47" s="843" t="s">
        <v>166</v>
      </c>
      <c r="P47" s="844"/>
      <c r="Q47" s="839" t="s">
        <v>162</v>
      </c>
      <c r="R47" s="840"/>
      <c r="S47" s="16"/>
      <c r="T47" s="12"/>
      <c r="U47" s="12"/>
    </row>
    <row r="48" spans="1:21" s="103" customFormat="1" ht="27" customHeight="1" x14ac:dyDescent="0.6">
      <c r="A48" s="90" t="s">
        <v>167</v>
      </c>
      <c r="B48" s="91" t="s">
        <v>32</v>
      </c>
      <c r="C48" s="91" t="s">
        <v>33</v>
      </c>
      <c r="D48" s="91" t="s">
        <v>168</v>
      </c>
      <c r="E48" s="123" t="s">
        <v>169</v>
      </c>
      <c r="F48" s="92" t="s">
        <v>170</v>
      </c>
      <c r="G48" s="123" t="s">
        <v>169</v>
      </c>
      <c r="H48" s="92" t="s">
        <v>170</v>
      </c>
      <c r="I48" s="91" t="s">
        <v>171</v>
      </c>
      <c r="J48" s="91" t="s">
        <v>172</v>
      </c>
      <c r="K48" s="93"/>
      <c r="L48" s="91" t="s">
        <v>168</v>
      </c>
      <c r="M48" s="123" t="s">
        <v>169</v>
      </c>
      <c r="N48" s="92" t="s">
        <v>170</v>
      </c>
      <c r="O48" s="123" t="s">
        <v>169</v>
      </c>
      <c r="P48" s="92" t="s">
        <v>170</v>
      </c>
      <c r="Q48" s="91" t="s">
        <v>171</v>
      </c>
      <c r="R48" s="91" t="s">
        <v>172</v>
      </c>
      <c r="S48" s="93"/>
      <c r="T48" s="91" t="s">
        <v>173</v>
      </c>
      <c r="U48" s="102"/>
    </row>
    <row r="49" spans="1:21" s="103" customFormat="1" ht="27" customHeight="1" x14ac:dyDescent="0.55000000000000004">
      <c r="A49" s="96" t="s">
        <v>58</v>
      </c>
      <c r="B49" s="97">
        <v>40</v>
      </c>
      <c r="C49" s="98">
        <v>3656</v>
      </c>
      <c r="D49" s="99">
        <f>SUMIFS(Input[T. - Gross E&amp;G],Input[Institution Name],A49)
+SUMIFS(Input[T. - Gross Desg],Input[Institution Name],A49)</f>
        <v>394040226</v>
      </c>
      <c r="E49" s="124">
        <f>SUMIFS(Input[T. W. - Stat (R AFR) E&amp;G],Input[Institution Name],A49)
+SUMIFS(Input[T. W. - Stat (R AFR) Desg],Input[Institution Name],A49)</f>
        <v>0</v>
      </c>
      <c r="F49" s="100">
        <f>SUMIFS(Input[T. W. - Inst. (R AFR) E&amp;G],Input[Institution Name],A49)
+SUMIFS(Input[T. W. - Inst. (R AFR) Desg],Input[Institution Name],A49)</f>
        <v>0</v>
      </c>
      <c r="G49" s="124">
        <f>SUMIFS(Input[T. Exp. - Stat (R AFR) E&amp;G],Input[Institution Name],A49)
+SUMIFS(Input[T. Exp. - Stat (R AFR) Desg],Input[Institution Name],A49)</f>
        <v>-10449099</v>
      </c>
      <c r="H49" s="100">
        <f>SUMIFS(Input[T. Exp. - Inst. (R AFR) E&amp;G],Input[Institution Name],A49)
+SUMIFS(Input[T. Exp. - Inst. (R AFR) Desg],Input[Institution Name],A49)</f>
        <v>-1886643</v>
      </c>
      <c r="I49" s="99">
        <f>SUMIFS(Input[T. Schlr E&amp;G],Input[Institution Name],A49)
+SUMIFS(Input[T. Schlr Desg],Input[Institution Name],A49)</f>
        <v>-115908764</v>
      </c>
      <c r="J49" s="101">
        <f t="shared" si="5"/>
        <v>265795720</v>
      </c>
      <c r="K49" s="110"/>
      <c r="L49" s="99">
        <f>SUMIFS(Input[Fees - Gross E&amp;G],Input[Institution Name],A49)
+SUMIFS(Input[Fees - Gross Desg],Input[Institution Name],A49)</f>
        <v>114036598</v>
      </c>
      <c r="M49" s="124">
        <f>SUMIFS(Input[F. W. - Stat (R AFR) E&amp;G],Input[Institution Name],A49)
+SUMIFS(Input[F. W. - Stat (R AFR) Desg],Input[Institution Name],A49)</f>
        <v>0</v>
      </c>
      <c r="N49" s="100">
        <f>SUMIFS(Input[F. W. - Inst. (R AFR) E&amp;G],Input[Institution Name],A49)
+SUMIFS(Input[F. W. - Inst. (R AFR) Desg],Input[Institution Name],A49)</f>
        <v>0</v>
      </c>
      <c r="O49" s="124">
        <f>SUMIFS(Input[F. Exp. - Stat (R AFR) E&amp;G],Input[Institution Name],A49)
+SUMIFS(Input[F. Exp. - Stat (R AFR) Desg],Input[Institution Name],A49)</f>
        <v>0</v>
      </c>
      <c r="P49" s="100">
        <f>SUMIFS(Input[F. Exp. - Inst. (R AFR) E&amp;G],Input[Institution Name],A49)
+SUMIFS(Input[F. Exp. - Inst. (R AFR) Desg],Input[Institution Name],A49)</f>
        <v>-580506</v>
      </c>
      <c r="Q49" s="99">
        <f>SUMIFS(Input[Fee Schlr E&amp;G],Input[Institution Name],A49)
+SUMIFS(Input[Fee Schlr Desg],Input[Institution Name],A49)</f>
        <v>-36533896</v>
      </c>
      <c r="R49" s="101">
        <f t="shared" si="6"/>
        <v>76922196</v>
      </c>
      <c r="S49" s="110"/>
      <c r="T49" s="101">
        <f t="shared" si="7"/>
        <v>342717916</v>
      </c>
      <c r="U49" s="102"/>
    </row>
    <row r="50" spans="1:21" s="103" customFormat="1" ht="27" customHeight="1" x14ac:dyDescent="0.55000000000000004">
      <c r="A50" s="104" t="s">
        <v>59</v>
      </c>
      <c r="B50" s="105">
        <v>51</v>
      </c>
      <c r="C50" s="106">
        <v>3658</v>
      </c>
      <c r="D50" s="107">
        <f>SUMIFS(Input[T. - Gross E&amp;G],Input[Institution Name],A50)
+SUMIFS(Input[T. - Gross Desg],Input[Institution Name],A50)</f>
        <v>663169982</v>
      </c>
      <c r="E50" s="125">
        <f>SUMIFS(Input[T. W. - Stat (R AFR) E&amp;G],Input[Institution Name],A50)
+SUMIFS(Input[T. W. - Stat (R AFR) Desg],Input[Institution Name],A50)</f>
        <v>0</v>
      </c>
      <c r="F50" s="108">
        <f>SUMIFS(Input[T. W. - Inst. (R AFR) E&amp;G],Input[Institution Name],A50)
+SUMIFS(Input[T. W. - Inst. (R AFR) Desg],Input[Institution Name],A50)</f>
        <v>0</v>
      </c>
      <c r="G50" s="125">
        <f>SUMIFS(Input[T. Exp. - Stat (R AFR) E&amp;G],Input[Institution Name],A50)
+SUMIFS(Input[T. Exp. - Stat (R AFR) Desg],Input[Institution Name],A50)</f>
        <v>-18781152</v>
      </c>
      <c r="H50" s="108">
        <f>SUMIFS(Input[T. Exp. - Inst. (R AFR) E&amp;G],Input[Institution Name],A50)
+SUMIFS(Input[T. Exp. - Inst. (R AFR) Desg],Input[Institution Name],A50)</f>
        <v>0</v>
      </c>
      <c r="I50" s="107">
        <f>SUMIFS(Input[T. Schlr E&amp;G],Input[Institution Name],A50)
+SUMIFS(Input[T. Schlr Desg],Input[Institution Name],A50)</f>
        <v>-166618116</v>
      </c>
      <c r="J50" s="109">
        <f t="shared" si="5"/>
        <v>477770714</v>
      </c>
      <c r="K50" s="110"/>
      <c r="L50" s="107">
        <f>SUMIFS(Input[Fees - Gross E&amp;G],Input[Institution Name],A50)
+SUMIFS(Input[Fees - Gross Desg],Input[Institution Name],A50)</f>
        <v>49164178</v>
      </c>
      <c r="M50" s="125">
        <f>SUMIFS(Input[F. W. - Stat (R AFR) E&amp;G],Input[Institution Name],A50)
+SUMIFS(Input[F. W. - Stat (R AFR) Desg],Input[Institution Name],A50)</f>
        <v>0</v>
      </c>
      <c r="N50" s="108">
        <f>SUMIFS(Input[F. W. - Inst. (R AFR) E&amp;G],Input[Institution Name],A50)
+SUMIFS(Input[F. W. - Inst. (R AFR) Desg],Input[Institution Name],A50)</f>
        <v>0</v>
      </c>
      <c r="O50" s="125">
        <f>SUMIFS(Input[F. Exp. - Stat (R AFR) E&amp;G],Input[Institution Name],A50)
+SUMIFS(Input[F. Exp. - Stat (R AFR) Desg],Input[Institution Name],A50)</f>
        <v>-1189766</v>
      </c>
      <c r="P50" s="108">
        <f>SUMIFS(Input[F. Exp. - Inst. (R AFR) E&amp;G],Input[Institution Name],A50)
+SUMIFS(Input[F. Exp. - Inst. (R AFR) Desg],Input[Institution Name],A50)</f>
        <v>0</v>
      </c>
      <c r="Q50" s="107">
        <f>SUMIFS(Input[Fee Schlr E&amp;G],Input[Institution Name],A50)
+SUMIFS(Input[Fee Schlr Desg],Input[Institution Name],A50)</f>
        <v>-12454667</v>
      </c>
      <c r="R50" s="109">
        <f t="shared" si="6"/>
        <v>35519745</v>
      </c>
      <c r="S50" s="110"/>
      <c r="T50" s="109">
        <f t="shared" si="7"/>
        <v>513290459</v>
      </c>
      <c r="U50" s="102"/>
    </row>
    <row r="51" spans="1:21" s="103" customFormat="1" ht="27" customHeight="1" x14ac:dyDescent="0.55000000000000004">
      <c r="A51" s="96" t="s">
        <v>60</v>
      </c>
      <c r="B51" s="97">
        <v>60</v>
      </c>
      <c r="C51" s="98">
        <v>9741</v>
      </c>
      <c r="D51" s="99">
        <f>SUMIFS(Input[T. - Gross E&amp;G],Input[Institution Name],A51)
+SUMIFS(Input[T. - Gross Desg],Input[Institution Name],A51)</f>
        <v>417602017</v>
      </c>
      <c r="E51" s="124">
        <f>SUMIFS(Input[T. W. - Stat (R AFR) E&amp;G],Input[Institution Name],A51)
+SUMIFS(Input[T. W. - Stat (R AFR) Desg],Input[Institution Name],A51)</f>
        <v>0</v>
      </c>
      <c r="F51" s="100">
        <f>SUMIFS(Input[T. W. - Inst. (R AFR) E&amp;G],Input[Institution Name],A51)
+SUMIFS(Input[T. W. - Inst. (R AFR) Desg],Input[Institution Name],A51)</f>
        <v>0</v>
      </c>
      <c r="G51" s="124">
        <f>SUMIFS(Input[T. Exp. - Stat (R AFR) E&amp;G],Input[Institution Name],A51)
+SUMIFS(Input[T. Exp. - Stat (R AFR) Desg],Input[Institution Name],A51)</f>
        <v>-8708442</v>
      </c>
      <c r="H51" s="100">
        <f>SUMIFS(Input[T. Exp. - Inst. (R AFR) E&amp;G],Input[Institution Name],A51)
+SUMIFS(Input[T. Exp. - Inst. (R AFR) Desg],Input[Institution Name],A51)</f>
        <v>0</v>
      </c>
      <c r="I51" s="99">
        <f>SUMIFS(Input[T. Schlr E&amp;G],Input[Institution Name],A51)
+SUMIFS(Input[T. Schlr Desg],Input[Institution Name],A51)</f>
        <v>-137664066</v>
      </c>
      <c r="J51" s="101">
        <f t="shared" si="5"/>
        <v>271229509</v>
      </c>
      <c r="K51" s="110"/>
      <c r="L51" s="99">
        <f>SUMIFS(Input[Fees - Gross E&amp;G],Input[Institution Name],A51)
+SUMIFS(Input[Fees - Gross Desg],Input[Institution Name],A51)</f>
        <v>97685426</v>
      </c>
      <c r="M51" s="124">
        <f>SUMIFS(Input[F. W. - Stat (R AFR) E&amp;G],Input[Institution Name],A51)
+SUMIFS(Input[F. W. - Stat (R AFR) Desg],Input[Institution Name],A51)</f>
        <v>0</v>
      </c>
      <c r="N51" s="100">
        <f>SUMIFS(Input[F. W. - Inst. (R AFR) E&amp;G],Input[Institution Name],A51)
+SUMIFS(Input[F. W. - Inst. (R AFR) Desg],Input[Institution Name],A51)</f>
        <v>0</v>
      </c>
      <c r="O51" s="124">
        <f>SUMIFS(Input[F. Exp. - Stat (R AFR) E&amp;G],Input[Institution Name],A51)
+SUMIFS(Input[F. Exp. - Stat (R AFR) Desg],Input[Institution Name],A51)</f>
        <v>0</v>
      </c>
      <c r="P51" s="100">
        <f>SUMIFS(Input[F. Exp. - Inst. (R AFR) E&amp;G],Input[Institution Name],A51)
+SUMIFS(Input[F. Exp. - Inst. (R AFR) Desg],Input[Institution Name],A51)</f>
        <v>0</v>
      </c>
      <c r="Q51" s="99">
        <f>SUMIFS(Input[Fee Schlr E&amp;G],Input[Institution Name],A51)
+SUMIFS(Input[Fee Schlr Desg],Input[Institution Name],A51)</f>
        <v>0</v>
      </c>
      <c r="R51" s="101">
        <f t="shared" si="6"/>
        <v>97685426</v>
      </c>
      <c r="S51" s="110"/>
      <c r="T51" s="101">
        <f t="shared" si="7"/>
        <v>368914935</v>
      </c>
      <c r="U51" s="102"/>
    </row>
    <row r="52" spans="1:21" s="103" customFormat="1" ht="27" customHeight="1" x14ac:dyDescent="0.55000000000000004">
      <c r="A52" s="104" t="s">
        <v>61</v>
      </c>
      <c r="B52" s="105">
        <v>70</v>
      </c>
      <c r="C52" s="106">
        <v>3661</v>
      </c>
      <c r="D52" s="107">
        <f>SUMIFS(Input[T. - Gross E&amp;G],Input[Institution Name],A52)
+SUMIFS(Input[T. - Gross Desg],Input[Institution Name],A52)</f>
        <v>154922607</v>
      </c>
      <c r="E52" s="125">
        <f>SUMIFS(Input[T. W. - Stat (R AFR) E&amp;G],Input[Institution Name],A52)
+SUMIFS(Input[T. W. - Stat (R AFR) Desg],Input[Institution Name],A52)</f>
        <v>0</v>
      </c>
      <c r="F52" s="108">
        <f>SUMIFS(Input[T. W. - Inst. (R AFR) E&amp;G],Input[Institution Name],A52)
+SUMIFS(Input[T. W. - Inst. (R AFR) Desg],Input[Institution Name],A52)</f>
        <v>0</v>
      </c>
      <c r="G52" s="125">
        <f>SUMIFS(Input[T. Exp. - Stat (R AFR) E&amp;G],Input[Institution Name],A52)
+SUMIFS(Input[T. Exp. - Stat (R AFR) Desg],Input[Institution Name],A52)</f>
        <v>-5527755</v>
      </c>
      <c r="H52" s="108">
        <f>SUMIFS(Input[T. Exp. - Inst. (R AFR) E&amp;G],Input[Institution Name],A52)
+SUMIFS(Input[T. Exp. - Inst. (R AFR) Desg],Input[Institution Name],A52)</f>
        <v>0</v>
      </c>
      <c r="I52" s="107">
        <f>SUMIFS(Input[T. Schlr E&amp;G],Input[Institution Name],A52)
+SUMIFS(Input[T. Schlr Desg],Input[Institution Name],A52)</f>
        <v>-51930013</v>
      </c>
      <c r="J52" s="109">
        <f t="shared" si="5"/>
        <v>97464839</v>
      </c>
      <c r="K52" s="110"/>
      <c r="L52" s="107">
        <f>SUMIFS(Input[Fees - Gross E&amp;G],Input[Institution Name],A52)
+SUMIFS(Input[Fees - Gross Desg],Input[Institution Name],A52)</f>
        <v>47923937</v>
      </c>
      <c r="M52" s="125">
        <f>SUMIFS(Input[F. W. - Stat (R AFR) E&amp;G],Input[Institution Name],A52)
+SUMIFS(Input[F. W. - Stat (R AFR) Desg],Input[Institution Name],A52)</f>
        <v>0</v>
      </c>
      <c r="N52" s="108">
        <f>SUMIFS(Input[F. W. - Inst. (R AFR) E&amp;G],Input[Institution Name],A52)
+SUMIFS(Input[F. W. - Inst. (R AFR) Desg],Input[Institution Name],A52)</f>
        <v>0</v>
      </c>
      <c r="O52" s="125">
        <f>SUMIFS(Input[F. Exp. - Stat (R AFR) E&amp;G],Input[Institution Name],A52)
+SUMIFS(Input[F. Exp. - Stat (R AFR) Desg],Input[Institution Name],A52)</f>
        <v>-1678579</v>
      </c>
      <c r="P52" s="108">
        <f>SUMIFS(Input[F. Exp. - Inst. (R AFR) E&amp;G],Input[Institution Name],A52)
+SUMIFS(Input[F. Exp. - Inst. (R AFR) Desg],Input[Institution Name],A52)</f>
        <v>0</v>
      </c>
      <c r="Q52" s="107">
        <f>SUMIFS(Input[Fee Schlr E&amp;G],Input[Institution Name],A52)
+SUMIFS(Input[Fee Schlr Desg],Input[Institution Name],A52)</f>
        <v>-16094300</v>
      </c>
      <c r="R52" s="109">
        <f t="shared" si="6"/>
        <v>30151058</v>
      </c>
      <c r="S52" s="110"/>
      <c r="T52" s="109">
        <f t="shared" si="7"/>
        <v>127615897</v>
      </c>
      <c r="U52" s="102"/>
    </row>
    <row r="53" spans="1:21" s="103" customFormat="1" ht="27" customHeight="1" x14ac:dyDescent="0.55000000000000004">
      <c r="A53" s="96" t="s">
        <v>62</v>
      </c>
      <c r="B53" s="97">
        <v>91</v>
      </c>
      <c r="C53" s="98">
        <v>3599</v>
      </c>
      <c r="D53" s="99">
        <f>SUMIFS(Input[T. - Gross E&amp;G],Input[Institution Name],A53)
+SUMIFS(Input[T. - Gross Desg],Input[Institution Name],A53)</f>
        <v>241738667</v>
      </c>
      <c r="E53" s="124">
        <f>SUMIFS(Input[T. W. - Stat (R AFR) E&amp;G],Input[Institution Name],A53)
+SUMIFS(Input[T. W. - Stat (R AFR) Desg],Input[Institution Name],A53)</f>
        <v>0</v>
      </c>
      <c r="F53" s="100">
        <f>SUMIFS(Input[T. W. - Inst. (R AFR) E&amp;G],Input[Institution Name],A53)
+SUMIFS(Input[T. W. - Inst. (R AFR) Desg],Input[Institution Name],A53)</f>
        <v>0</v>
      </c>
      <c r="G53" s="124">
        <f>SUMIFS(Input[T. Exp. - Stat (R AFR) E&amp;G],Input[Institution Name],A53)
+SUMIFS(Input[T. Exp. - Stat (R AFR) Desg],Input[Institution Name],A53)</f>
        <v>-9643711</v>
      </c>
      <c r="H53" s="100">
        <f>SUMIFS(Input[T. Exp. - Inst. (R AFR) E&amp;G],Input[Institution Name],A53)
+SUMIFS(Input[T. Exp. - Inst. (R AFR) Desg],Input[Institution Name],A53)</f>
        <v>0</v>
      </c>
      <c r="I53" s="99">
        <f>SUMIFS(Input[T. Schlr E&amp;G],Input[Institution Name],A53)
+SUMIFS(Input[T. Schlr Desg],Input[Institution Name],A53)</f>
        <v>-154546039</v>
      </c>
      <c r="J53" s="101">
        <f t="shared" si="5"/>
        <v>77548917</v>
      </c>
      <c r="K53" s="110"/>
      <c r="L53" s="99">
        <f>SUMIFS(Input[Fees - Gross E&amp;G],Input[Institution Name],A53)
+SUMIFS(Input[Fees - Gross Desg],Input[Institution Name],A53)</f>
        <v>33316315</v>
      </c>
      <c r="M53" s="124">
        <f>SUMIFS(Input[F. W. - Stat (R AFR) E&amp;G],Input[Institution Name],A53)
+SUMIFS(Input[F. W. - Stat (R AFR) Desg],Input[Institution Name],A53)</f>
        <v>0</v>
      </c>
      <c r="N53" s="100">
        <f>SUMIFS(Input[F. W. - Inst. (R AFR) E&amp;G],Input[Institution Name],A53)
+SUMIFS(Input[F. W. - Inst. (R AFR) Desg],Input[Institution Name],A53)</f>
        <v>0</v>
      </c>
      <c r="O53" s="124">
        <f>SUMIFS(Input[F. Exp. - Stat (R AFR) E&amp;G],Input[Institution Name],A53)
+SUMIFS(Input[F. Exp. - Stat (R AFR) Desg],Input[Institution Name],A53)</f>
        <v>0</v>
      </c>
      <c r="P53" s="100">
        <f>SUMIFS(Input[F. Exp. - Inst. (R AFR) E&amp;G],Input[Institution Name],A53)
+SUMIFS(Input[F. Exp. - Inst. (R AFR) Desg],Input[Institution Name],A53)</f>
        <v>0</v>
      </c>
      <c r="Q53" s="99">
        <f>SUMIFS(Input[Fee Schlr E&amp;G],Input[Institution Name],A53)
+SUMIFS(Input[Fee Schlr Desg],Input[Institution Name],A53)</f>
        <v>0</v>
      </c>
      <c r="R53" s="101">
        <f t="shared" si="6"/>
        <v>33316315</v>
      </c>
      <c r="S53" s="110"/>
      <c r="T53" s="101">
        <f t="shared" si="7"/>
        <v>110865232</v>
      </c>
      <c r="U53" s="102"/>
    </row>
    <row r="54" spans="1:21" s="103" customFormat="1" ht="27" customHeight="1" x14ac:dyDescent="0.55000000000000004">
      <c r="A54" s="104" t="s">
        <v>63</v>
      </c>
      <c r="B54" s="105">
        <v>100</v>
      </c>
      <c r="C54" s="106">
        <v>9930</v>
      </c>
      <c r="D54" s="107">
        <f>SUMIFS(Input[T. - Gross E&amp;G],Input[Institution Name],A54)
+SUMIFS(Input[T. - Gross Desg],Input[Institution Name],A54)</f>
        <v>28907604</v>
      </c>
      <c r="E54" s="125">
        <f>SUMIFS(Input[T. W. - Stat (R AFR) E&amp;G],Input[Institution Name],A54)
+SUMIFS(Input[T. W. - Stat (R AFR) Desg],Input[Institution Name],A54)</f>
        <v>0</v>
      </c>
      <c r="F54" s="108">
        <f>SUMIFS(Input[T. W. - Inst. (R AFR) E&amp;G],Input[Institution Name],A54)
+SUMIFS(Input[T. W. - Inst. (R AFR) Desg],Input[Institution Name],A54)</f>
        <v>0</v>
      </c>
      <c r="G54" s="125">
        <f>SUMIFS(Input[T. Exp. - Stat (R AFR) E&amp;G],Input[Institution Name],A54)
+SUMIFS(Input[T. Exp. - Stat (R AFR) Desg],Input[Institution Name],A54)</f>
        <v>0</v>
      </c>
      <c r="H54" s="108">
        <f>SUMIFS(Input[T. Exp. - Inst. (R AFR) E&amp;G],Input[Institution Name],A54)
+SUMIFS(Input[T. Exp. - Inst. (R AFR) Desg],Input[Institution Name],A54)</f>
        <v>0</v>
      </c>
      <c r="I54" s="107">
        <f>SUMIFS(Input[T. Schlr E&amp;G],Input[Institution Name],A54)
+SUMIFS(Input[T. Schlr Desg],Input[Institution Name],A54)</f>
        <v>-16041632</v>
      </c>
      <c r="J54" s="109">
        <f t="shared" si="5"/>
        <v>12865972</v>
      </c>
      <c r="K54" s="110"/>
      <c r="L54" s="107">
        <f>SUMIFS(Input[Fees - Gross E&amp;G],Input[Institution Name],A54)
+SUMIFS(Input[Fees - Gross Desg],Input[Institution Name],A54)</f>
        <v>12901357</v>
      </c>
      <c r="M54" s="125">
        <f>SUMIFS(Input[F. W. - Stat (R AFR) E&amp;G],Input[Institution Name],A54)
+SUMIFS(Input[F. W. - Stat (R AFR) Desg],Input[Institution Name],A54)</f>
        <v>0</v>
      </c>
      <c r="N54" s="108">
        <f>SUMIFS(Input[F. W. - Inst. (R AFR) E&amp;G],Input[Institution Name],A54)
+SUMIFS(Input[F. W. - Inst. (R AFR) Desg],Input[Institution Name],A54)</f>
        <v>0</v>
      </c>
      <c r="O54" s="125">
        <f>SUMIFS(Input[F. Exp. - Stat (R AFR) E&amp;G],Input[Institution Name],A54)
+SUMIFS(Input[F. Exp. - Stat (R AFR) Desg],Input[Institution Name],A54)</f>
        <v>0</v>
      </c>
      <c r="P54" s="108">
        <f>SUMIFS(Input[F. Exp. - Inst. (R AFR) E&amp;G],Input[Institution Name],A54)
+SUMIFS(Input[F. Exp. - Inst. (R AFR) Desg],Input[Institution Name],A54)</f>
        <v>0</v>
      </c>
      <c r="Q54" s="107">
        <f>SUMIFS(Input[Fee Schlr E&amp;G],Input[Institution Name],A54)
+SUMIFS(Input[Fee Schlr Desg],Input[Institution Name],A54)</f>
        <v>0</v>
      </c>
      <c r="R54" s="109">
        <f t="shared" si="6"/>
        <v>12901357</v>
      </c>
      <c r="S54" s="110"/>
      <c r="T54" s="109">
        <f t="shared" si="7"/>
        <v>25767329</v>
      </c>
      <c r="U54" s="102"/>
    </row>
    <row r="55" spans="1:21" s="103" customFormat="1" ht="27" customHeight="1" x14ac:dyDescent="0.55000000000000004">
      <c r="A55" s="96" t="s">
        <v>64</v>
      </c>
      <c r="B55" s="97">
        <v>110</v>
      </c>
      <c r="C55" s="98">
        <v>10115</v>
      </c>
      <c r="D55" s="99">
        <f>SUMIFS(Input[T. - Gross E&amp;G],Input[Institution Name],A55)
+SUMIFS(Input[T. - Gross Desg],Input[Institution Name],A55)</f>
        <v>229787530</v>
      </c>
      <c r="E55" s="124">
        <f>SUMIFS(Input[T. W. - Stat (R AFR) E&amp;G],Input[Institution Name],A55)
+SUMIFS(Input[T. W. - Stat (R AFR) Desg],Input[Institution Name],A55)</f>
        <v>0</v>
      </c>
      <c r="F55" s="100">
        <f>SUMIFS(Input[T. W. - Inst. (R AFR) E&amp;G],Input[Institution Name],A55)
+SUMIFS(Input[T. W. - Inst. (R AFR) Desg],Input[Institution Name],A55)</f>
        <v>0</v>
      </c>
      <c r="G55" s="124">
        <f>SUMIFS(Input[T. Exp. - Stat (R AFR) E&amp;G],Input[Institution Name],A55)
+SUMIFS(Input[T. Exp. - Stat (R AFR) Desg],Input[Institution Name],A55)</f>
        <v>-24022968</v>
      </c>
      <c r="H55" s="100">
        <f>SUMIFS(Input[T. Exp. - Inst. (R AFR) E&amp;G],Input[Institution Name],A55)
+SUMIFS(Input[T. Exp. - Inst. (R AFR) Desg],Input[Institution Name],A55)</f>
        <v>0</v>
      </c>
      <c r="I55" s="99">
        <f>SUMIFS(Input[T. Schlr E&amp;G],Input[Institution Name],A55)
+SUMIFS(Input[T. Schlr Desg],Input[Institution Name],A55)</f>
        <v>-60515833</v>
      </c>
      <c r="J55" s="101">
        <f t="shared" si="5"/>
        <v>145248729</v>
      </c>
      <c r="K55" s="110"/>
      <c r="L55" s="99">
        <f>SUMIFS(Input[Fees - Gross E&amp;G],Input[Institution Name],A55)
+SUMIFS(Input[Fees - Gross Desg],Input[Institution Name],A55)</f>
        <v>115779121</v>
      </c>
      <c r="M55" s="124">
        <f>SUMIFS(Input[F. W. - Stat (R AFR) E&amp;G],Input[Institution Name],A55)
+SUMIFS(Input[F. W. - Stat (R AFR) Desg],Input[Institution Name],A55)</f>
        <v>0</v>
      </c>
      <c r="N55" s="100">
        <f>SUMIFS(Input[F. W. - Inst. (R AFR) E&amp;G],Input[Institution Name],A55)
+SUMIFS(Input[F. W. - Inst. (R AFR) Desg],Input[Institution Name],A55)</f>
        <v>0</v>
      </c>
      <c r="O55" s="124">
        <f>SUMIFS(Input[F. Exp. - Stat (R AFR) E&amp;G],Input[Institution Name],A55)
+SUMIFS(Input[F. Exp. - Stat (R AFR) Desg],Input[Institution Name],A55)</f>
        <v>0</v>
      </c>
      <c r="P55" s="100">
        <f>SUMIFS(Input[F. Exp. - Inst. (R AFR) E&amp;G],Input[Institution Name],A55)
+SUMIFS(Input[F. Exp. - Inst. (R AFR) Desg],Input[Institution Name],A55)</f>
        <v>0</v>
      </c>
      <c r="Q55" s="99">
        <f>SUMIFS(Input[Fee Schlr E&amp;G],Input[Institution Name],A55)
+SUMIFS(Input[Fee Schlr Desg],Input[Institution Name],A55)</f>
        <v>-42607152</v>
      </c>
      <c r="R55" s="101">
        <f t="shared" si="6"/>
        <v>73171969</v>
      </c>
      <c r="S55" s="110"/>
      <c r="T55" s="101">
        <f t="shared" si="7"/>
        <v>218420698</v>
      </c>
      <c r="U55" s="102"/>
    </row>
    <row r="56" spans="1:21" s="103" customFormat="1" ht="27" customHeight="1" x14ac:dyDescent="0.55000000000000004">
      <c r="A56" s="104" t="s">
        <v>65</v>
      </c>
      <c r="B56" s="105">
        <v>120</v>
      </c>
      <c r="C56" s="106">
        <v>11163</v>
      </c>
      <c r="D56" s="107">
        <f>SUMIFS(Input[T. - Gross E&amp;G],Input[Institution Name],A56)
+SUMIFS(Input[T. - Gross Desg],Input[Institution Name],A56)</f>
        <v>85891481</v>
      </c>
      <c r="E56" s="125">
        <f>SUMIFS(Input[T. W. - Stat (R AFR) E&amp;G],Input[Institution Name],A56)
+SUMIFS(Input[T. W. - Stat (R AFR) Desg],Input[Institution Name],A56)</f>
        <v>0</v>
      </c>
      <c r="F56" s="108">
        <f>SUMIFS(Input[T. W. - Inst. (R AFR) E&amp;G],Input[Institution Name],A56)
+SUMIFS(Input[T. W. - Inst. (R AFR) Desg],Input[Institution Name],A56)</f>
        <v>0</v>
      </c>
      <c r="G56" s="125">
        <f>SUMIFS(Input[T. Exp. - Stat (R AFR) E&amp;G],Input[Institution Name],A56)
+SUMIFS(Input[T. Exp. - Stat (R AFR) Desg],Input[Institution Name],A56)</f>
        <v>-5447189</v>
      </c>
      <c r="H56" s="108">
        <f>SUMIFS(Input[T. Exp. - Inst. (R AFR) E&amp;G],Input[Institution Name],A56)
+SUMIFS(Input[T. Exp. - Inst. (R AFR) Desg],Input[Institution Name],A56)</f>
        <v>0</v>
      </c>
      <c r="I56" s="107">
        <f>SUMIFS(Input[T. Schlr E&amp;G],Input[Institution Name],A56)
+SUMIFS(Input[T. Schlr Desg],Input[Institution Name],A56)</f>
        <v>-26565368</v>
      </c>
      <c r="J56" s="109">
        <f t="shared" si="5"/>
        <v>53878924</v>
      </c>
      <c r="K56" s="110"/>
      <c r="L56" s="107">
        <f>SUMIFS(Input[Fees - Gross E&amp;G],Input[Institution Name],A56)
+SUMIFS(Input[Fees - Gross Desg],Input[Institution Name],A56)</f>
        <v>0</v>
      </c>
      <c r="M56" s="125">
        <f>SUMIFS(Input[F. W. - Stat (R AFR) E&amp;G],Input[Institution Name],A56)
+SUMIFS(Input[F. W. - Stat (R AFR) Desg],Input[Institution Name],A56)</f>
        <v>0</v>
      </c>
      <c r="N56" s="108">
        <f>SUMIFS(Input[F. W. - Inst. (R AFR) E&amp;G],Input[Institution Name],A56)
+SUMIFS(Input[F. W. - Inst. (R AFR) Desg],Input[Institution Name],A56)</f>
        <v>0</v>
      </c>
      <c r="O56" s="125">
        <f>SUMIFS(Input[F. Exp. - Stat (R AFR) E&amp;G],Input[Institution Name],A56)
+SUMIFS(Input[F. Exp. - Stat (R AFR) Desg],Input[Institution Name],A56)</f>
        <v>0</v>
      </c>
      <c r="P56" s="108">
        <f>SUMIFS(Input[F. Exp. - Inst. (R AFR) E&amp;G],Input[Institution Name],A56)
+SUMIFS(Input[F. Exp. - Inst. (R AFR) Desg],Input[Institution Name],A56)</f>
        <v>0</v>
      </c>
      <c r="Q56" s="107">
        <f>SUMIFS(Input[Fee Schlr E&amp;G],Input[Institution Name],A56)
+SUMIFS(Input[Fee Schlr Desg],Input[Institution Name],A56)</f>
        <v>0</v>
      </c>
      <c r="R56" s="109">
        <f t="shared" si="6"/>
        <v>0</v>
      </c>
      <c r="S56" s="110"/>
      <c r="T56" s="109">
        <f t="shared" si="7"/>
        <v>53878924</v>
      </c>
      <c r="U56" s="102"/>
    </row>
    <row r="57" spans="1:21" s="103" customFormat="1" ht="27" customHeight="1" x14ac:dyDescent="0.55000000000000004">
      <c r="A57" s="96" t="s">
        <v>66</v>
      </c>
      <c r="B57" s="97">
        <v>130</v>
      </c>
      <c r="C57" s="98">
        <v>3632</v>
      </c>
      <c r="D57" s="99">
        <f>SUMIFS(Input[T. - Gross E&amp;G],Input[Institution Name],A57)
+SUMIFS(Input[T. - Gross Desg],Input[Institution Name],A57)</f>
        <v>652674433</v>
      </c>
      <c r="E57" s="124">
        <f>SUMIFS(Input[T. W. - Stat (R AFR) E&amp;G],Input[Institution Name],A57)
+SUMIFS(Input[T. W. - Stat (R AFR) Desg],Input[Institution Name],A57)</f>
        <v>0</v>
      </c>
      <c r="F57" s="100">
        <f>SUMIFS(Input[T. W. - Inst. (R AFR) E&amp;G],Input[Institution Name],A57)
+SUMIFS(Input[T. W. - Inst. (R AFR) Desg],Input[Institution Name],A57)</f>
        <v>0</v>
      </c>
      <c r="G57" s="124">
        <f>SUMIFS(Input[T. Exp. - Stat (R AFR) E&amp;G],Input[Institution Name],A57)
+SUMIFS(Input[T. Exp. - Stat (R AFR) Desg],Input[Institution Name],A57)</f>
        <v>-28188003</v>
      </c>
      <c r="H57" s="100">
        <f>SUMIFS(Input[T. Exp. - Inst. (R AFR) E&amp;G],Input[Institution Name],A57)
+SUMIFS(Input[T. Exp. - Inst. (R AFR) Desg],Input[Institution Name],A57)</f>
        <v>0</v>
      </c>
      <c r="I57" s="99">
        <f>SUMIFS(Input[T. Schlr E&amp;G],Input[Institution Name],A57)
+SUMIFS(Input[T. Schlr Desg],Input[Institution Name],A57)</f>
        <v>-129743947</v>
      </c>
      <c r="J57" s="101">
        <f t="shared" si="5"/>
        <v>494742483</v>
      </c>
      <c r="K57" s="110"/>
      <c r="L57" s="99">
        <f>SUMIFS(Input[Fees - Gross E&amp;G],Input[Institution Name],A57)
+SUMIFS(Input[Fees - Gross Desg],Input[Institution Name],A57)</f>
        <v>318917788</v>
      </c>
      <c r="M57" s="124">
        <f>SUMIFS(Input[F. W. - Stat (R AFR) E&amp;G],Input[Institution Name],A57)
+SUMIFS(Input[F. W. - Stat (R AFR) Desg],Input[Institution Name],A57)</f>
        <v>0</v>
      </c>
      <c r="N57" s="100">
        <f>SUMIFS(Input[F. W. - Inst. (R AFR) E&amp;G],Input[Institution Name],A57)
+SUMIFS(Input[F. W. - Inst. (R AFR) Desg],Input[Institution Name],A57)</f>
        <v>0</v>
      </c>
      <c r="O57" s="124">
        <f>SUMIFS(Input[F. Exp. - Stat (R AFR) E&amp;G],Input[Institution Name],A57)
+SUMIFS(Input[F. Exp. - Stat (R AFR) Desg],Input[Institution Name],A57)</f>
        <v>-9959467</v>
      </c>
      <c r="P57" s="100">
        <f>SUMIFS(Input[F. Exp. - Inst. (R AFR) E&amp;G],Input[Institution Name],A57)
+SUMIFS(Input[F. Exp. - Inst. (R AFR) Desg],Input[Institution Name],A57)</f>
        <v>0</v>
      </c>
      <c r="Q57" s="99">
        <f>SUMIFS(Input[Fee Schlr E&amp;G],Input[Institution Name],A57)
+SUMIFS(Input[Fee Schlr Desg],Input[Institution Name],A57)</f>
        <v>-67211179</v>
      </c>
      <c r="R57" s="101">
        <f t="shared" si="6"/>
        <v>241747142</v>
      </c>
      <c r="S57" s="110"/>
      <c r="T57" s="101">
        <f t="shared" si="7"/>
        <v>736489625</v>
      </c>
      <c r="U57" s="102"/>
    </row>
    <row r="58" spans="1:21" s="103" customFormat="1" ht="27" customHeight="1" x14ac:dyDescent="0.55000000000000004">
      <c r="A58" s="104" t="s">
        <v>67</v>
      </c>
      <c r="B58" s="105">
        <v>140</v>
      </c>
      <c r="C58" s="106">
        <v>10298</v>
      </c>
      <c r="D58" s="107">
        <f>SUMIFS(Input[T. - Gross E&amp;G],Input[Institution Name],A58)
+SUMIFS(Input[T. - Gross Desg],Input[Institution Name],A58)</f>
        <v>21472587</v>
      </c>
      <c r="E58" s="125">
        <f>SUMIFS(Input[T. W. - Stat (R AFR) E&amp;G],Input[Institution Name],A58)
+SUMIFS(Input[T. W. - Stat (R AFR) Desg],Input[Institution Name],A58)</f>
        <v>0</v>
      </c>
      <c r="F58" s="108">
        <f>SUMIFS(Input[T. W. - Inst. (R AFR) E&amp;G],Input[Institution Name],A58)
+SUMIFS(Input[T. W. - Inst. (R AFR) Desg],Input[Institution Name],A58)</f>
        <v>0</v>
      </c>
      <c r="G58" s="125">
        <f>SUMIFS(Input[T. Exp. - Stat (R AFR) E&amp;G],Input[Institution Name],A58)
+SUMIFS(Input[T. Exp. - Stat (R AFR) Desg],Input[Institution Name],A58)</f>
        <v>-1329734</v>
      </c>
      <c r="H58" s="108">
        <f>SUMIFS(Input[T. Exp. - Inst. (R AFR) E&amp;G],Input[Institution Name],A58)
+SUMIFS(Input[T. Exp. - Inst. (R AFR) Desg],Input[Institution Name],A58)</f>
        <v>0</v>
      </c>
      <c r="I58" s="107">
        <f>SUMIFS(Input[T. Schlr E&amp;G],Input[Institution Name],A58)
+SUMIFS(Input[T. Schlr Desg],Input[Institution Name],A58)</f>
        <v>-2499572</v>
      </c>
      <c r="J58" s="109">
        <f t="shared" si="5"/>
        <v>17643281</v>
      </c>
      <c r="K58" s="110"/>
      <c r="L58" s="107">
        <f>SUMIFS(Input[Fees - Gross E&amp;G],Input[Institution Name],A58)
+SUMIFS(Input[Fees - Gross Desg],Input[Institution Name],A58)</f>
        <v>10328710</v>
      </c>
      <c r="M58" s="125">
        <f>SUMIFS(Input[F. W. - Stat (R AFR) E&amp;G],Input[Institution Name],A58)
+SUMIFS(Input[F. W. - Stat (R AFR) Desg],Input[Institution Name],A58)</f>
        <v>0</v>
      </c>
      <c r="N58" s="108">
        <f>SUMIFS(Input[F. W. - Inst. (R AFR) E&amp;G],Input[Institution Name],A58)
+SUMIFS(Input[F. W. - Inst. (R AFR) Desg],Input[Institution Name],A58)</f>
        <v>0</v>
      </c>
      <c r="O58" s="125">
        <f>SUMIFS(Input[F. Exp. - Stat (R AFR) E&amp;G],Input[Institution Name],A58)
+SUMIFS(Input[F. Exp. - Stat (R AFR) Desg],Input[Institution Name],A58)</f>
        <v>-553467</v>
      </c>
      <c r="P58" s="108">
        <f>SUMIFS(Input[F. Exp. - Inst. (R AFR) E&amp;G],Input[Institution Name],A58)
+SUMIFS(Input[F. Exp. - Inst. (R AFR) Desg],Input[Institution Name],A58)</f>
        <v>-2464</v>
      </c>
      <c r="Q58" s="107">
        <f>SUMIFS(Input[Fee Schlr E&amp;G],Input[Institution Name],A58)
+SUMIFS(Input[Fee Schlr Desg],Input[Institution Name],A58)</f>
        <v>-1286034</v>
      </c>
      <c r="R58" s="109">
        <f t="shared" si="6"/>
        <v>8486745</v>
      </c>
      <c r="S58" s="110"/>
      <c r="T58" s="109">
        <f t="shared" si="7"/>
        <v>26130026</v>
      </c>
      <c r="U58" s="102"/>
    </row>
    <row r="59" spans="1:21" s="103" customFormat="1" ht="27" customHeight="1" x14ac:dyDescent="0.55000000000000004">
      <c r="A59" s="96" t="s">
        <v>68</v>
      </c>
      <c r="B59" s="97">
        <v>150</v>
      </c>
      <c r="C59" s="98">
        <v>3630</v>
      </c>
      <c r="D59" s="99">
        <f>SUMIFS(Input[T. - Gross E&amp;G],Input[Institution Name],A59)
+SUMIFS(Input[T. - Gross Desg],Input[Institution Name],A59)</f>
        <v>74781981</v>
      </c>
      <c r="E59" s="124">
        <f>SUMIFS(Input[T. W. - Stat (R AFR) E&amp;G],Input[Institution Name],A59)
+SUMIFS(Input[T. W. - Stat (R AFR) Desg],Input[Institution Name],A59)</f>
        <v>0</v>
      </c>
      <c r="F59" s="100">
        <f>SUMIFS(Input[T. W. - Inst. (R AFR) E&amp;G],Input[Institution Name],A59)
+SUMIFS(Input[T. W. - Inst. (R AFR) Desg],Input[Institution Name],A59)</f>
        <v>0</v>
      </c>
      <c r="G59" s="124">
        <f>SUMIFS(Input[T. Exp. - Stat (R AFR) E&amp;G],Input[Institution Name],A59)
+SUMIFS(Input[T. Exp. - Stat (R AFR) Desg],Input[Institution Name],A59)</f>
        <v>-3834563</v>
      </c>
      <c r="H59" s="100">
        <f>SUMIFS(Input[T. Exp. - Inst. (R AFR) E&amp;G],Input[Institution Name],A59)
+SUMIFS(Input[T. Exp. - Inst. (R AFR) Desg],Input[Institution Name],A59)</f>
        <v>0</v>
      </c>
      <c r="I59" s="99">
        <f>SUMIFS(Input[T. Schlr E&amp;G],Input[Institution Name],A59)
+SUMIFS(Input[T. Schlr Desg],Input[Institution Name],A59)</f>
        <v>-36109530</v>
      </c>
      <c r="J59" s="101">
        <f t="shared" si="5"/>
        <v>34837888</v>
      </c>
      <c r="K59" s="110"/>
      <c r="L59" s="99">
        <f>SUMIFS(Input[Fees - Gross E&amp;G],Input[Institution Name],A59)
+SUMIFS(Input[Fees - Gross Desg],Input[Institution Name],A59)</f>
        <v>28909576</v>
      </c>
      <c r="M59" s="124">
        <f>SUMIFS(Input[F. W. - Stat (R AFR) E&amp;G],Input[Institution Name],A59)
+SUMIFS(Input[F. W. - Stat (R AFR) Desg],Input[Institution Name],A59)</f>
        <v>0</v>
      </c>
      <c r="N59" s="100">
        <f>SUMIFS(Input[F. W. - Inst. (R AFR) E&amp;G],Input[Institution Name],A59)
+SUMIFS(Input[F. W. - Inst. (R AFR) Desg],Input[Institution Name],A59)</f>
        <v>0</v>
      </c>
      <c r="O59" s="124">
        <f>SUMIFS(Input[F. Exp. - Stat (R AFR) E&amp;G],Input[Institution Name],A59)
+SUMIFS(Input[F. Exp. - Stat (R AFR) Desg],Input[Institution Name],A59)</f>
        <v>-1607750</v>
      </c>
      <c r="P59" s="100">
        <f>SUMIFS(Input[F. Exp. - Inst. (R AFR) E&amp;G],Input[Institution Name],A59)
+SUMIFS(Input[F. Exp. - Inst. (R AFR) Desg],Input[Institution Name],A59)</f>
        <v>0</v>
      </c>
      <c r="Q59" s="99">
        <f>SUMIFS(Input[Fee Schlr E&amp;G],Input[Institution Name],A59)
+SUMIFS(Input[Fee Schlr Desg],Input[Institution Name],A59)</f>
        <v>-13834029</v>
      </c>
      <c r="R59" s="101">
        <f t="shared" si="6"/>
        <v>13467797</v>
      </c>
      <c r="S59" s="110"/>
      <c r="T59" s="101">
        <f t="shared" si="7"/>
        <v>48305685</v>
      </c>
      <c r="U59" s="102"/>
    </row>
    <row r="60" spans="1:21" s="103" customFormat="1" ht="27" customHeight="1" x14ac:dyDescent="0.55000000000000004">
      <c r="A60" s="104" t="s">
        <v>69</v>
      </c>
      <c r="B60" s="105">
        <v>160</v>
      </c>
      <c r="C60" s="106">
        <v>3631</v>
      </c>
      <c r="D60" s="107">
        <f>SUMIFS(Input[T. - Gross E&amp;G],Input[Institution Name],A60)
+SUMIFS(Input[T. - Gross Desg],Input[Institution Name],A60)</f>
        <v>86169599</v>
      </c>
      <c r="E60" s="125">
        <f>SUMIFS(Input[T. W. - Stat (R AFR) E&amp;G],Input[Institution Name],A60)
+SUMIFS(Input[T. W. - Stat (R AFR) Desg],Input[Institution Name],A60)</f>
        <v>0</v>
      </c>
      <c r="F60" s="108">
        <f>SUMIFS(Input[T. W. - Inst. (R AFR) E&amp;G],Input[Institution Name],A60)
+SUMIFS(Input[T. W. - Inst. (R AFR) Desg],Input[Institution Name],A60)</f>
        <v>0</v>
      </c>
      <c r="G60" s="125">
        <f>SUMIFS(Input[T. Exp. - Stat (R AFR) E&amp;G],Input[Institution Name],A60)
+SUMIFS(Input[T. Exp. - Stat (R AFR) Desg],Input[Institution Name],A60)</f>
        <v>-6168741</v>
      </c>
      <c r="H60" s="108">
        <f>SUMIFS(Input[T. Exp. - Inst. (R AFR) E&amp;G],Input[Institution Name],A60)
+SUMIFS(Input[T. Exp. - Inst. (R AFR) Desg],Input[Institution Name],A60)</f>
        <v>-51300</v>
      </c>
      <c r="I60" s="107">
        <f>SUMIFS(Input[T. Schlr E&amp;G],Input[Institution Name],A60)
+SUMIFS(Input[T. Schlr Desg],Input[Institution Name],A60)</f>
        <v>-19230089</v>
      </c>
      <c r="J60" s="109">
        <f t="shared" si="5"/>
        <v>60719469</v>
      </c>
      <c r="K60" s="110"/>
      <c r="L60" s="107">
        <f>SUMIFS(Input[Fees - Gross E&amp;G],Input[Institution Name],A60)
+SUMIFS(Input[Fees - Gross Desg],Input[Institution Name],A60)</f>
        <v>39056743</v>
      </c>
      <c r="M60" s="125">
        <f>SUMIFS(Input[F. W. - Stat (R AFR) E&amp;G],Input[Institution Name],A60)
+SUMIFS(Input[F. W. - Stat (R AFR) Desg],Input[Institution Name],A60)</f>
        <v>0</v>
      </c>
      <c r="N60" s="108">
        <f>SUMIFS(Input[F. W. - Inst. (R AFR) E&amp;G],Input[Institution Name],A60)
+SUMIFS(Input[F. W. - Inst. (R AFR) Desg],Input[Institution Name],A60)</f>
        <v>0</v>
      </c>
      <c r="O60" s="125">
        <f>SUMIFS(Input[F. Exp. - Stat (R AFR) E&amp;G],Input[Institution Name],A60)
+SUMIFS(Input[F. Exp. - Stat (R AFR) Desg],Input[Institution Name],A60)</f>
        <v>-2678010</v>
      </c>
      <c r="P60" s="108">
        <f>SUMIFS(Input[F. Exp. - Inst. (R AFR) E&amp;G],Input[Institution Name],A60)
+SUMIFS(Input[F. Exp. - Inst. (R AFR) Desg],Input[Institution Name],A60)</f>
        <v>0</v>
      </c>
      <c r="Q60" s="107">
        <f>SUMIFS(Input[Fee Schlr E&amp;G],Input[Institution Name],A60)
+SUMIFS(Input[Fee Schlr Desg],Input[Institution Name],A60)</f>
        <v>-8858208</v>
      </c>
      <c r="R60" s="109">
        <f t="shared" si="6"/>
        <v>27520525</v>
      </c>
      <c r="S60" s="110"/>
      <c r="T60" s="109">
        <f t="shared" si="7"/>
        <v>88239994</v>
      </c>
      <c r="U60" s="102"/>
    </row>
    <row r="61" spans="1:21" s="103" customFormat="1" ht="27" customHeight="1" x14ac:dyDescent="0.55000000000000004">
      <c r="A61" s="96" t="s">
        <v>70</v>
      </c>
      <c r="B61" s="97">
        <v>170</v>
      </c>
      <c r="C61" s="98">
        <v>11161</v>
      </c>
      <c r="D61" s="99">
        <f>SUMIFS(Input[T. - Gross E&amp;G],Input[Institution Name],A61)
+SUMIFS(Input[T. - Gross Desg],Input[Institution Name],A61)</f>
        <v>57470541</v>
      </c>
      <c r="E61" s="124">
        <f>SUMIFS(Input[T. W. - Stat (R AFR) E&amp;G],Input[Institution Name],A61)
+SUMIFS(Input[T. W. - Stat (R AFR) Desg],Input[Institution Name],A61)</f>
        <v>-201861</v>
      </c>
      <c r="F61" s="100">
        <f>SUMIFS(Input[T. W. - Inst. (R AFR) E&amp;G],Input[Institution Name],A61)
+SUMIFS(Input[T. W. - Inst. (R AFR) Desg],Input[Institution Name],A61)</f>
        <v>0</v>
      </c>
      <c r="G61" s="124">
        <f>SUMIFS(Input[T. Exp. - Stat (R AFR) E&amp;G],Input[Institution Name],A61)
+SUMIFS(Input[T. Exp. - Stat (R AFR) Desg],Input[Institution Name],A61)</f>
        <v>-4512653</v>
      </c>
      <c r="H61" s="100">
        <f>SUMIFS(Input[T. Exp. - Inst. (R AFR) E&amp;G],Input[Institution Name],A61)
+SUMIFS(Input[T. Exp. - Inst. (R AFR) Desg],Input[Institution Name],A61)</f>
        <v>0</v>
      </c>
      <c r="I61" s="99">
        <f>SUMIFS(Input[T. Schlr E&amp;G],Input[Institution Name],A61)
+SUMIFS(Input[T. Schlr Desg],Input[Institution Name],A61)</f>
        <v>-11486297</v>
      </c>
      <c r="J61" s="101">
        <f t="shared" si="5"/>
        <v>41269730</v>
      </c>
      <c r="K61" s="110"/>
      <c r="L61" s="99">
        <f>SUMIFS(Input[Fees - Gross E&amp;G],Input[Institution Name],A61)
+SUMIFS(Input[Fees - Gross Desg],Input[Institution Name],A61)</f>
        <v>42429814</v>
      </c>
      <c r="M61" s="124">
        <f>SUMIFS(Input[F. W. - Stat (R AFR) E&amp;G],Input[Institution Name],A61)
+SUMIFS(Input[F. W. - Stat (R AFR) Desg],Input[Institution Name],A61)</f>
        <v>0</v>
      </c>
      <c r="N61" s="100">
        <f>SUMIFS(Input[F. W. - Inst. (R AFR) E&amp;G],Input[Institution Name],A61)
+SUMIFS(Input[F. W. - Inst. (R AFR) Desg],Input[Institution Name],A61)</f>
        <v>0</v>
      </c>
      <c r="O61" s="124">
        <f>SUMIFS(Input[F. Exp. - Stat (R AFR) E&amp;G],Input[Institution Name],A61)
+SUMIFS(Input[F. Exp. - Stat (R AFR) Desg],Input[Institution Name],A61)</f>
        <v>-3284715</v>
      </c>
      <c r="P61" s="100">
        <f>SUMIFS(Input[F. Exp. - Inst. (R AFR) E&amp;G],Input[Institution Name],A61)
+SUMIFS(Input[F. Exp. - Inst. (R AFR) Desg],Input[Institution Name],A61)</f>
        <v>0</v>
      </c>
      <c r="Q61" s="99">
        <f>SUMIFS(Input[Fee Schlr E&amp;G],Input[Institution Name],A61)
+SUMIFS(Input[Fee Schlr Desg],Input[Institution Name],A61)</f>
        <v>-8676150</v>
      </c>
      <c r="R61" s="101">
        <f t="shared" si="6"/>
        <v>30468949</v>
      </c>
      <c r="S61" s="110"/>
      <c r="T61" s="101">
        <f t="shared" si="7"/>
        <v>71738679</v>
      </c>
      <c r="U61" s="102"/>
    </row>
    <row r="62" spans="1:21" s="103" customFormat="1" ht="27" customHeight="1" x14ac:dyDescent="0.55000000000000004">
      <c r="A62" s="104" t="s">
        <v>71</v>
      </c>
      <c r="B62" s="105">
        <v>180</v>
      </c>
      <c r="C62" s="106">
        <v>3639</v>
      </c>
      <c r="D62" s="107">
        <f>SUMIFS(Input[T. - Gross E&amp;G],Input[Institution Name],A62)
+SUMIFS(Input[T. - Gross Desg],Input[Institution Name],A62)</f>
        <v>32990536</v>
      </c>
      <c r="E62" s="125">
        <f>SUMIFS(Input[T. W. - Stat (R AFR) E&amp;G],Input[Institution Name],A62)
+SUMIFS(Input[T. W. - Stat (R AFR) Desg],Input[Institution Name],A62)</f>
        <v>0</v>
      </c>
      <c r="F62" s="108">
        <f>SUMIFS(Input[T. W. - Inst. (R AFR) E&amp;G],Input[Institution Name],A62)
+SUMIFS(Input[T. W. - Inst. (R AFR) Desg],Input[Institution Name],A62)</f>
        <v>0</v>
      </c>
      <c r="G62" s="125">
        <f>SUMIFS(Input[T. Exp. - Stat (R AFR) E&amp;G],Input[Institution Name],A62)
+SUMIFS(Input[T. Exp. - Stat (R AFR) Desg],Input[Institution Name],A62)</f>
        <v>-1762354</v>
      </c>
      <c r="H62" s="108">
        <f>SUMIFS(Input[T. Exp. - Inst. (R AFR) E&amp;G],Input[Institution Name],A62)
+SUMIFS(Input[T. Exp. - Inst. (R AFR) Desg],Input[Institution Name],A62)</f>
        <v>0</v>
      </c>
      <c r="I62" s="107">
        <f>SUMIFS(Input[T. Schlr E&amp;G],Input[Institution Name],A62)
+SUMIFS(Input[T. Schlr Desg],Input[Institution Name],A62)</f>
        <v>-11442073</v>
      </c>
      <c r="J62" s="109">
        <f t="shared" si="5"/>
        <v>19786109</v>
      </c>
      <c r="K62" s="110"/>
      <c r="L62" s="107">
        <f>SUMIFS(Input[Fees - Gross E&amp;G],Input[Institution Name],A62)
+SUMIFS(Input[Fees - Gross Desg],Input[Institution Name],A62)</f>
        <v>22053167</v>
      </c>
      <c r="M62" s="125">
        <f>SUMIFS(Input[F. W. - Stat (R AFR) E&amp;G],Input[Institution Name],A62)
+SUMIFS(Input[F. W. - Stat (R AFR) Desg],Input[Institution Name],A62)</f>
        <v>0</v>
      </c>
      <c r="N62" s="108">
        <f>SUMIFS(Input[F. W. - Inst. (R AFR) E&amp;G],Input[Institution Name],A62)
+SUMIFS(Input[F. W. - Inst. (R AFR) Desg],Input[Institution Name],A62)</f>
        <v>0</v>
      </c>
      <c r="O62" s="125">
        <f>SUMIFS(Input[F. Exp. - Stat (R AFR) E&amp;G],Input[Institution Name],A62)
+SUMIFS(Input[F. Exp. - Stat (R AFR) Desg],Input[Institution Name],A62)</f>
        <v>-1301568</v>
      </c>
      <c r="P62" s="108">
        <f>SUMIFS(Input[F. Exp. - Inst. (R AFR) E&amp;G],Input[Institution Name],A62)
+SUMIFS(Input[F. Exp. - Inst. (R AFR) Desg],Input[Institution Name],A62)</f>
        <v>0</v>
      </c>
      <c r="Q62" s="107">
        <f>SUMIFS(Input[Fee Schlr E&amp;G],Input[Institution Name],A62)
+SUMIFS(Input[Fee Schlr Desg],Input[Institution Name],A62)</f>
        <v>-7525188</v>
      </c>
      <c r="R62" s="109">
        <f t="shared" si="6"/>
        <v>13226411</v>
      </c>
      <c r="S62" s="110"/>
      <c r="T62" s="109">
        <f t="shared" si="7"/>
        <v>33012520</v>
      </c>
      <c r="U62" s="102"/>
    </row>
    <row r="63" spans="1:21" s="103" customFormat="1" ht="27" customHeight="1" x14ac:dyDescent="0.55000000000000004">
      <c r="A63" s="96" t="s">
        <v>72</v>
      </c>
      <c r="B63" s="97">
        <v>190</v>
      </c>
      <c r="C63" s="98">
        <v>9651</v>
      </c>
      <c r="D63" s="99">
        <f>SUMIFS(Input[T. - Gross E&amp;G],Input[Institution Name],A63)
+SUMIFS(Input[T. - Gross Desg],Input[Institution Name],A63)</f>
        <v>34040821</v>
      </c>
      <c r="E63" s="124">
        <f>SUMIFS(Input[T. W. - Stat (R AFR) E&amp;G],Input[Institution Name],A63)
+SUMIFS(Input[T. W. - Stat (R AFR) Desg],Input[Institution Name],A63)</f>
        <v>0</v>
      </c>
      <c r="F63" s="100">
        <f>SUMIFS(Input[T. W. - Inst. (R AFR) E&amp;G],Input[Institution Name],A63)
+SUMIFS(Input[T. W. - Inst. (R AFR) Desg],Input[Institution Name],A63)</f>
        <v>0</v>
      </c>
      <c r="G63" s="124">
        <f>SUMIFS(Input[T. Exp. - Stat (R AFR) E&amp;G],Input[Institution Name],A63)
+SUMIFS(Input[T. Exp. - Stat (R AFR) Desg],Input[Institution Name],A63)</f>
        <v>-1186464</v>
      </c>
      <c r="H63" s="100">
        <f>SUMIFS(Input[T. Exp. - Inst. (R AFR) E&amp;G],Input[Institution Name],A63)
+SUMIFS(Input[T. Exp. - Inst. (R AFR) Desg],Input[Institution Name],A63)</f>
        <v>0</v>
      </c>
      <c r="I63" s="99">
        <f>SUMIFS(Input[T. Schlr E&amp;G],Input[Institution Name],A63)
+SUMIFS(Input[T. Schlr Desg],Input[Institution Name],A63)</f>
        <v>-17072721</v>
      </c>
      <c r="J63" s="101">
        <f t="shared" si="5"/>
        <v>15781636</v>
      </c>
      <c r="K63" s="110"/>
      <c r="L63" s="99">
        <f>SUMIFS(Input[Fees - Gross E&amp;G],Input[Institution Name],A63)
+SUMIFS(Input[Fees - Gross Desg],Input[Institution Name],A63)</f>
        <v>32898245</v>
      </c>
      <c r="M63" s="124">
        <f>SUMIFS(Input[F. W. - Stat (R AFR) E&amp;G],Input[Institution Name],A63)
+SUMIFS(Input[F. W. - Stat (R AFR) Desg],Input[Institution Name],A63)</f>
        <v>0</v>
      </c>
      <c r="N63" s="100">
        <f>SUMIFS(Input[F. W. - Inst. (R AFR) E&amp;G],Input[Institution Name],A63)
+SUMIFS(Input[F. W. - Inst. (R AFR) Desg],Input[Institution Name],A63)</f>
        <v>0</v>
      </c>
      <c r="O63" s="124">
        <f>SUMIFS(Input[F. Exp. - Stat (R AFR) E&amp;G],Input[Institution Name],A63)
+SUMIFS(Input[F. Exp. - Stat (R AFR) Desg],Input[Institution Name],A63)</f>
        <v>-801872</v>
      </c>
      <c r="P63" s="100">
        <f>SUMIFS(Input[F. Exp. - Inst. (R AFR) E&amp;G],Input[Institution Name],A63)
+SUMIFS(Input[F. Exp. - Inst. (R AFR) Desg],Input[Institution Name],A63)</f>
        <v>0</v>
      </c>
      <c r="Q63" s="99">
        <f>SUMIFS(Input[Fee Schlr E&amp;G],Input[Institution Name],A63)
+SUMIFS(Input[Fee Schlr Desg],Input[Institution Name],A63)</f>
        <v>-16844445</v>
      </c>
      <c r="R63" s="101">
        <f t="shared" si="6"/>
        <v>15251928</v>
      </c>
      <c r="S63" s="110"/>
      <c r="T63" s="101">
        <f t="shared" si="7"/>
        <v>31033564</v>
      </c>
      <c r="U63" s="102"/>
    </row>
    <row r="64" spans="1:21" s="103" customFormat="1" ht="27" customHeight="1" x14ac:dyDescent="0.55000000000000004">
      <c r="A64" s="104" t="s">
        <v>73</v>
      </c>
      <c r="B64" s="105">
        <v>200</v>
      </c>
      <c r="C64" s="106">
        <v>3665</v>
      </c>
      <c r="D64" s="107">
        <f>SUMIFS(Input[T. - Gross E&amp;G],Input[Institution Name],A64)
+SUMIFS(Input[T. - Gross Desg],Input[Institution Name],A64)</f>
        <v>56384593</v>
      </c>
      <c r="E64" s="125">
        <f>SUMIFS(Input[T. W. - Stat (R AFR) E&amp;G],Input[Institution Name],A64)
+SUMIFS(Input[T. W. - Stat (R AFR) Desg],Input[Institution Name],A64)</f>
        <v>0</v>
      </c>
      <c r="F64" s="108">
        <f>SUMIFS(Input[T. W. - Inst. (R AFR) E&amp;G],Input[Institution Name],A64)
+SUMIFS(Input[T. W. - Inst. (R AFR) Desg],Input[Institution Name],A64)</f>
        <v>0</v>
      </c>
      <c r="G64" s="125">
        <f>SUMIFS(Input[T. Exp. - Stat (R AFR) E&amp;G],Input[Institution Name],A64)
+SUMIFS(Input[T. Exp. - Stat (R AFR) Desg],Input[Institution Name],A64)</f>
        <v>-4675433</v>
      </c>
      <c r="H64" s="108">
        <f>SUMIFS(Input[T. Exp. - Inst. (R AFR) E&amp;G],Input[Institution Name],A64)
+SUMIFS(Input[T. Exp. - Inst. (R AFR) Desg],Input[Institution Name],A64)</f>
        <v>0</v>
      </c>
      <c r="I64" s="107">
        <f>SUMIFS(Input[T. Schlr E&amp;G],Input[Institution Name],A64)
+SUMIFS(Input[T. Schlr Desg],Input[Institution Name],A64)</f>
        <v>-16225683</v>
      </c>
      <c r="J64" s="109">
        <f t="shared" si="5"/>
        <v>35483477</v>
      </c>
      <c r="K64" s="110"/>
      <c r="L64" s="107">
        <f>SUMIFS(Input[Fees - Gross E&amp;G],Input[Institution Name],A64)
+SUMIFS(Input[Fees - Gross Desg],Input[Institution Name],A64)</f>
        <v>16880675</v>
      </c>
      <c r="M64" s="125">
        <f>SUMIFS(Input[F. W. - Stat (R AFR) E&amp;G],Input[Institution Name],A64)
+SUMIFS(Input[F. W. - Stat (R AFR) Desg],Input[Institution Name],A64)</f>
        <v>0</v>
      </c>
      <c r="N64" s="108">
        <f>SUMIFS(Input[F. W. - Inst. (R AFR) E&amp;G],Input[Institution Name],A64)
+SUMIFS(Input[F. W. - Inst. (R AFR) Desg],Input[Institution Name],A64)</f>
        <v>0</v>
      </c>
      <c r="O64" s="125">
        <f>SUMIFS(Input[F. Exp. - Stat (R AFR) E&amp;G],Input[Institution Name],A64)
+SUMIFS(Input[F. Exp. - Stat (R AFR) Desg],Input[Institution Name],A64)</f>
        <v>0</v>
      </c>
      <c r="P64" s="108">
        <f>SUMIFS(Input[F. Exp. - Inst. (R AFR) E&amp;G],Input[Institution Name],A64)
+SUMIFS(Input[F. Exp. - Inst. (R AFR) Desg],Input[Institution Name],A64)</f>
        <v>0</v>
      </c>
      <c r="Q64" s="107">
        <f>SUMIFS(Input[Fee Schlr E&amp;G],Input[Institution Name],A64)
+SUMIFS(Input[Fee Schlr Desg],Input[Institution Name],A64)</f>
        <v>-6257470</v>
      </c>
      <c r="R64" s="109">
        <f t="shared" si="6"/>
        <v>10623205</v>
      </c>
      <c r="S64" s="110"/>
      <c r="T64" s="109">
        <f t="shared" si="7"/>
        <v>46106682</v>
      </c>
      <c r="U64" s="102"/>
    </row>
    <row r="65" spans="1:21" s="103" customFormat="1" ht="27" customHeight="1" x14ac:dyDescent="0.55000000000000004">
      <c r="A65" s="96" t="s">
        <v>1788</v>
      </c>
      <c r="B65" s="97">
        <v>210</v>
      </c>
      <c r="C65" s="98">
        <v>3565</v>
      </c>
      <c r="D65" s="99">
        <f>SUMIFS(Input[T. - Gross E&amp;G],Input[Institution Name],A65)
+SUMIFS(Input[T. - Gross Desg],Input[Institution Name],A65)</f>
        <v>41459142</v>
      </c>
      <c r="E65" s="124">
        <f>SUMIFS(Input[T. W. - Stat (R AFR) E&amp;G],Input[Institution Name],A65)
+SUMIFS(Input[T. W. - Stat (R AFR) Desg],Input[Institution Name],A65)</f>
        <v>0</v>
      </c>
      <c r="F65" s="100">
        <f>SUMIFS(Input[T. W. - Inst. (R AFR) E&amp;G],Input[Institution Name],A65)
+SUMIFS(Input[T. W. - Inst. (R AFR) Desg],Input[Institution Name],A65)</f>
        <v>0</v>
      </c>
      <c r="G65" s="124">
        <f>SUMIFS(Input[T. Exp. - Stat (R AFR) E&amp;G],Input[Institution Name],A65)
+SUMIFS(Input[T. Exp. - Stat (R AFR) Desg],Input[Institution Name],A65)</f>
        <v>-2207799</v>
      </c>
      <c r="H65" s="100">
        <f>SUMIFS(Input[T. Exp. - Inst. (R AFR) E&amp;G],Input[Institution Name],A65)
+SUMIFS(Input[T. Exp. - Inst. (R AFR) Desg],Input[Institution Name],A65)</f>
        <v>0</v>
      </c>
      <c r="I65" s="99">
        <f>SUMIFS(Input[T. Schlr E&amp;G],Input[Institution Name],A65)
+SUMIFS(Input[T. Schlr Desg],Input[Institution Name],A65)</f>
        <v>-10185181</v>
      </c>
      <c r="J65" s="101">
        <f t="shared" si="5"/>
        <v>29066162</v>
      </c>
      <c r="K65" s="110"/>
      <c r="L65" s="99">
        <f>SUMIFS(Input[Fees - Gross E&amp;G],Input[Institution Name],A65)
+SUMIFS(Input[Fees - Gross Desg],Input[Institution Name],A65)</f>
        <v>37251748</v>
      </c>
      <c r="M65" s="124">
        <f>SUMIFS(Input[F. W. - Stat (R AFR) E&amp;G],Input[Institution Name],A65)
+SUMIFS(Input[F. W. - Stat (R AFR) Desg],Input[Institution Name],A65)</f>
        <v>0</v>
      </c>
      <c r="N65" s="100">
        <f>SUMIFS(Input[F. W. - Inst. (R AFR) E&amp;G],Input[Institution Name],A65)
+SUMIFS(Input[F. W. - Inst. (R AFR) Desg],Input[Institution Name],A65)</f>
        <v>0</v>
      </c>
      <c r="O65" s="124">
        <f>SUMIFS(Input[F. Exp. - Stat (R AFR) E&amp;G],Input[Institution Name],A65)
+SUMIFS(Input[F. Exp. - Stat (R AFR) Desg],Input[Institution Name],A65)</f>
        <v>-2586474</v>
      </c>
      <c r="P65" s="100">
        <f>SUMIFS(Input[F. Exp. - Inst. (R AFR) E&amp;G],Input[Institution Name],A65)
+SUMIFS(Input[F. Exp. - Inst. (R AFR) Desg],Input[Institution Name],A65)</f>
        <v>0</v>
      </c>
      <c r="Q65" s="99">
        <f>SUMIFS(Input[Fee Schlr E&amp;G],Input[Institution Name],A65)
+SUMIFS(Input[Fee Schlr Desg],Input[Institution Name],A65)</f>
        <v>-9094639</v>
      </c>
      <c r="R65" s="101">
        <f t="shared" si="6"/>
        <v>25570635</v>
      </c>
      <c r="S65" s="110"/>
      <c r="T65" s="101">
        <f t="shared" si="7"/>
        <v>54636797</v>
      </c>
      <c r="U65" s="102"/>
    </row>
    <row r="66" spans="1:21" s="103" customFormat="1" ht="27" customHeight="1" x14ac:dyDescent="0.55000000000000004">
      <c r="A66" s="104" t="s">
        <v>75</v>
      </c>
      <c r="B66" s="105">
        <v>220</v>
      </c>
      <c r="C66" s="106">
        <v>29269</v>
      </c>
      <c r="D66" s="107">
        <f>SUMIFS(Input[T. - Gross E&amp;G],Input[Institution Name],A66)
+SUMIFS(Input[T. - Gross Desg],Input[Institution Name],A66)</f>
        <v>12354352</v>
      </c>
      <c r="E66" s="125">
        <f>SUMIFS(Input[T. W. - Stat (R AFR) E&amp;G],Input[Institution Name],A66)
+SUMIFS(Input[T. W. - Stat (R AFR) Desg],Input[Institution Name],A66)</f>
        <v>0</v>
      </c>
      <c r="F66" s="108">
        <f>SUMIFS(Input[T. W. - Inst. (R AFR) E&amp;G],Input[Institution Name],A66)
+SUMIFS(Input[T. W. - Inst. (R AFR) Desg],Input[Institution Name],A66)</f>
        <v>0</v>
      </c>
      <c r="G66" s="125">
        <f>SUMIFS(Input[T. Exp. - Stat (R AFR) E&amp;G],Input[Institution Name],A66)
+SUMIFS(Input[T. Exp. - Stat (R AFR) Desg],Input[Institution Name],A66)</f>
        <v>-733628</v>
      </c>
      <c r="H66" s="108">
        <f>SUMIFS(Input[T. Exp. - Inst. (R AFR) E&amp;G],Input[Institution Name],A66)
+SUMIFS(Input[T. Exp. - Inst. (R AFR) Desg],Input[Institution Name],A66)</f>
        <v>0</v>
      </c>
      <c r="I66" s="107">
        <f>SUMIFS(Input[T. Schlr E&amp;G],Input[Institution Name],A66)
+SUMIFS(Input[T. Schlr Desg],Input[Institution Name],A66)</f>
        <v>-1835450</v>
      </c>
      <c r="J66" s="109">
        <f t="shared" si="5"/>
        <v>9785274</v>
      </c>
      <c r="K66" s="110"/>
      <c r="L66" s="107">
        <f>SUMIFS(Input[Fees - Gross E&amp;G],Input[Institution Name],A66)
+SUMIFS(Input[Fees - Gross Desg],Input[Institution Name],A66)</f>
        <v>4056523</v>
      </c>
      <c r="M66" s="125">
        <f>SUMIFS(Input[F. W. - Stat (R AFR) E&amp;G],Input[Institution Name],A66)
+SUMIFS(Input[F. W. - Stat (R AFR) Desg],Input[Institution Name],A66)</f>
        <v>0</v>
      </c>
      <c r="N66" s="108">
        <f>SUMIFS(Input[F. W. - Inst. (R AFR) E&amp;G],Input[Institution Name],A66)
+SUMIFS(Input[F. W. - Inst. (R AFR) Desg],Input[Institution Name],A66)</f>
        <v>0</v>
      </c>
      <c r="O66" s="125">
        <f>SUMIFS(Input[F. Exp. - Stat (R AFR) E&amp;G],Input[Institution Name],A66)
+SUMIFS(Input[F. Exp. - Stat (R AFR) Desg],Input[Institution Name],A66)</f>
        <v>-239298</v>
      </c>
      <c r="P66" s="108">
        <f>SUMIFS(Input[F. Exp. - Inst. (R AFR) E&amp;G],Input[Institution Name],A66)
+SUMIFS(Input[F. Exp. - Inst. (R AFR) Desg],Input[Institution Name],A66)</f>
        <v>0</v>
      </c>
      <c r="Q66" s="107">
        <f>SUMIFS(Input[Fee Schlr E&amp;G],Input[Institution Name],A66)
+SUMIFS(Input[Fee Schlr Desg],Input[Institution Name],A66)</f>
        <v>-604253</v>
      </c>
      <c r="R66" s="109">
        <f t="shared" si="6"/>
        <v>3212972</v>
      </c>
      <c r="S66" s="110"/>
      <c r="T66" s="109">
        <f t="shared" si="7"/>
        <v>12998246</v>
      </c>
      <c r="U66" s="102"/>
    </row>
    <row r="67" spans="1:21" s="103" customFormat="1" ht="27" customHeight="1" x14ac:dyDescent="0.55000000000000004">
      <c r="A67" s="96" t="s">
        <v>76</v>
      </c>
      <c r="B67" s="97">
        <v>223</v>
      </c>
      <c r="C67" s="98">
        <v>42295</v>
      </c>
      <c r="D67" s="99">
        <f>SUMIFS(Input[T. - Gross E&amp;G],Input[Institution Name],A67)
+SUMIFS(Input[T. - Gross Desg],Input[Institution Name],A67)</f>
        <v>14413766</v>
      </c>
      <c r="E67" s="124">
        <f>SUMIFS(Input[T. W. - Stat (R AFR) E&amp;G],Input[Institution Name],A67)
+SUMIFS(Input[T. W. - Stat (R AFR) Desg],Input[Institution Name],A67)</f>
        <v>0</v>
      </c>
      <c r="F67" s="100">
        <f>SUMIFS(Input[T. W. - Inst. (R AFR) E&amp;G],Input[Institution Name],A67)
+SUMIFS(Input[T. W. - Inst. (R AFR) Desg],Input[Institution Name],A67)</f>
        <v>0</v>
      </c>
      <c r="G67" s="124">
        <f>SUMIFS(Input[T. Exp. - Stat (R AFR) E&amp;G],Input[Institution Name],A67)
+SUMIFS(Input[T. Exp. - Stat (R AFR) Desg],Input[Institution Name],A67)</f>
        <v>-1436170</v>
      </c>
      <c r="H67" s="100">
        <f>SUMIFS(Input[T. Exp. - Inst. (R AFR) E&amp;G],Input[Institution Name],A67)
+SUMIFS(Input[T. Exp. - Inst. (R AFR) Desg],Input[Institution Name],A67)</f>
        <v>0</v>
      </c>
      <c r="I67" s="99">
        <f>SUMIFS(Input[T. Schlr E&amp;G],Input[Institution Name],A67)
+SUMIFS(Input[T. Schlr Desg],Input[Institution Name],A67)</f>
        <v>-2798481</v>
      </c>
      <c r="J67" s="101">
        <f t="shared" si="5"/>
        <v>10179115</v>
      </c>
      <c r="K67" s="110"/>
      <c r="L67" s="99">
        <f>SUMIFS(Input[Fees - Gross E&amp;G],Input[Institution Name],A67)
+SUMIFS(Input[Fees - Gross Desg],Input[Institution Name],A67)</f>
        <v>3887792</v>
      </c>
      <c r="M67" s="124">
        <f>SUMIFS(Input[F. W. - Stat (R AFR) E&amp;G],Input[Institution Name],A67)
+SUMIFS(Input[F. W. - Stat (R AFR) Desg],Input[Institution Name],A67)</f>
        <v>0</v>
      </c>
      <c r="N67" s="100">
        <f>SUMIFS(Input[F. W. - Inst. (R AFR) E&amp;G],Input[Institution Name],A67)
+SUMIFS(Input[F. W. - Inst. (R AFR) Desg],Input[Institution Name],A67)</f>
        <v>0</v>
      </c>
      <c r="O67" s="124">
        <f>SUMIFS(Input[F. Exp. - Stat (R AFR) E&amp;G],Input[Institution Name],A67)
+SUMIFS(Input[F. Exp. - Stat (R AFR) Desg],Input[Institution Name],A67)</f>
        <v>0</v>
      </c>
      <c r="P67" s="100">
        <f>SUMIFS(Input[F. Exp. - Inst. (R AFR) E&amp;G],Input[Institution Name],A67)
+SUMIFS(Input[F. Exp. - Inst. (R AFR) Desg],Input[Institution Name],A67)</f>
        <v>0</v>
      </c>
      <c r="Q67" s="99">
        <f>SUMIFS(Input[Fee Schlr E&amp;G],Input[Institution Name],A67)
+SUMIFS(Input[Fee Schlr Desg],Input[Institution Name],A67)</f>
        <v>-1142203</v>
      </c>
      <c r="R67" s="101">
        <f t="shared" si="6"/>
        <v>2745589</v>
      </c>
      <c r="S67" s="110"/>
      <c r="T67" s="101">
        <f t="shared" si="7"/>
        <v>12924704</v>
      </c>
      <c r="U67" s="102"/>
    </row>
    <row r="68" spans="1:21" s="103" customFormat="1" ht="27" customHeight="1" x14ac:dyDescent="0.55000000000000004">
      <c r="A68" s="104" t="s">
        <v>77</v>
      </c>
      <c r="B68" s="105">
        <v>226</v>
      </c>
      <c r="C68" s="106">
        <v>42485</v>
      </c>
      <c r="D68" s="107">
        <f>SUMIFS(Input[T. - Gross E&amp;G],Input[Institution Name],A68)
+SUMIFS(Input[T. - Gross Desg],Input[Institution Name],A68)</f>
        <v>27921176</v>
      </c>
      <c r="E68" s="125">
        <f>SUMIFS(Input[T. W. - Stat (R AFR) E&amp;G],Input[Institution Name],A68)
+SUMIFS(Input[T. W. - Stat (R AFR) Desg],Input[Institution Name],A68)</f>
        <v>0</v>
      </c>
      <c r="F68" s="108">
        <f>SUMIFS(Input[T. W. - Inst. (R AFR) E&amp;G],Input[Institution Name],A68)
+SUMIFS(Input[T. W. - Inst. (R AFR) Desg],Input[Institution Name],A68)</f>
        <v>0</v>
      </c>
      <c r="G68" s="125">
        <f>SUMIFS(Input[T. Exp. - Stat (R AFR) E&amp;G],Input[Institution Name],A68)
+SUMIFS(Input[T. Exp. - Stat (R AFR) Desg],Input[Institution Name],A68)</f>
        <v>-959087</v>
      </c>
      <c r="H68" s="108">
        <f>SUMIFS(Input[T. Exp. - Inst. (R AFR) E&amp;G],Input[Institution Name],A68)
+SUMIFS(Input[T. Exp. - Inst. (R AFR) Desg],Input[Institution Name],A68)</f>
        <v>-2089296</v>
      </c>
      <c r="I68" s="107">
        <f>SUMIFS(Input[T. Schlr E&amp;G],Input[Institution Name],A68)
+SUMIFS(Input[T. Schlr Desg],Input[Institution Name],A68)</f>
        <v>-4179136</v>
      </c>
      <c r="J68" s="109">
        <f t="shared" si="5"/>
        <v>20693657</v>
      </c>
      <c r="K68" s="110"/>
      <c r="L68" s="107">
        <f>SUMIFS(Input[Fees - Gross E&amp;G],Input[Institution Name],A68)
+SUMIFS(Input[Fees - Gross Desg],Input[Institution Name],A68)</f>
        <v>24892284</v>
      </c>
      <c r="M68" s="125">
        <f>SUMIFS(Input[F. W. - Stat (R AFR) E&amp;G],Input[Institution Name],A68)
+SUMIFS(Input[F. W. - Stat (R AFR) Desg],Input[Institution Name],A68)</f>
        <v>0</v>
      </c>
      <c r="N68" s="108">
        <f>SUMIFS(Input[F. W. - Inst. (R AFR) E&amp;G],Input[Institution Name],A68)
+SUMIFS(Input[F. W. - Inst. (R AFR) Desg],Input[Institution Name],A68)</f>
        <v>0</v>
      </c>
      <c r="O68" s="125">
        <f>SUMIFS(Input[F. Exp. - Stat (R AFR) E&amp;G],Input[Institution Name],A68)
+SUMIFS(Input[F. Exp. - Stat (R AFR) Desg],Input[Institution Name],A68)</f>
        <v>0</v>
      </c>
      <c r="P68" s="108">
        <f>SUMIFS(Input[F. Exp. - Inst. (R AFR) E&amp;G],Input[Institution Name],A68)
+SUMIFS(Input[F. Exp. - Inst. (R AFR) Desg],Input[Institution Name],A68)</f>
        <v>-2269132</v>
      </c>
      <c r="Q68" s="107">
        <f>SUMIFS(Input[Fee Schlr E&amp;G],Input[Institution Name],A68)
+SUMIFS(Input[Fee Schlr Desg],Input[Institution Name],A68)</f>
        <v>-4174346</v>
      </c>
      <c r="R68" s="109">
        <f t="shared" si="6"/>
        <v>18448806</v>
      </c>
      <c r="S68" s="110"/>
      <c r="T68" s="109">
        <f t="shared" si="7"/>
        <v>39142463</v>
      </c>
      <c r="U68" s="102"/>
    </row>
    <row r="69" spans="1:21" s="103" customFormat="1" ht="27" customHeight="1" x14ac:dyDescent="0.55000000000000004">
      <c r="A69" s="96" t="s">
        <v>78</v>
      </c>
      <c r="B69" s="97">
        <v>231</v>
      </c>
      <c r="C69" s="98">
        <v>3652</v>
      </c>
      <c r="D69" s="99">
        <f>SUMIFS(Input[T. - Gross E&amp;G],Input[Institution Name],A69)
+SUMIFS(Input[T. - Gross Desg],Input[Institution Name],A69)</f>
        <v>430345496</v>
      </c>
      <c r="E69" s="124">
        <f>SUMIFS(Input[T. W. - Stat (R AFR) E&amp;G],Input[Institution Name],A69)
+SUMIFS(Input[T. W. - Stat (R AFR) Desg],Input[Institution Name],A69)</f>
        <v>0</v>
      </c>
      <c r="F69" s="100">
        <f>SUMIFS(Input[T. W. - Inst. (R AFR) E&amp;G],Input[Institution Name],A69)
+SUMIFS(Input[T. W. - Inst. (R AFR) Desg],Input[Institution Name],A69)</f>
        <v>0</v>
      </c>
      <c r="G69" s="124">
        <f>SUMIFS(Input[T. Exp. - Stat (R AFR) E&amp;G],Input[Institution Name],A69)
+SUMIFS(Input[T. Exp. - Stat (R AFR) Desg],Input[Institution Name],A69)</f>
        <v>-10729738</v>
      </c>
      <c r="H69" s="100">
        <f>SUMIFS(Input[T. Exp. - Inst. (R AFR) E&amp;G],Input[Institution Name],A69)
+SUMIFS(Input[T. Exp. - Inst. (R AFR) Desg],Input[Institution Name],A69)</f>
        <v>0</v>
      </c>
      <c r="I69" s="99">
        <f>SUMIFS(Input[T. Schlr E&amp;G],Input[Institution Name],A69)
+SUMIFS(Input[T. Schlr Desg],Input[Institution Name],A69)</f>
        <v>-114675044</v>
      </c>
      <c r="J69" s="101">
        <f t="shared" si="5"/>
        <v>304940714</v>
      </c>
      <c r="K69" s="110"/>
      <c r="L69" s="99">
        <f>SUMIFS(Input[Fees - Gross E&amp;G],Input[Institution Name],A69)
+SUMIFS(Input[Fees - Gross Desg],Input[Institution Name],A69)</f>
        <v>108586714</v>
      </c>
      <c r="M69" s="124">
        <f>SUMIFS(Input[F. W. - Stat (R AFR) E&amp;G],Input[Institution Name],A69)
+SUMIFS(Input[F. W. - Stat (R AFR) Desg],Input[Institution Name],A69)</f>
        <v>0</v>
      </c>
      <c r="N69" s="100">
        <f>SUMIFS(Input[F. W. - Inst. (R AFR) E&amp;G],Input[Institution Name],A69)
+SUMIFS(Input[F. W. - Inst. (R AFR) Desg],Input[Institution Name],A69)</f>
        <v>0</v>
      </c>
      <c r="O69" s="124">
        <f>SUMIFS(Input[F. Exp. - Stat (R AFR) E&amp;G],Input[Institution Name],A69)
+SUMIFS(Input[F. Exp. - Stat (R AFR) Desg],Input[Institution Name],A69)</f>
        <v>-2452973</v>
      </c>
      <c r="P69" s="100">
        <f>SUMIFS(Input[F. Exp. - Inst. (R AFR) E&amp;G],Input[Institution Name],A69)
+SUMIFS(Input[F. Exp. - Inst. (R AFR) Desg],Input[Institution Name],A69)</f>
        <v>0</v>
      </c>
      <c r="Q69" s="99">
        <f>SUMIFS(Input[Fee Schlr E&amp;G],Input[Institution Name],A69)
+SUMIFS(Input[Fee Schlr Desg],Input[Institution Name],A69)</f>
        <v>-28989835</v>
      </c>
      <c r="R69" s="101">
        <f t="shared" si="6"/>
        <v>77143906</v>
      </c>
      <c r="S69" s="110"/>
      <c r="T69" s="101">
        <f t="shared" si="7"/>
        <v>382084620</v>
      </c>
      <c r="U69" s="102"/>
    </row>
    <row r="70" spans="1:21" s="103" customFormat="1" ht="27" customHeight="1" x14ac:dyDescent="0.55000000000000004">
      <c r="A70" s="104" t="s">
        <v>79</v>
      </c>
      <c r="B70" s="105">
        <v>240</v>
      </c>
      <c r="C70" s="106">
        <v>11711</v>
      </c>
      <c r="D70" s="107">
        <f>SUMIFS(Input[T. - Gross E&amp;G],Input[Institution Name],A70)
+SUMIFS(Input[T. - Gross Desg],Input[Institution Name],A70)</f>
        <v>55774296</v>
      </c>
      <c r="E70" s="125">
        <f>SUMIFS(Input[T. W. - Stat (R AFR) E&amp;G],Input[Institution Name],A70)
+SUMIFS(Input[T. W. - Stat (R AFR) Desg],Input[Institution Name],A70)</f>
        <v>0</v>
      </c>
      <c r="F70" s="108">
        <f>SUMIFS(Input[T. W. - Inst. (R AFR) E&amp;G],Input[Institution Name],A70)
+SUMIFS(Input[T. W. - Inst. (R AFR) Desg],Input[Institution Name],A70)</f>
        <v>0</v>
      </c>
      <c r="G70" s="125">
        <f>SUMIFS(Input[T. Exp. - Stat (R AFR) E&amp;G],Input[Institution Name],A70)
+SUMIFS(Input[T. Exp. - Stat (R AFR) Desg],Input[Institution Name],A70)</f>
        <v>-1905924</v>
      </c>
      <c r="H70" s="108">
        <f>SUMIFS(Input[T. Exp. - Inst. (R AFR) E&amp;G],Input[Institution Name],A70)
+SUMIFS(Input[T. Exp. - Inst. (R AFR) Desg],Input[Institution Name],A70)</f>
        <v>0</v>
      </c>
      <c r="I70" s="107">
        <f>SUMIFS(Input[T. Schlr E&amp;G],Input[Institution Name],A70)
+SUMIFS(Input[T. Schlr Desg],Input[Institution Name],A70)</f>
        <v>-12849619</v>
      </c>
      <c r="J70" s="109">
        <f t="shared" si="5"/>
        <v>41018753</v>
      </c>
      <c r="K70" s="110"/>
      <c r="L70" s="107">
        <f>SUMIFS(Input[Fees - Gross E&amp;G],Input[Institution Name],A70)
+SUMIFS(Input[Fees - Gross Desg],Input[Institution Name],A70)</f>
        <v>9444018</v>
      </c>
      <c r="M70" s="125">
        <f>SUMIFS(Input[F. W. - Stat (R AFR) E&amp;G],Input[Institution Name],A70)
+SUMIFS(Input[F. W. - Stat (R AFR) Desg],Input[Institution Name],A70)</f>
        <v>0</v>
      </c>
      <c r="N70" s="108">
        <f>SUMIFS(Input[F. W. - Inst. (R AFR) E&amp;G],Input[Institution Name],A70)
+SUMIFS(Input[F. W. - Inst. (R AFR) Desg],Input[Institution Name],A70)</f>
        <v>0</v>
      </c>
      <c r="O70" s="125">
        <f>SUMIFS(Input[F. Exp. - Stat (R AFR) E&amp;G],Input[Institution Name],A70)
+SUMIFS(Input[F. Exp. - Stat (R AFR) Desg],Input[Institution Name],A70)</f>
        <v>-337440</v>
      </c>
      <c r="P70" s="108">
        <f>SUMIFS(Input[F. Exp. - Inst. (R AFR) E&amp;G],Input[Institution Name],A70)
+SUMIFS(Input[F. Exp. - Inst. (R AFR) Desg],Input[Institution Name],A70)</f>
        <v>0</v>
      </c>
      <c r="Q70" s="107">
        <f>SUMIFS(Input[Fee Schlr E&amp;G],Input[Institution Name],A70)
+SUMIFS(Input[Fee Schlr Desg],Input[Institution Name],A70)</f>
        <v>-2095527</v>
      </c>
      <c r="R70" s="109">
        <f t="shared" si="6"/>
        <v>7011051</v>
      </c>
      <c r="S70" s="110"/>
      <c r="T70" s="109">
        <f t="shared" si="7"/>
        <v>48029804</v>
      </c>
      <c r="U70" s="102"/>
    </row>
    <row r="71" spans="1:21" s="103" customFormat="1" ht="27" customHeight="1" x14ac:dyDescent="0.55000000000000004">
      <c r="A71" s="96" t="s">
        <v>80</v>
      </c>
      <c r="B71" s="97">
        <v>250</v>
      </c>
      <c r="C71" s="98">
        <v>12826</v>
      </c>
      <c r="D71" s="99">
        <f>SUMIFS(Input[T. - Gross E&amp;G],Input[Institution Name],A71)
+SUMIFS(Input[T. - Gross Desg],Input[Institution Name],A71)</f>
        <v>86478140</v>
      </c>
      <c r="E71" s="124">
        <f>SUMIFS(Input[T. W. - Stat (R AFR) E&amp;G],Input[Institution Name],A71)
+SUMIFS(Input[T. W. - Stat (R AFR) Desg],Input[Institution Name],A71)</f>
        <v>0</v>
      </c>
      <c r="F71" s="100">
        <f>SUMIFS(Input[T. W. - Inst. (R AFR) E&amp;G],Input[Institution Name],A71)
+SUMIFS(Input[T. W. - Inst. (R AFR) Desg],Input[Institution Name],A71)</f>
        <v>0</v>
      </c>
      <c r="G71" s="124">
        <f>SUMIFS(Input[T. Exp. - Stat (R AFR) E&amp;G],Input[Institution Name],A71)
+SUMIFS(Input[T. Exp. - Stat (R AFR) Desg],Input[Institution Name],A71)</f>
        <v>-2321217</v>
      </c>
      <c r="H71" s="100">
        <f>SUMIFS(Input[T. Exp. - Inst. (R AFR) E&amp;G],Input[Institution Name],A71)
+SUMIFS(Input[T. Exp. - Inst. (R AFR) Desg],Input[Institution Name],A71)</f>
        <v>0</v>
      </c>
      <c r="I71" s="99">
        <f>SUMIFS(Input[T. Schlr E&amp;G],Input[Institution Name],A71)
+SUMIFS(Input[T. Schlr Desg],Input[Institution Name],A71)</f>
        <v>-26383933</v>
      </c>
      <c r="J71" s="101">
        <f t="shared" si="5"/>
        <v>57772990</v>
      </c>
      <c r="K71" s="110"/>
      <c r="L71" s="99">
        <f>SUMIFS(Input[Fees - Gross E&amp;G],Input[Institution Name],A71)
+SUMIFS(Input[Fees - Gross Desg],Input[Institution Name],A71)</f>
        <v>15381337</v>
      </c>
      <c r="M71" s="124">
        <f>SUMIFS(Input[F. W. - Stat (R AFR) E&amp;G],Input[Institution Name],A71)
+SUMIFS(Input[F. W. - Stat (R AFR) Desg],Input[Institution Name],A71)</f>
        <v>0</v>
      </c>
      <c r="N71" s="100">
        <f>SUMIFS(Input[F. W. - Inst. (R AFR) E&amp;G],Input[Institution Name],A71)
+SUMIFS(Input[F. W. - Inst. (R AFR) Desg],Input[Institution Name],A71)</f>
        <v>0</v>
      </c>
      <c r="O71" s="124">
        <f>SUMIFS(Input[F. Exp. - Stat (R AFR) E&amp;G],Input[Institution Name],A71)
+SUMIFS(Input[F. Exp. - Stat (R AFR) Desg],Input[Institution Name],A71)</f>
        <v>-349017</v>
      </c>
      <c r="P71" s="100">
        <f>SUMIFS(Input[F. Exp. - Inst. (R AFR) E&amp;G],Input[Institution Name],A71)
+SUMIFS(Input[F. Exp. - Inst. (R AFR) Desg],Input[Institution Name],A71)</f>
        <v>0</v>
      </c>
      <c r="Q71" s="99">
        <f>SUMIFS(Input[Fee Schlr E&amp;G],Input[Institution Name],A71)
+SUMIFS(Input[Fee Schlr Desg],Input[Institution Name],A71)</f>
        <v>-4756592</v>
      </c>
      <c r="R71" s="101">
        <f t="shared" si="6"/>
        <v>10275728</v>
      </c>
      <c r="S71" s="110"/>
      <c r="T71" s="101">
        <f t="shared" si="7"/>
        <v>68048718</v>
      </c>
      <c r="U71" s="102"/>
    </row>
    <row r="72" spans="1:21" s="103" customFormat="1" ht="27" customHeight="1" x14ac:dyDescent="0.55000000000000004">
      <c r="A72" s="104" t="s">
        <v>81</v>
      </c>
      <c r="B72" s="105">
        <v>260</v>
      </c>
      <c r="C72" s="106">
        <v>13231</v>
      </c>
      <c r="D72" s="107">
        <f>SUMIFS(Input[T. - Gross E&amp;G],Input[Institution Name],A72)
+SUMIFS(Input[T. - Gross Desg],Input[Institution Name],A72)</f>
        <v>21442637</v>
      </c>
      <c r="E72" s="125">
        <f>SUMIFS(Input[T. W. - Stat (R AFR) E&amp;G],Input[Institution Name],A72)
+SUMIFS(Input[T. W. - Stat (R AFR) Desg],Input[Institution Name],A72)</f>
        <v>0</v>
      </c>
      <c r="F72" s="108">
        <f>SUMIFS(Input[T. W. - Inst. (R AFR) E&amp;G],Input[Institution Name],A72)
+SUMIFS(Input[T. W. - Inst. (R AFR) Desg],Input[Institution Name],A72)</f>
        <v>0</v>
      </c>
      <c r="G72" s="125">
        <f>SUMIFS(Input[T. Exp. - Stat (R AFR) E&amp;G],Input[Institution Name],A72)
+SUMIFS(Input[T. Exp. - Stat (R AFR) Desg],Input[Institution Name],A72)</f>
        <v>-864941</v>
      </c>
      <c r="H72" s="108">
        <f>SUMIFS(Input[T. Exp. - Inst. (R AFR) E&amp;G],Input[Institution Name],A72)
+SUMIFS(Input[T. Exp. - Inst. (R AFR) Desg],Input[Institution Name],A72)</f>
        <v>0</v>
      </c>
      <c r="I72" s="107">
        <f>SUMIFS(Input[T. Schlr E&amp;G],Input[Institution Name],A72)
+SUMIFS(Input[T. Schlr Desg],Input[Institution Name],A72)</f>
        <v>-5659311</v>
      </c>
      <c r="J72" s="109">
        <f t="shared" si="5"/>
        <v>14918385</v>
      </c>
      <c r="K72" s="110"/>
      <c r="L72" s="107">
        <f>SUMIFS(Input[Fees - Gross E&amp;G],Input[Institution Name],A72)
+SUMIFS(Input[Fees - Gross Desg],Input[Institution Name],A72)</f>
        <v>5251774</v>
      </c>
      <c r="M72" s="125">
        <f>SUMIFS(Input[F. W. - Stat (R AFR) E&amp;G],Input[Institution Name],A72)
+SUMIFS(Input[F. W. - Stat (R AFR) Desg],Input[Institution Name],A72)</f>
        <v>0</v>
      </c>
      <c r="N72" s="108">
        <f>SUMIFS(Input[F. W. - Inst. (R AFR) E&amp;G],Input[Institution Name],A72)
+SUMIFS(Input[F. W. - Inst. (R AFR) Desg],Input[Institution Name],A72)</f>
        <v>0</v>
      </c>
      <c r="O72" s="125">
        <f>SUMIFS(Input[F. Exp. - Stat (R AFR) E&amp;G],Input[Institution Name],A72)
+SUMIFS(Input[F. Exp. - Stat (R AFR) Desg],Input[Institution Name],A72)</f>
        <v>-216724</v>
      </c>
      <c r="P72" s="108">
        <f>SUMIFS(Input[F. Exp. - Inst. (R AFR) E&amp;G],Input[Institution Name],A72)
+SUMIFS(Input[F. Exp. - Inst. (R AFR) Desg],Input[Institution Name],A72)</f>
        <v>0</v>
      </c>
      <c r="Q72" s="107">
        <f>SUMIFS(Input[Fee Schlr E&amp;G],Input[Institution Name],A72)
+SUMIFS(Input[Fee Schlr Desg],Input[Institution Name],A72)</f>
        <v>-1381121</v>
      </c>
      <c r="R72" s="109">
        <f t="shared" si="6"/>
        <v>3653929</v>
      </c>
      <c r="S72" s="110"/>
      <c r="T72" s="109">
        <f t="shared" si="7"/>
        <v>18572314</v>
      </c>
      <c r="U72" s="102"/>
    </row>
    <row r="73" spans="1:21" s="103" customFormat="1" ht="27" customHeight="1" x14ac:dyDescent="0.55000000000000004">
      <c r="A73" s="96" t="s">
        <v>1417</v>
      </c>
      <c r="B73" s="97">
        <v>270</v>
      </c>
      <c r="C73" s="98">
        <v>3581</v>
      </c>
      <c r="D73" s="99">
        <f>SUMIFS(Input[T. - Gross E&amp;G],Input[Institution Name],A73)
+SUMIFS(Input[T. - Gross Desg],Input[Institution Name],A73)</f>
        <v>109241513</v>
      </c>
      <c r="E73" s="124">
        <f>SUMIFS(Input[T. W. - Stat (R AFR) E&amp;G],Input[Institution Name],A73)
+SUMIFS(Input[T. W. - Stat (R AFR) Desg],Input[Institution Name],A73)</f>
        <v>0</v>
      </c>
      <c r="F73" s="100">
        <f>SUMIFS(Input[T. W. - Inst. (R AFR) E&amp;G],Input[Institution Name],A73)
+SUMIFS(Input[T. W. - Inst. (R AFR) Desg],Input[Institution Name],A73)</f>
        <v>0</v>
      </c>
      <c r="G73" s="124">
        <f>SUMIFS(Input[T. Exp. - Stat (R AFR) E&amp;G],Input[Institution Name],A73)
+SUMIFS(Input[T. Exp. - Stat (R AFR) Desg],Input[Institution Name],A73)</f>
        <v>-4609375</v>
      </c>
      <c r="H73" s="100">
        <f>SUMIFS(Input[T. Exp. - Inst. (R AFR) E&amp;G],Input[Institution Name],A73)
+SUMIFS(Input[T. Exp. - Inst. (R AFR) Desg],Input[Institution Name],A73)</f>
        <v>0</v>
      </c>
      <c r="I73" s="99">
        <f>SUMIFS(Input[T. Schlr E&amp;G],Input[Institution Name],A73)
+SUMIFS(Input[T. Schlr Desg],Input[Institution Name],A73)</f>
        <v>-19347331</v>
      </c>
      <c r="J73" s="101">
        <f t="shared" si="5"/>
        <v>85284807</v>
      </c>
      <c r="K73" s="110"/>
      <c r="L73" s="99">
        <f>SUMIFS(Input[Fees - Gross E&amp;G],Input[Institution Name],A73)
+SUMIFS(Input[Fees - Gross Desg],Input[Institution Name],A73)</f>
        <v>35053746</v>
      </c>
      <c r="M73" s="124">
        <f>SUMIFS(Input[F. W. - Stat (R AFR) E&amp;G],Input[Institution Name],A73)
+SUMIFS(Input[F. W. - Stat (R AFR) Desg],Input[Institution Name],A73)</f>
        <v>0</v>
      </c>
      <c r="N73" s="100">
        <f>SUMIFS(Input[F. W. - Inst. (R AFR) E&amp;G],Input[Institution Name],A73)
+SUMIFS(Input[F. W. - Inst. (R AFR) Desg],Input[Institution Name],A73)</f>
        <v>0</v>
      </c>
      <c r="O73" s="124">
        <f>SUMIFS(Input[F. Exp. - Stat (R AFR) E&amp;G],Input[Institution Name],A73)
+SUMIFS(Input[F. Exp. - Stat (R AFR) Desg],Input[Institution Name],A73)</f>
        <v>-1435429</v>
      </c>
      <c r="P73" s="100">
        <f>SUMIFS(Input[F. Exp. - Inst. (R AFR) E&amp;G],Input[Institution Name],A73)
+SUMIFS(Input[F. Exp. - Inst. (R AFR) Desg],Input[Institution Name],A73)</f>
        <v>0</v>
      </c>
      <c r="Q73" s="99">
        <f>SUMIFS(Input[Fee Schlr E&amp;G],Input[Institution Name],A73)
+SUMIFS(Input[Fee Schlr Desg],Input[Institution Name],A73)</f>
        <v>-5146711</v>
      </c>
      <c r="R73" s="101">
        <f t="shared" si="6"/>
        <v>28471606</v>
      </c>
      <c r="S73" s="110"/>
      <c r="T73" s="101">
        <f t="shared" si="7"/>
        <v>113756413</v>
      </c>
      <c r="U73" s="102"/>
    </row>
    <row r="74" spans="1:21" s="103" customFormat="1" ht="27" customHeight="1" x14ac:dyDescent="0.55000000000000004">
      <c r="A74" s="104" t="s">
        <v>82</v>
      </c>
      <c r="B74" s="105">
        <v>281</v>
      </c>
      <c r="C74" s="106">
        <v>3606</v>
      </c>
      <c r="D74" s="107">
        <f>SUMIFS(Input[T. - Gross E&amp;G],Input[Institution Name],A74)
+SUMIFS(Input[T. - Gross Desg],Input[Institution Name],A74)</f>
        <v>141701939</v>
      </c>
      <c r="E74" s="125">
        <f>SUMIFS(Input[T. W. - Stat (R AFR) E&amp;G],Input[Institution Name],A74)
+SUMIFS(Input[T. W. - Stat (R AFR) Desg],Input[Institution Name],A74)</f>
        <v>-3960217</v>
      </c>
      <c r="F74" s="108">
        <f>SUMIFS(Input[T. W. - Inst. (R AFR) E&amp;G],Input[Institution Name],A74)
+SUMIFS(Input[T. W. - Inst. (R AFR) Desg],Input[Institution Name],A74)</f>
        <v>0</v>
      </c>
      <c r="G74" s="125">
        <f>SUMIFS(Input[T. Exp. - Stat (R AFR) E&amp;G],Input[Institution Name],A74)
+SUMIFS(Input[T. Exp. - Stat (R AFR) Desg],Input[Institution Name],A74)</f>
        <v>-12151351</v>
      </c>
      <c r="H74" s="108">
        <f>SUMIFS(Input[T. Exp. - Inst. (R AFR) E&amp;G],Input[Institution Name],A74)
+SUMIFS(Input[T. Exp. - Inst. (R AFR) Desg],Input[Institution Name],A74)</f>
        <v>0</v>
      </c>
      <c r="I74" s="107">
        <f>SUMIFS(Input[T. Schlr E&amp;G],Input[Institution Name],A74)
+SUMIFS(Input[T. Schlr Desg],Input[Institution Name],A74)</f>
        <v>-54117718</v>
      </c>
      <c r="J74" s="109">
        <f t="shared" si="5"/>
        <v>71472653</v>
      </c>
      <c r="K74" s="110"/>
      <c r="L74" s="107">
        <f>SUMIFS(Input[Fees - Gross E&amp;G],Input[Institution Name],A74)
+SUMIFS(Input[Fees - Gross Desg],Input[Institution Name],A74)</f>
        <v>94241791</v>
      </c>
      <c r="M74" s="125">
        <f>SUMIFS(Input[F. W. - Stat (R AFR) E&amp;G],Input[Institution Name],A74)
+SUMIFS(Input[F. W. - Stat (R AFR) Desg],Input[Institution Name],A74)</f>
        <v>0</v>
      </c>
      <c r="N74" s="108">
        <f>SUMIFS(Input[F. W. - Inst. (R AFR) E&amp;G],Input[Institution Name],A74)
+SUMIFS(Input[F. W. - Inst. (R AFR) Desg],Input[Institution Name],A74)</f>
        <v>0</v>
      </c>
      <c r="O74" s="125">
        <f>SUMIFS(Input[F. Exp. - Stat (R AFR) E&amp;G],Input[Institution Name],A74)
+SUMIFS(Input[F. Exp. - Stat (R AFR) Desg],Input[Institution Name],A74)</f>
        <v>-6906741</v>
      </c>
      <c r="P74" s="108">
        <f>SUMIFS(Input[F. Exp. - Inst. (R AFR) E&amp;G],Input[Institution Name],A74)
+SUMIFS(Input[F. Exp. - Inst. (R AFR) Desg],Input[Institution Name],A74)</f>
        <v>0</v>
      </c>
      <c r="Q74" s="107">
        <f>SUMIFS(Input[Fee Schlr E&amp;G],Input[Institution Name],A74)
+SUMIFS(Input[Fee Schlr Desg],Input[Institution Name],A74)</f>
        <v>0</v>
      </c>
      <c r="R74" s="109">
        <f t="shared" si="6"/>
        <v>87335050</v>
      </c>
      <c r="S74" s="110"/>
      <c r="T74" s="109">
        <f t="shared" si="7"/>
        <v>158807703</v>
      </c>
      <c r="U74" s="102"/>
    </row>
    <row r="75" spans="1:21" s="103" customFormat="1" ht="27" customHeight="1" x14ac:dyDescent="0.55000000000000004">
      <c r="A75" s="96" t="s">
        <v>83</v>
      </c>
      <c r="B75" s="97">
        <v>290</v>
      </c>
      <c r="C75" s="98">
        <v>3615</v>
      </c>
      <c r="D75" s="99">
        <f>SUMIFS(Input[T. - Gross E&amp;G],Input[Institution Name],A75)
+SUMIFS(Input[T. - Gross Desg],Input[Institution Name],A75)</f>
        <v>318823060</v>
      </c>
      <c r="E75" s="124">
        <f>SUMIFS(Input[T. W. - Stat (R AFR) E&amp;G],Input[Institution Name],A75)
+SUMIFS(Input[T. W. - Stat (R AFR) Desg],Input[Institution Name],A75)</f>
        <v>0</v>
      </c>
      <c r="F75" s="100">
        <f>SUMIFS(Input[T. W. - Inst. (R AFR) E&amp;G],Input[Institution Name],A75)
+SUMIFS(Input[T. W. - Inst. (R AFR) Desg],Input[Institution Name],A75)</f>
        <v>0</v>
      </c>
      <c r="G75" s="124">
        <f>SUMIFS(Input[T. Exp. - Stat (R AFR) E&amp;G],Input[Institution Name],A75)
+SUMIFS(Input[T. Exp. - Stat (R AFR) Desg],Input[Institution Name],A75)</f>
        <v>-20438407</v>
      </c>
      <c r="H75" s="100">
        <f>SUMIFS(Input[T. Exp. - Inst. (R AFR) E&amp;G],Input[Institution Name],A75)
+SUMIFS(Input[T. Exp. - Inst. (R AFR) Desg],Input[Institution Name],A75)</f>
        <v>0</v>
      </c>
      <c r="I75" s="99">
        <f>SUMIFS(Input[T. Schlr E&amp;G],Input[Institution Name],A75)
+SUMIFS(Input[T. Schlr Desg],Input[Institution Name],A75)</f>
        <v>-95382921</v>
      </c>
      <c r="J75" s="101">
        <f t="shared" si="5"/>
        <v>203001732</v>
      </c>
      <c r="K75" s="110"/>
      <c r="L75" s="99">
        <f>SUMIFS(Input[Fees - Gross E&amp;G],Input[Institution Name],A75)
+SUMIFS(Input[Fees - Gross Desg],Input[Institution Name],A75)</f>
        <v>79633131</v>
      </c>
      <c r="M75" s="124">
        <f>SUMIFS(Input[F. W. - Stat (R AFR) E&amp;G],Input[Institution Name],A75)
+SUMIFS(Input[F. W. - Stat (R AFR) Desg],Input[Institution Name],A75)</f>
        <v>0</v>
      </c>
      <c r="N75" s="100">
        <f>SUMIFS(Input[F. W. - Inst. (R AFR) E&amp;G],Input[Institution Name],A75)
+SUMIFS(Input[F. W. - Inst. (R AFR) Desg],Input[Institution Name],A75)</f>
        <v>0</v>
      </c>
      <c r="O75" s="124">
        <f>SUMIFS(Input[F. Exp. - Stat (R AFR) E&amp;G],Input[Institution Name],A75)
+SUMIFS(Input[F. Exp. - Stat (R AFR) Desg],Input[Institution Name],A75)</f>
        <v>-4406680</v>
      </c>
      <c r="P75" s="100">
        <f>SUMIFS(Input[F. Exp. - Inst. (R AFR) E&amp;G],Input[Institution Name],A75)
+SUMIFS(Input[F. Exp. - Inst. (R AFR) Desg],Input[Institution Name],A75)</f>
        <v>0</v>
      </c>
      <c r="Q75" s="99">
        <f>SUMIFS(Input[Fee Schlr E&amp;G],Input[Institution Name],A75)
+SUMIFS(Input[Fee Schlr Desg],Input[Institution Name],A75)</f>
        <v>-24793306</v>
      </c>
      <c r="R75" s="101">
        <f t="shared" si="6"/>
        <v>50433145</v>
      </c>
      <c r="S75" s="110"/>
      <c r="T75" s="101">
        <f t="shared" si="7"/>
        <v>253434877</v>
      </c>
      <c r="U75" s="102"/>
    </row>
    <row r="76" spans="1:21" s="103" customFormat="1" ht="27" customHeight="1" x14ac:dyDescent="0.55000000000000004">
      <c r="A76" s="104" t="s">
        <v>84</v>
      </c>
      <c r="B76" s="105">
        <v>300</v>
      </c>
      <c r="C76" s="106">
        <v>3625</v>
      </c>
      <c r="D76" s="107">
        <f>SUMIFS(Input[T. - Gross E&amp;G],Input[Institution Name],A76)
+SUMIFS(Input[T. - Gross Desg],Input[Institution Name],A76)</f>
        <v>9665404</v>
      </c>
      <c r="E76" s="125">
        <f>SUMIFS(Input[T. W. - Stat (R AFR) E&amp;G],Input[Institution Name],A76)
+SUMIFS(Input[T. W. - Stat (R AFR) Desg],Input[Institution Name],A76)</f>
        <v>-147067</v>
      </c>
      <c r="F76" s="108">
        <f>SUMIFS(Input[T. W. - Inst. (R AFR) E&amp;G],Input[Institution Name],A76)
+SUMIFS(Input[T. W. - Inst. (R AFR) Desg],Input[Institution Name],A76)</f>
        <v>0</v>
      </c>
      <c r="G76" s="125">
        <f>SUMIFS(Input[T. Exp. - Stat (R AFR) E&amp;G],Input[Institution Name],A76)
+SUMIFS(Input[T. Exp. - Stat (R AFR) Desg],Input[Institution Name],A76)</f>
        <v>-562514</v>
      </c>
      <c r="H76" s="108">
        <f>SUMIFS(Input[T. Exp. - Inst. (R AFR) E&amp;G],Input[Institution Name],A76)
+SUMIFS(Input[T. Exp. - Inst. (R AFR) Desg],Input[Institution Name],A76)</f>
        <v>0</v>
      </c>
      <c r="I76" s="107">
        <f>SUMIFS(Input[T. Schlr E&amp;G],Input[Institution Name],A76)
+SUMIFS(Input[T. Schlr Desg],Input[Institution Name],A76)</f>
        <v>-2832495</v>
      </c>
      <c r="J76" s="109">
        <f t="shared" si="5"/>
        <v>6123328</v>
      </c>
      <c r="K76" s="110"/>
      <c r="L76" s="107">
        <f>SUMIFS(Input[Fees - Gross E&amp;G],Input[Institution Name],A76)
+SUMIFS(Input[Fees - Gross Desg],Input[Institution Name],A76)</f>
        <v>4762856</v>
      </c>
      <c r="M76" s="125">
        <f>SUMIFS(Input[F. W. - Stat (R AFR) E&amp;G],Input[Institution Name],A76)
+SUMIFS(Input[F. W. - Stat (R AFR) Desg],Input[Institution Name],A76)</f>
        <v>-106816</v>
      </c>
      <c r="N76" s="108">
        <f>SUMIFS(Input[F. W. - Inst. (R AFR) E&amp;G],Input[Institution Name],A76)
+SUMIFS(Input[F. W. - Inst. (R AFR) Desg],Input[Institution Name],A76)</f>
        <v>0</v>
      </c>
      <c r="O76" s="125">
        <f>SUMIFS(Input[F. Exp. - Stat (R AFR) E&amp;G],Input[Institution Name],A76)
+SUMIFS(Input[F. Exp. - Stat (R AFR) Desg],Input[Institution Name],A76)</f>
        <v>-450936</v>
      </c>
      <c r="P76" s="108">
        <f>SUMIFS(Input[F. Exp. - Inst. (R AFR) E&amp;G],Input[Institution Name],A76)
+SUMIFS(Input[F. Exp. - Inst. (R AFR) Desg],Input[Institution Name],A76)</f>
        <v>0</v>
      </c>
      <c r="Q76" s="107">
        <f>SUMIFS(Input[Fee Schlr E&amp;G],Input[Institution Name],A76)
+SUMIFS(Input[Fee Schlr Desg],Input[Institution Name],A76)</f>
        <v>0</v>
      </c>
      <c r="R76" s="109">
        <f t="shared" si="6"/>
        <v>4205104</v>
      </c>
      <c r="S76" s="110"/>
      <c r="T76" s="109">
        <f t="shared" si="7"/>
        <v>10328432</v>
      </c>
      <c r="U76" s="102"/>
    </row>
    <row r="77" spans="1:21" s="103" customFormat="1" ht="27" customHeight="1" x14ac:dyDescent="0.55000000000000004">
      <c r="A77" s="96" t="s">
        <v>85</v>
      </c>
      <c r="B77" s="97">
        <v>310</v>
      </c>
      <c r="C77" s="98">
        <v>3644</v>
      </c>
      <c r="D77" s="99">
        <f>SUMIFS(Input[T. - Gross E&amp;G],Input[Institution Name],A77)
+SUMIFS(Input[T. - Gross Desg],Input[Institution Name],A77)</f>
        <v>362945285</v>
      </c>
      <c r="E77" s="124">
        <f>SUMIFS(Input[T. W. - Stat (R AFR) E&amp;G],Input[Institution Name],A77)
+SUMIFS(Input[T. W. - Stat (R AFR) Desg],Input[Institution Name],A77)</f>
        <v>0</v>
      </c>
      <c r="F77" s="100">
        <f>SUMIFS(Input[T. W. - Inst. (R AFR) E&amp;G],Input[Institution Name],A77)
+SUMIFS(Input[T. W. - Inst. (R AFR) Desg],Input[Institution Name],A77)</f>
        <v>0</v>
      </c>
      <c r="G77" s="124">
        <f>SUMIFS(Input[T. Exp. - Stat (R AFR) E&amp;G],Input[Institution Name],A77)
+SUMIFS(Input[T. Exp. - Stat (R AFR) Desg],Input[Institution Name],A77)</f>
        <v>-20279753</v>
      </c>
      <c r="H77" s="100">
        <f>SUMIFS(Input[T. Exp. - Inst. (R AFR) E&amp;G],Input[Institution Name],A77)
+SUMIFS(Input[T. Exp. - Inst. (R AFR) Desg],Input[Institution Name],A77)</f>
        <v>0</v>
      </c>
      <c r="I77" s="99">
        <f>SUMIFS(Input[T. Schlr E&amp;G],Input[Institution Name],A77)
+SUMIFS(Input[T. Schlr Desg],Input[Institution Name],A77)</f>
        <v>-74324023</v>
      </c>
      <c r="J77" s="101">
        <f t="shared" si="5"/>
        <v>268341509</v>
      </c>
      <c r="K77" s="110"/>
      <c r="L77" s="99">
        <f>SUMIFS(Input[Fees - Gross E&amp;G],Input[Institution Name],A77)
+SUMIFS(Input[Fees - Gross Desg],Input[Institution Name],A77)</f>
        <v>163363274</v>
      </c>
      <c r="M77" s="124">
        <f>SUMIFS(Input[F. W. - Stat (R AFR) E&amp;G],Input[Institution Name],A77)
+SUMIFS(Input[F. W. - Stat (R AFR) Desg],Input[Institution Name],A77)</f>
        <v>0</v>
      </c>
      <c r="N77" s="100">
        <f>SUMIFS(Input[F. W. - Inst. (R AFR) E&amp;G],Input[Institution Name],A77)
+SUMIFS(Input[F. W. - Inst. (R AFR) Desg],Input[Institution Name],A77)</f>
        <v>0</v>
      </c>
      <c r="O77" s="124">
        <f>SUMIFS(Input[F. Exp. - Stat (R AFR) E&amp;G],Input[Institution Name],A77)
+SUMIFS(Input[F. Exp. - Stat (R AFR) Desg],Input[Institution Name],A77)</f>
        <v>-9201046</v>
      </c>
      <c r="P77" s="100">
        <f>SUMIFS(Input[F. Exp. - Inst. (R AFR) E&amp;G],Input[Institution Name],A77)
+SUMIFS(Input[F. Exp. - Inst. (R AFR) Desg],Input[Institution Name],A77)</f>
        <v>0</v>
      </c>
      <c r="Q77" s="99">
        <f>SUMIFS(Input[Fee Schlr E&amp;G],Input[Institution Name],A77)
+SUMIFS(Input[Fee Schlr Desg],Input[Institution Name],A77)</f>
        <v>-33393094</v>
      </c>
      <c r="R77" s="101">
        <f t="shared" si="6"/>
        <v>120769134</v>
      </c>
      <c r="S77" s="110"/>
      <c r="T77" s="101">
        <f t="shared" si="7"/>
        <v>389110643</v>
      </c>
      <c r="U77" s="102"/>
    </row>
    <row r="78" spans="1:21" s="103" customFormat="1" ht="27" customHeight="1" x14ac:dyDescent="0.55000000000000004">
      <c r="A78" s="104" t="s">
        <v>86</v>
      </c>
      <c r="B78" s="105">
        <v>320</v>
      </c>
      <c r="C78" s="106">
        <v>3541</v>
      </c>
      <c r="D78" s="107">
        <f>SUMIFS(Input[T. - Gross E&amp;G],Input[Institution Name],A78)
+SUMIFS(Input[T. - Gross Desg],Input[Institution Name],A78)</f>
        <v>46843900</v>
      </c>
      <c r="E78" s="125">
        <f>SUMIFS(Input[T. W. - Stat (R AFR) E&amp;G],Input[Institution Name],A78)
+SUMIFS(Input[T. W. - Stat (R AFR) Desg],Input[Institution Name],A78)</f>
        <v>0</v>
      </c>
      <c r="F78" s="108">
        <f>SUMIFS(Input[T. W. - Inst. (R AFR) E&amp;G],Input[Institution Name],A78)
+SUMIFS(Input[T. W. - Inst. (R AFR) Desg],Input[Institution Name],A78)</f>
        <v>0</v>
      </c>
      <c r="G78" s="125">
        <f>SUMIFS(Input[T. Exp. - Stat (R AFR) E&amp;G],Input[Institution Name],A78)
+SUMIFS(Input[T. Exp. - Stat (R AFR) Desg],Input[Institution Name],A78)</f>
        <v>-8029895</v>
      </c>
      <c r="H78" s="108">
        <f>SUMIFS(Input[T. Exp. - Inst. (R AFR) E&amp;G],Input[Institution Name],A78)
+SUMIFS(Input[T. Exp. - Inst. (R AFR) Desg],Input[Institution Name],A78)</f>
        <v>-287117</v>
      </c>
      <c r="I78" s="107">
        <f>SUMIFS(Input[T. Schlr E&amp;G],Input[Institution Name],A78)
+SUMIFS(Input[T. Schlr Desg],Input[Institution Name],A78)</f>
        <v>-12816514</v>
      </c>
      <c r="J78" s="109">
        <f t="shared" si="5"/>
        <v>25710374</v>
      </c>
      <c r="K78" s="110"/>
      <c r="L78" s="107">
        <f>SUMIFS(Input[Fees - Gross E&amp;G],Input[Institution Name],A78)
+SUMIFS(Input[Fees - Gross Desg],Input[Institution Name],A78)</f>
        <v>27132822</v>
      </c>
      <c r="M78" s="125">
        <f>SUMIFS(Input[F. W. - Stat (R AFR) E&amp;G],Input[Institution Name],A78)
+SUMIFS(Input[F. W. - Stat (R AFR) Desg],Input[Institution Name],A78)</f>
        <v>0</v>
      </c>
      <c r="N78" s="108">
        <f>SUMIFS(Input[F. W. - Inst. (R AFR) E&amp;G],Input[Institution Name],A78)
+SUMIFS(Input[F. W. - Inst. (R AFR) Desg],Input[Institution Name],A78)</f>
        <v>0</v>
      </c>
      <c r="O78" s="125">
        <f>SUMIFS(Input[F. Exp. - Stat (R AFR) E&amp;G],Input[Institution Name],A78)
+SUMIFS(Input[F. Exp. - Stat (R AFR) Desg],Input[Institution Name],A78)</f>
        <v>-5398757</v>
      </c>
      <c r="P78" s="108">
        <f>SUMIFS(Input[F. Exp. - Inst. (R AFR) E&amp;G],Input[Institution Name],A78)
+SUMIFS(Input[F. Exp. - Inst. (R AFR) Desg],Input[Institution Name],A78)</f>
        <v>-37993</v>
      </c>
      <c r="Q78" s="107">
        <f>SUMIFS(Input[Fee Schlr E&amp;G],Input[Institution Name],A78)
+SUMIFS(Input[Fee Schlr Desg],Input[Institution Name],A78)</f>
        <v>-7217505</v>
      </c>
      <c r="R78" s="109">
        <f t="shared" si="6"/>
        <v>14478567</v>
      </c>
      <c r="S78" s="110"/>
      <c r="T78" s="109">
        <f t="shared" si="7"/>
        <v>40188941</v>
      </c>
      <c r="U78" s="102"/>
    </row>
    <row r="79" spans="1:21" s="103" customFormat="1" ht="27" customHeight="1" x14ac:dyDescent="0.55000000000000004">
      <c r="A79" s="96" t="s">
        <v>87</v>
      </c>
      <c r="B79" s="97">
        <v>330</v>
      </c>
      <c r="C79" s="98">
        <v>3594</v>
      </c>
      <c r="D79" s="99">
        <f>SUMIFS(Input[T. - Gross E&amp;G],Input[Institution Name],A79)
+SUMIFS(Input[T. - Gross Desg],Input[Institution Name],A79)</f>
        <v>426787024</v>
      </c>
      <c r="E79" s="124">
        <f>SUMIFS(Input[T. W. - Stat (R AFR) E&amp;G],Input[Institution Name],A79)
+SUMIFS(Input[T. W. - Stat (R AFR) Desg],Input[Institution Name],A79)</f>
        <v>0</v>
      </c>
      <c r="F79" s="100">
        <f>SUMIFS(Input[T. W. - Inst. (R AFR) E&amp;G],Input[Institution Name],A79)
+SUMIFS(Input[T. W. - Inst. (R AFR) Desg],Input[Institution Name],A79)</f>
        <v>0</v>
      </c>
      <c r="G79" s="124">
        <f>SUMIFS(Input[T. Exp. - Stat (R AFR) E&amp;G],Input[Institution Name],A79)
+SUMIFS(Input[T. Exp. - Stat (R AFR) Desg],Input[Institution Name],A79)</f>
        <v>0</v>
      </c>
      <c r="H79" s="100">
        <f>SUMIFS(Input[T. Exp. - Inst. (R AFR) E&amp;G],Input[Institution Name],A79)
+SUMIFS(Input[T. Exp. - Inst. (R AFR) Desg],Input[Institution Name],A79)</f>
        <v>0</v>
      </c>
      <c r="I79" s="99">
        <f>SUMIFS(Input[T. Schlr E&amp;G],Input[Institution Name],A79)
+SUMIFS(Input[T. Schlr Desg],Input[Institution Name],A79)</f>
        <v>-43181125</v>
      </c>
      <c r="J79" s="101">
        <f t="shared" si="5"/>
        <v>383605899</v>
      </c>
      <c r="K79" s="110"/>
      <c r="L79" s="99">
        <f>SUMIFS(Input[Fees - Gross E&amp;G],Input[Institution Name],A79)
+SUMIFS(Input[Fees - Gross Desg],Input[Institution Name],A79)</f>
        <v>152694314</v>
      </c>
      <c r="M79" s="124">
        <f>SUMIFS(Input[F. W. - Stat (R AFR) E&amp;G],Input[Institution Name],A79)
+SUMIFS(Input[F. W. - Stat (R AFR) Desg],Input[Institution Name],A79)</f>
        <v>0</v>
      </c>
      <c r="N79" s="100">
        <f>SUMIFS(Input[F. W. - Inst. (R AFR) E&amp;G],Input[Institution Name],A79)
+SUMIFS(Input[F. W. - Inst. (R AFR) Desg],Input[Institution Name],A79)</f>
        <v>0</v>
      </c>
      <c r="O79" s="124">
        <f>SUMIFS(Input[F. Exp. - Stat (R AFR) E&amp;G],Input[Institution Name],A79)
+SUMIFS(Input[F. Exp. - Stat (R AFR) Desg],Input[Institution Name],A79)</f>
        <v>0</v>
      </c>
      <c r="P79" s="100">
        <f>SUMIFS(Input[F. Exp. - Inst. (R AFR) E&amp;G],Input[Institution Name],A79)
+SUMIFS(Input[F. Exp. - Inst. (R AFR) Desg],Input[Institution Name],A79)</f>
        <v>0</v>
      </c>
      <c r="Q79" s="99">
        <f>SUMIFS(Input[Fee Schlr E&amp;G],Input[Institution Name],A79)
+SUMIFS(Input[Fee Schlr Desg],Input[Institution Name],A79)</f>
        <v>-104272624</v>
      </c>
      <c r="R79" s="101">
        <f t="shared" si="6"/>
        <v>48421690</v>
      </c>
      <c r="S79" s="110"/>
      <c r="T79" s="101">
        <f t="shared" si="7"/>
        <v>432027589</v>
      </c>
      <c r="U79" s="102"/>
    </row>
    <row r="80" spans="1:21" s="103" customFormat="1" ht="27" customHeight="1" x14ac:dyDescent="0.55000000000000004">
      <c r="A80" s="104" t="s">
        <v>88</v>
      </c>
      <c r="B80" s="105">
        <v>333</v>
      </c>
      <c r="C80" s="106">
        <v>42421</v>
      </c>
      <c r="D80" s="107">
        <f>SUMIFS(Input[T. - Gross E&amp;G],Input[Institution Name],A80)
+SUMIFS(Input[T. - Gross Desg],Input[Institution Name],A80)</f>
        <v>29066968</v>
      </c>
      <c r="E80" s="125">
        <f>SUMIFS(Input[T. W. - Stat (R AFR) E&amp;G],Input[Institution Name],A80)
+SUMIFS(Input[T. W. - Stat (R AFR) Desg],Input[Institution Name],A80)</f>
        <v>0</v>
      </c>
      <c r="F80" s="108">
        <f>SUMIFS(Input[T. W. - Inst. (R AFR) E&amp;G],Input[Institution Name],A80)
+SUMIFS(Input[T. W. - Inst. (R AFR) Desg],Input[Institution Name],A80)</f>
        <v>0</v>
      </c>
      <c r="G80" s="125">
        <f>SUMIFS(Input[T. Exp. - Stat (R AFR) E&amp;G],Input[Institution Name],A80)
+SUMIFS(Input[T. Exp. - Stat (R AFR) Desg],Input[Institution Name],A80)</f>
        <v>0</v>
      </c>
      <c r="H80" s="108">
        <f>SUMIFS(Input[T. Exp. - Inst. (R AFR) E&amp;G],Input[Institution Name],A80)
+SUMIFS(Input[T. Exp. - Inst. (R AFR) Desg],Input[Institution Name],A80)</f>
        <v>0</v>
      </c>
      <c r="I80" s="107">
        <f>SUMIFS(Input[T. Schlr E&amp;G],Input[Institution Name],A80)
+SUMIFS(Input[T. Schlr Desg],Input[Institution Name],A80)</f>
        <v>-6438236</v>
      </c>
      <c r="J80" s="109">
        <f t="shared" si="5"/>
        <v>22628732</v>
      </c>
      <c r="K80" s="110"/>
      <c r="L80" s="107">
        <f>SUMIFS(Input[Fees - Gross E&amp;G],Input[Institution Name],A80)
+SUMIFS(Input[Fees - Gross Desg],Input[Institution Name],A80)</f>
        <v>6289774</v>
      </c>
      <c r="M80" s="125">
        <f>SUMIFS(Input[F. W. - Stat (R AFR) E&amp;G],Input[Institution Name],A80)
+SUMIFS(Input[F. W. - Stat (R AFR) Desg],Input[Institution Name],A80)</f>
        <v>0</v>
      </c>
      <c r="N80" s="108">
        <f>SUMIFS(Input[F. W. - Inst. (R AFR) E&amp;G],Input[Institution Name],A80)
+SUMIFS(Input[F. W. - Inst. (R AFR) Desg],Input[Institution Name],A80)</f>
        <v>0</v>
      </c>
      <c r="O80" s="125">
        <f>SUMIFS(Input[F. Exp. - Stat (R AFR) E&amp;G],Input[Institution Name],A80)
+SUMIFS(Input[F. Exp. - Stat (R AFR) Desg],Input[Institution Name],A80)</f>
        <v>0</v>
      </c>
      <c r="P80" s="108">
        <f>SUMIFS(Input[F. Exp. - Inst. (R AFR) E&amp;G],Input[Institution Name],A80)
+SUMIFS(Input[F. Exp. - Inst. (R AFR) Desg],Input[Institution Name],A80)</f>
        <v>0</v>
      </c>
      <c r="Q80" s="107">
        <f>SUMIFS(Input[Fee Schlr E&amp;G],Input[Institution Name],A80)
+SUMIFS(Input[Fee Schlr Desg],Input[Institution Name],A80)</f>
        <v>0</v>
      </c>
      <c r="R80" s="109">
        <f t="shared" si="6"/>
        <v>6289774</v>
      </c>
      <c r="S80" s="110"/>
      <c r="T80" s="109">
        <f t="shared" si="7"/>
        <v>28918506</v>
      </c>
      <c r="U80" s="102"/>
    </row>
    <row r="81" spans="1:21" s="103" customFormat="1" ht="27" customHeight="1" x14ac:dyDescent="0.55000000000000004">
      <c r="A81" s="96" t="s">
        <v>89</v>
      </c>
      <c r="B81" s="97">
        <v>340</v>
      </c>
      <c r="C81" s="98">
        <v>3592</v>
      </c>
      <c r="D81" s="99">
        <f>SUMIFS(Input[T. - Gross E&amp;G],Input[Institution Name],A81)
+SUMIFS(Input[T. - Gross Desg],Input[Institution Name],A81)</f>
        <v>26106907</v>
      </c>
      <c r="E81" s="124">
        <f>SUMIFS(Input[T. W. - Stat (R AFR) E&amp;G],Input[Institution Name],A81)
+SUMIFS(Input[T. W. - Stat (R AFR) Desg],Input[Institution Name],A81)</f>
        <v>0</v>
      </c>
      <c r="F81" s="100">
        <f>SUMIFS(Input[T. W. - Inst. (R AFR) E&amp;G],Input[Institution Name],A81)
+SUMIFS(Input[T. W. - Inst. (R AFR) Desg],Input[Institution Name],A81)</f>
        <v>0</v>
      </c>
      <c r="G81" s="124">
        <f>SUMIFS(Input[T. Exp. - Stat (R AFR) E&amp;G],Input[Institution Name],A81)
+SUMIFS(Input[T. Exp. - Stat (R AFR) Desg],Input[Institution Name],A81)</f>
        <v>-1836872</v>
      </c>
      <c r="H81" s="100">
        <f>SUMIFS(Input[T. Exp. - Inst. (R AFR) E&amp;G],Input[Institution Name],A81)
+SUMIFS(Input[T. Exp. - Inst. (R AFR) Desg],Input[Institution Name],A81)</f>
        <v>-57190</v>
      </c>
      <c r="I81" s="99">
        <f>SUMIFS(Input[T. Schlr E&amp;G],Input[Institution Name],A81)
+SUMIFS(Input[T. Schlr Desg],Input[Institution Name],A81)</f>
        <v>-8143549</v>
      </c>
      <c r="J81" s="101">
        <f t="shared" si="5"/>
        <v>16069296</v>
      </c>
      <c r="K81" s="110"/>
      <c r="L81" s="99">
        <f>SUMIFS(Input[Fees - Gross E&amp;G],Input[Institution Name],A81)
+SUMIFS(Input[Fees - Gross Desg],Input[Institution Name],A81)</f>
        <v>24372800</v>
      </c>
      <c r="M81" s="124">
        <f>SUMIFS(Input[F. W. - Stat (R AFR) E&amp;G],Input[Institution Name],A81)
+SUMIFS(Input[F. W. - Stat (R AFR) Desg],Input[Institution Name],A81)</f>
        <v>0</v>
      </c>
      <c r="N81" s="100">
        <f>SUMIFS(Input[F. W. - Inst. (R AFR) E&amp;G],Input[Institution Name],A81)
+SUMIFS(Input[F. W. - Inst. (R AFR) Desg],Input[Institution Name],A81)</f>
        <v>0</v>
      </c>
      <c r="O81" s="124">
        <f>SUMIFS(Input[F. Exp. - Stat (R AFR) E&amp;G],Input[Institution Name],A81)
+SUMIFS(Input[F. Exp. - Stat (R AFR) Desg],Input[Institution Name],A81)</f>
        <v>-1716365</v>
      </c>
      <c r="P81" s="100">
        <f>SUMIFS(Input[F. Exp. - Inst. (R AFR) E&amp;G],Input[Institution Name],A81)
+SUMIFS(Input[F. Exp. - Inst. (R AFR) Desg],Input[Institution Name],A81)</f>
        <v>-1059155</v>
      </c>
      <c r="Q81" s="99">
        <f>SUMIFS(Input[Fee Schlr E&amp;G],Input[Institution Name],A81)
+SUMIFS(Input[Fee Schlr Desg],Input[Institution Name],A81)</f>
        <v>-6541968</v>
      </c>
      <c r="R81" s="101">
        <f t="shared" si="6"/>
        <v>15055312</v>
      </c>
      <c r="S81" s="110"/>
      <c r="T81" s="101">
        <f t="shared" si="7"/>
        <v>31124608</v>
      </c>
      <c r="U81" s="102"/>
    </row>
    <row r="82" spans="1:21" s="103" customFormat="1" ht="27" customHeight="1" x14ac:dyDescent="0.55000000000000004">
      <c r="A82" s="104" t="s">
        <v>90</v>
      </c>
      <c r="B82" s="105">
        <v>350</v>
      </c>
      <c r="C82" s="106">
        <v>3624</v>
      </c>
      <c r="D82" s="107">
        <f>SUMIFS(Input[T. - Gross E&amp;G],Input[Institution Name],A82)
+SUMIFS(Input[T. - Gross Desg],Input[Institution Name],A82)</f>
        <v>79295529</v>
      </c>
      <c r="E82" s="125">
        <f>SUMIFS(Input[T. W. - Stat (R AFR) E&amp;G],Input[Institution Name],A82)
+SUMIFS(Input[T. W. - Stat (R AFR) Desg],Input[Institution Name],A82)</f>
        <v>0</v>
      </c>
      <c r="F82" s="108">
        <f>SUMIFS(Input[T. W. - Inst. (R AFR) E&amp;G],Input[Institution Name],A82)
+SUMIFS(Input[T. W. - Inst. (R AFR) Desg],Input[Institution Name],A82)</f>
        <v>0</v>
      </c>
      <c r="G82" s="125">
        <f>SUMIFS(Input[T. Exp. - Stat (R AFR) E&amp;G],Input[Institution Name],A82)
+SUMIFS(Input[T. Exp. - Stat (R AFR) Desg],Input[Institution Name],A82)</f>
        <v>-7285999</v>
      </c>
      <c r="H82" s="108">
        <f>SUMIFS(Input[T. Exp. - Inst. (R AFR) E&amp;G],Input[Institution Name],A82)
+SUMIFS(Input[T. Exp. - Inst. (R AFR) Desg],Input[Institution Name],A82)</f>
        <v>0</v>
      </c>
      <c r="I82" s="107">
        <f>SUMIFS(Input[T. Schlr E&amp;G],Input[Institution Name],A82)
+SUMIFS(Input[T. Schlr Desg],Input[Institution Name],A82)</f>
        <v>-47600425</v>
      </c>
      <c r="J82" s="109">
        <f t="shared" si="5"/>
        <v>24409105</v>
      </c>
      <c r="K82" s="110"/>
      <c r="L82" s="107">
        <f>SUMIFS(Input[Fees - Gross E&amp;G],Input[Institution Name],A82)
+SUMIFS(Input[Fees - Gross Desg],Input[Institution Name],A82)</f>
        <v>30146666</v>
      </c>
      <c r="M82" s="125">
        <f>SUMIFS(Input[F. W. - Stat (R AFR) E&amp;G],Input[Institution Name],A82)
+SUMIFS(Input[F. W. - Stat (R AFR) Desg],Input[Institution Name],A82)</f>
        <v>0</v>
      </c>
      <c r="N82" s="108">
        <f>SUMIFS(Input[F. W. - Inst. (R AFR) E&amp;G],Input[Institution Name],A82)
+SUMIFS(Input[F. W. - Inst. (R AFR) Desg],Input[Institution Name],A82)</f>
        <v>0</v>
      </c>
      <c r="O82" s="125">
        <f>SUMIFS(Input[F. Exp. - Stat (R AFR) E&amp;G],Input[Institution Name],A82)
+SUMIFS(Input[F. Exp. - Stat (R AFR) Desg],Input[Institution Name],A82)</f>
        <v>-2209559</v>
      </c>
      <c r="P82" s="108">
        <f>SUMIFS(Input[F. Exp. - Inst. (R AFR) E&amp;G],Input[Institution Name],A82)
+SUMIFS(Input[F. Exp. - Inst. (R AFR) Desg],Input[Institution Name],A82)</f>
        <v>0</v>
      </c>
      <c r="Q82" s="107">
        <f>SUMIFS(Input[Fee Schlr E&amp;G],Input[Institution Name],A82)
+SUMIFS(Input[Fee Schlr Desg],Input[Institution Name],A82)</f>
        <v>-261281</v>
      </c>
      <c r="R82" s="109">
        <f t="shared" si="6"/>
        <v>27675826</v>
      </c>
      <c r="S82" s="110"/>
      <c r="T82" s="109">
        <f t="shared" si="7"/>
        <v>52084931</v>
      </c>
      <c r="U82" s="102"/>
    </row>
    <row r="83" spans="1:21" s="103" customFormat="1" ht="27" customHeight="1" x14ac:dyDescent="0.55000000000000004">
      <c r="A83" s="96" t="s">
        <v>91</v>
      </c>
      <c r="B83" s="97">
        <v>360</v>
      </c>
      <c r="C83" s="98">
        <v>3642</v>
      </c>
      <c r="D83" s="99">
        <f>SUMIFS(Input[T. - Gross E&amp;G],Input[Institution Name],A83)
+SUMIFS(Input[T. - Gross Desg],Input[Institution Name],A83)</f>
        <v>95640419</v>
      </c>
      <c r="E83" s="124">
        <f>SUMIFS(Input[T. W. - Stat (R AFR) E&amp;G],Input[Institution Name],A83)
+SUMIFS(Input[T. W. - Stat (R AFR) Desg],Input[Institution Name],A83)</f>
        <v>-5963029</v>
      </c>
      <c r="F83" s="100">
        <f>SUMIFS(Input[T. W. - Inst. (R AFR) E&amp;G],Input[Institution Name],A83)
+SUMIFS(Input[T. W. - Inst. (R AFR) Desg],Input[Institution Name],A83)</f>
        <v>0</v>
      </c>
      <c r="G83" s="124">
        <f>SUMIFS(Input[T. Exp. - Stat (R AFR) E&amp;G],Input[Institution Name],A83)
+SUMIFS(Input[T. Exp. - Stat (R AFR) Desg],Input[Institution Name],A83)</f>
        <v>-4097886</v>
      </c>
      <c r="H83" s="100">
        <f>SUMIFS(Input[T. Exp. - Inst. (R AFR) E&amp;G],Input[Institution Name],A83)
+SUMIFS(Input[T. Exp. - Inst. (R AFR) Desg],Input[Institution Name],A83)</f>
        <v>0</v>
      </c>
      <c r="I83" s="99">
        <f>SUMIFS(Input[T. Schlr E&amp;G],Input[Institution Name],A83)
+SUMIFS(Input[T. Schlr Desg],Input[Institution Name],A83)</f>
        <v>0</v>
      </c>
      <c r="J83" s="101">
        <f t="shared" si="5"/>
        <v>85579504</v>
      </c>
      <c r="K83" s="110"/>
      <c r="L83" s="99">
        <f>SUMIFS(Input[Fees - Gross E&amp;G],Input[Institution Name],A83)
+SUMIFS(Input[Fees - Gross Desg],Input[Institution Name],A83)</f>
        <v>-34552078</v>
      </c>
      <c r="M83" s="124">
        <f>SUMIFS(Input[F. W. - Stat (R AFR) E&amp;G],Input[Institution Name],A83)
+SUMIFS(Input[F. W. - Stat (R AFR) Desg],Input[Institution Name],A83)</f>
        <v>0</v>
      </c>
      <c r="N83" s="100">
        <f>SUMIFS(Input[F. W. - Inst. (R AFR) E&amp;G],Input[Institution Name],A83)
+SUMIFS(Input[F. W. - Inst. (R AFR) Desg],Input[Institution Name],A83)</f>
        <v>0</v>
      </c>
      <c r="O83" s="124">
        <f>SUMIFS(Input[F. Exp. - Stat (R AFR) E&amp;G],Input[Institution Name],A83)
+SUMIFS(Input[F. Exp. - Stat (R AFR) Desg],Input[Institution Name],A83)</f>
        <v>0</v>
      </c>
      <c r="P83" s="100">
        <f>SUMIFS(Input[F. Exp. - Inst. (R AFR) E&amp;G],Input[Institution Name],A83)
+SUMIFS(Input[F. Exp. - Inst. (R AFR) Desg],Input[Institution Name],A83)</f>
        <v>0</v>
      </c>
      <c r="Q83" s="99">
        <f>SUMIFS(Input[Fee Schlr E&amp;G],Input[Institution Name],A83)
+SUMIFS(Input[Fee Schlr Desg],Input[Institution Name],A83)</f>
        <v>0</v>
      </c>
      <c r="R83" s="101">
        <f t="shared" si="6"/>
        <v>-34552078</v>
      </c>
      <c r="S83" s="110"/>
      <c r="T83" s="101">
        <f t="shared" si="7"/>
        <v>51027426</v>
      </c>
      <c r="U83" s="102"/>
    </row>
    <row r="84" spans="1:21" s="103" customFormat="1" ht="27" customHeight="1" thickBot="1" x14ac:dyDescent="0.6">
      <c r="A84" s="104" t="s">
        <v>92</v>
      </c>
      <c r="B84" s="105">
        <v>370</v>
      </c>
      <c r="C84" s="106">
        <v>3646</v>
      </c>
      <c r="D84" s="107">
        <f>SUMIFS(Input[T. - Gross E&amp;G],Input[Institution Name],A84)
+SUMIFS(Input[T. - Gross Desg],Input[Institution Name],A84)</f>
        <v>121839296</v>
      </c>
      <c r="E84" s="125">
        <f>SUMIFS(Input[T. W. - Stat (R AFR) E&amp;G],Input[Institution Name],A84)
+SUMIFS(Input[T. W. - Stat (R AFR) Desg],Input[Institution Name],A84)</f>
        <v>-4259640</v>
      </c>
      <c r="F84" s="108">
        <f>SUMIFS(Input[T. W. - Inst. (R AFR) E&amp;G],Input[Institution Name],A84)
+SUMIFS(Input[T. W. - Inst. (R AFR) Desg],Input[Institution Name],A84)</f>
        <v>-45504</v>
      </c>
      <c r="G84" s="125">
        <f>SUMIFS(Input[T. Exp. - Stat (R AFR) E&amp;G],Input[Institution Name],A84)
+SUMIFS(Input[T. Exp. - Stat (R AFR) Desg],Input[Institution Name],A84)</f>
        <v>-3633816</v>
      </c>
      <c r="H84" s="108">
        <f>SUMIFS(Input[T. Exp. - Inst. (R AFR) E&amp;G],Input[Institution Name],A84)
+SUMIFS(Input[T. Exp. - Inst. (R AFR) Desg],Input[Institution Name],A84)</f>
        <v>-3083264</v>
      </c>
      <c r="I84" s="107">
        <f>SUMIFS(Input[T. Schlr E&amp;G],Input[Institution Name],A84)
+SUMIFS(Input[T. Schlr Desg],Input[Institution Name],A84)</f>
        <v>0</v>
      </c>
      <c r="J84" s="109">
        <f t="shared" si="5"/>
        <v>110817072</v>
      </c>
      <c r="K84" s="110"/>
      <c r="L84" s="107">
        <f>SUMIFS(Input[Fees - Gross E&amp;G],Input[Institution Name],A84)
+SUMIFS(Input[Fees - Gross Desg],Input[Institution Name],A84)</f>
        <v>20829696</v>
      </c>
      <c r="M84" s="125">
        <f>SUMIFS(Input[F. W. - Stat (R AFR) E&amp;G],Input[Institution Name],A84)
+SUMIFS(Input[F. W. - Stat (R AFR) Desg],Input[Institution Name],A84)</f>
        <v>0</v>
      </c>
      <c r="N84" s="108">
        <f>SUMIFS(Input[F. W. - Inst. (R AFR) E&amp;G],Input[Institution Name],A84)
+SUMIFS(Input[F. W. - Inst. (R AFR) Desg],Input[Institution Name],A84)</f>
        <v>0</v>
      </c>
      <c r="O84" s="125">
        <f>SUMIFS(Input[F. Exp. - Stat (R AFR) E&amp;G],Input[Institution Name],A84)
+SUMIFS(Input[F. Exp. - Stat (R AFR) Desg],Input[Institution Name],A84)</f>
        <v>-1690905</v>
      </c>
      <c r="P84" s="108">
        <f>SUMIFS(Input[F. Exp. - Inst. (R AFR) E&amp;G],Input[Institution Name],A84)
+SUMIFS(Input[F. Exp. - Inst. (R AFR) Desg],Input[Institution Name],A84)</f>
        <v>-2452</v>
      </c>
      <c r="Q84" s="107">
        <f>SUMIFS(Input[Fee Schlr E&amp;G],Input[Institution Name],A84)
+SUMIFS(Input[Fee Schlr Desg],Input[Institution Name],A84)</f>
        <v>-46878992</v>
      </c>
      <c r="R84" s="109">
        <f t="shared" si="6"/>
        <v>-27742653</v>
      </c>
      <c r="S84" s="110"/>
      <c r="T84" s="109">
        <f t="shared" si="7"/>
        <v>83074419</v>
      </c>
      <c r="U84" s="102"/>
    </row>
    <row r="85" spans="1:21" s="103" customFormat="1" ht="27" customHeight="1" thickTop="1" x14ac:dyDescent="0.55000000000000004">
      <c r="A85" s="370">
        <f>COUNTA(A49:A84)</f>
        <v>36</v>
      </c>
      <c r="B85" s="371"/>
      <c r="C85" s="372"/>
      <c r="D85" s="373">
        <f t="shared" ref="D85:J85" si="10">SUM(D49:D84)</f>
        <v>5690191454</v>
      </c>
      <c r="E85" s="374">
        <f t="shared" si="10"/>
        <v>-14531814</v>
      </c>
      <c r="F85" s="375">
        <f t="shared" si="10"/>
        <v>-45504</v>
      </c>
      <c r="G85" s="374">
        <f t="shared" si="10"/>
        <v>-238322633</v>
      </c>
      <c r="H85" s="375">
        <f t="shared" si="10"/>
        <v>-7454810</v>
      </c>
      <c r="I85" s="368">
        <f t="shared" si="10"/>
        <v>-1516350235</v>
      </c>
      <c r="J85" s="368">
        <f t="shared" si="10"/>
        <v>3913486458</v>
      </c>
      <c r="K85" s="110"/>
      <c r="L85" s="368">
        <f t="shared" ref="L85:R85" si="11">SUM(L49:L84)</f>
        <v>1795002632</v>
      </c>
      <c r="M85" s="374">
        <f t="shared" si="11"/>
        <v>-106816</v>
      </c>
      <c r="N85" s="375">
        <f t="shared" si="11"/>
        <v>0</v>
      </c>
      <c r="O85" s="374">
        <f t="shared" si="11"/>
        <v>-62653538</v>
      </c>
      <c r="P85" s="375">
        <f t="shared" si="11"/>
        <v>-3951702</v>
      </c>
      <c r="Q85" s="368">
        <f t="shared" si="11"/>
        <v>-518926715</v>
      </c>
      <c r="R85" s="368">
        <f t="shared" si="11"/>
        <v>1209363861</v>
      </c>
      <c r="S85" s="369"/>
      <c r="T85" s="368">
        <f>SUM(T49:T84)</f>
        <v>5122850319</v>
      </c>
      <c r="U85" s="102"/>
    </row>
    <row r="86" spans="1:21" ht="27" customHeight="1" x14ac:dyDescent="0.55000000000000004">
      <c r="A86" s="12"/>
      <c r="B86" s="12"/>
      <c r="C86" s="12"/>
      <c r="D86" s="12"/>
      <c r="E86" s="12"/>
      <c r="F86" s="12"/>
      <c r="G86" s="12"/>
      <c r="H86" s="12"/>
      <c r="I86" s="12"/>
      <c r="J86" s="12"/>
      <c r="K86" s="12"/>
      <c r="L86" s="12"/>
      <c r="M86" s="12"/>
      <c r="N86" s="12"/>
      <c r="O86" s="12"/>
      <c r="P86" s="12"/>
      <c r="Q86" s="12"/>
      <c r="R86" s="12"/>
      <c r="S86" s="12"/>
      <c r="T86" s="12"/>
      <c r="U86" s="12"/>
    </row>
  </sheetData>
  <sheetProtection algorithmName="SHA-512" hashValue="slVH8cR2RVsisGPOGmA8WcvoslyY26m6+4Zfky8xI0ZHunAm9LzeDxghkrPdhubf8OS2KfHvOpKYNoePxVDwvg==" saltValue="hHOx6xXnZJnm4xo5oauDgw==" spinCount="100000" sheet="1" objects="1" scenarios="1" formatColumns="0" formatRows="0"/>
  <mergeCells count="34">
    <mergeCell ref="A28:T28"/>
    <mergeCell ref="O30:P30"/>
    <mergeCell ref="E29:H29"/>
    <mergeCell ref="M29:P29"/>
    <mergeCell ref="E30:F30"/>
    <mergeCell ref="G30:H30"/>
    <mergeCell ref="I30:J30"/>
    <mergeCell ref="M30:N30"/>
    <mergeCell ref="Q30:R30"/>
    <mergeCell ref="Q47:R47"/>
    <mergeCell ref="A44:T44"/>
    <mergeCell ref="E46:H46"/>
    <mergeCell ref="M46:P46"/>
    <mergeCell ref="E47:F47"/>
    <mergeCell ref="G47:H47"/>
    <mergeCell ref="I47:J47"/>
    <mergeCell ref="M47:N47"/>
    <mergeCell ref="O47:P47"/>
    <mergeCell ref="A45:T45"/>
    <mergeCell ref="A1:T1"/>
    <mergeCell ref="A5:T5"/>
    <mergeCell ref="A6:T6"/>
    <mergeCell ref="A27:T27"/>
    <mergeCell ref="M7:P7"/>
    <mergeCell ref="I8:J8"/>
    <mergeCell ref="Q8:R8"/>
    <mergeCell ref="E8:F8"/>
    <mergeCell ref="G8:H8"/>
    <mergeCell ref="M8:N8"/>
    <mergeCell ref="O8:P8"/>
    <mergeCell ref="E7:H7"/>
    <mergeCell ref="A2:T2"/>
    <mergeCell ref="A3:T3"/>
    <mergeCell ref="A4:T4"/>
  </mergeCells>
  <printOptions horizontalCentered="1"/>
  <pageMargins left="0.25" right="0.25" top="0.7" bottom="0.5" header="0.5" footer="0.25"/>
  <pageSetup scale="34" fitToHeight="0" orientation="landscape" r:id="rId1"/>
  <headerFooter>
    <oddHeader>&amp;C&amp;"-,Bold"&amp;18Summary of Net Tuition and Fees - FY 2023</oddHeader>
    <oddFooter>&amp;RPrinted on: &amp;D</oddFooter>
  </headerFooter>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75F67-A81E-43BE-AE46-2E8E2EBDFABF}">
  <sheetPr codeName="Sheet12">
    <tabColor theme="5"/>
    <pageSetUpPr fitToPage="1"/>
  </sheetPr>
  <dimension ref="A1:Z60"/>
  <sheetViews>
    <sheetView zoomScale="70" zoomScaleNormal="70" workbookViewId="0">
      <selection sqref="A1:Y1"/>
    </sheetView>
  </sheetViews>
  <sheetFormatPr defaultColWidth="8.6640625" defaultRowHeight="19.2" x14ac:dyDescent="0.55000000000000004"/>
  <cols>
    <col min="1" max="10" width="6.58203125" style="46" customWidth="1"/>
    <col min="11" max="13" width="6.58203125" style="30" customWidth="1"/>
    <col min="14" max="26" width="6.58203125" style="46" customWidth="1"/>
    <col min="27" max="34" width="5.58203125" style="46" customWidth="1"/>
    <col min="35" max="16384" width="8.6640625" style="46"/>
  </cols>
  <sheetData>
    <row r="1" spans="1:26" ht="55.2" customHeight="1" x14ac:dyDescent="0.55000000000000004">
      <c r="A1" s="860" t="s">
        <v>22</v>
      </c>
      <c r="B1" s="860"/>
      <c r="C1" s="860"/>
      <c r="D1" s="860"/>
      <c r="E1" s="860"/>
      <c r="F1" s="860"/>
      <c r="G1" s="860"/>
      <c r="H1" s="860"/>
      <c r="I1" s="860"/>
      <c r="J1" s="860"/>
      <c r="K1" s="860"/>
      <c r="L1" s="860"/>
      <c r="M1" s="860"/>
      <c r="N1" s="860"/>
      <c r="O1" s="860"/>
      <c r="P1" s="860"/>
      <c r="Q1" s="860"/>
      <c r="R1" s="860"/>
      <c r="S1" s="860"/>
      <c r="T1" s="860"/>
      <c r="U1" s="860"/>
      <c r="V1" s="860"/>
      <c r="W1" s="860"/>
      <c r="X1" s="860"/>
      <c r="Y1" s="860"/>
      <c r="Z1" s="231"/>
    </row>
    <row r="2" spans="1:26" s="198" customFormat="1" ht="52.2" customHeight="1" x14ac:dyDescent="0.55000000000000004">
      <c r="A2" s="872" t="s">
        <v>1817</v>
      </c>
      <c r="B2" s="873"/>
      <c r="C2" s="873"/>
      <c r="D2" s="873"/>
      <c r="E2" s="873"/>
      <c r="F2" s="873"/>
      <c r="G2" s="873"/>
      <c r="H2" s="873"/>
      <c r="I2" s="873"/>
      <c r="J2" s="873"/>
      <c r="K2" s="873"/>
      <c r="L2" s="873"/>
      <c r="M2" s="873"/>
      <c r="N2" s="873"/>
      <c r="O2" s="873"/>
      <c r="P2" s="873"/>
      <c r="Q2" s="873"/>
      <c r="R2" s="873"/>
      <c r="S2" s="873"/>
      <c r="T2" s="873"/>
      <c r="U2" s="873"/>
      <c r="V2" s="873"/>
      <c r="W2" s="873"/>
      <c r="X2" s="873"/>
      <c r="Y2" s="873"/>
      <c r="Z2" s="197"/>
    </row>
    <row r="3" spans="1:26" ht="34.950000000000003" customHeight="1" x14ac:dyDescent="0.55000000000000004">
      <c r="A3" s="857" t="s">
        <v>1840</v>
      </c>
      <c r="B3" s="857"/>
      <c r="C3" s="857"/>
      <c r="D3" s="857"/>
      <c r="E3" s="857"/>
      <c r="F3" s="857"/>
      <c r="G3" s="857"/>
      <c r="H3" s="857"/>
      <c r="I3" s="857"/>
      <c r="J3" s="857"/>
      <c r="K3" s="857"/>
      <c r="L3" s="857"/>
      <c r="M3" s="857"/>
      <c r="N3" s="857"/>
      <c r="O3" s="857"/>
      <c r="P3" s="857"/>
      <c r="Q3" s="857"/>
      <c r="R3" s="857"/>
      <c r="S3" s="857"/>
      <c r="T3" s="857"/>
      <c r="U3" s="857"/>
      <c r="V3" s="857"/>
      <c r="W3" s="857"/>
      <c r="X3" s="857"/>
      <c r="Y3" s="857"/>
      <c r="Z3" s="47"/>
    </row>
    <row r="4" spans="1:26" ht="27" customHeight="1" x14ac:dyDescent="0.55000000000000004">
      <c r="A4" s="856" t="str">
        <f>"Report as of "&amp;TEXT(Hidden!$A$4,"MMMM D, YYYY")</f>
        <v>Report as of April 22, 2025</v>
      </c>
      <c r="B4" s="856"/>
      <c r="C4" s="856"/>
      <c r="D4" s="856"/>
      <c r="E4" s="856"/>
      <c r="F4" s="856"/>
      <c r="G4" s="856"/>
      <c r="H4" s="856"/>
      <c r="I4" s="856"/>
      <c r="J4" s="856"/>
      <c r="K4" s="856"/>
      <c r="L4" s="856"/>
      <c r="M4" s="856"/>
      <c r="N4" s="856"/>
      <c r="O4" s="856"/>
      <c r="P4" s="856"/>
      <c r="Q4" s="856"/>
      <c r="R4" s="856"/>
      <c r="S4" s="856"/>
      <c r="T4" s="856"/>
      <c r="U4" s="856"/>
      <c r="V4" s="856"/>
      <c r="W4" s="856"/>
      <c r="X4" s="856"/>
      <c r="Y4" s="856"/>
      <c r="Z4" s="47"/>
    </row>
    <row r="5" spans="1:26" ht="27" customHeight="1" x14ac:dyDescent="0.6">
      <c r="A5" s="48"/>
      <c r="B5" s="48"/>
      <c r="C5" s="48"/>
      <c r="D5" s="48"/>
      <c r="E5" s="48"/>
      <c r="F5" s="48"/>
      <c r="G5" s="48"/>
      <c r="H5" s="48"/>
      <c r="I5" s="48"/>
      <c r="J5" s="48"/>
      <c r="K5" s="48"/>
      <c r="L5" s="48"/>
      <c r="M5" s="48"/>
      <c r="N5" s="48"/>
      <c r="O5" s="48"/>
      <c r="P5" s="48"/>
      <c r="Q5" s="48"/>
      <c r="R5" s="48"/>
      <c r="S5" s="48"/>
      <c r="T5" s="48"/>
      <c r="U5" s="48"/>
      <c r="V5" s="48"/>
      <c r="W5" s="48"/>
      <c r="X5" s="48"/>
      <c r="Y5" s="48"/>
      <c r="Z5" s="47"/>
    </row>
    <row r="6" spans="1:26" s="50" customFormat="1" ht="45" customHeight="1" x14ac:dyDescent="0.6">
      <c r="A6" s="874" t="s">
        <v>31</v>
      </c>
      <c r="B6" s="874"/>
      <c r="C6" s="874"/>
      <c r="D6" s="874"/>
      <c r="E6" s="874"/>
      <c r="F6" s="874"/>
      <c r="G6" s="874"/>
      <c r="H6" s="874"/>
      <c r="I6" s="866" t="s">
        <v>33</v>
      </c>
      <c r="J6" s="866"/>
      <c r="K6" s="861" t="s">
        <v>1812</v>
      </c>
      <c r="L6" s="861"/>
      <c r="M6" s="861"/>
      <c r="N6" s="862" t="s">
        <v>1896</v>
      </c>
      <c r="O6" s="862"/>
      <c r="P6" s="862"/>
      <c r="Q6" s="862" t="s">
        <v>1897</v>
      </c>
      <c r="R6" s="862"/>
      <c r="S6" s="862"/>
      <c r="T6" s="862" t="s">
        <v>1899</v>
      </c>
      <c r="U6" s="862"/>
      <c r="V6" s="862"/>
      <c r="W6" s="862" t="s">
        <v>1898</v>
      </c>
      <c r="X6" s="862"/>
      <c r="Y6" s="862"/>
      <c r="Z6" s="49"/>
    </row>
    <row r="7" spans="1:26" ht="27" customHeight="1" x14ac:dyDescent="0.55000000000000004">
      <c r="A7" s="868" t="s">
        <v>58</v>
      </c>
      <c r="B7" s="868"/>
      <c r="C7" s="868"/>
      <c r="D7" s="868"/>
      <c r="E7" s="868"/>
      <c r="F7" s="868"/>
      <c r="G7" s="868"/>
      <c r="H7" s="868"/>
      <c r="I7" s="864">
        <v>3656</v>
      </c>
      <c r="J7" s="864"/>
      <c r="K7" s="859">
        <f>SUMIFS(Input[Instr E&amp;G],Input[Institution Name],A7)
+SUMIFS(Input[Instr Desg],Input[Institution Name],A7)
+SUMIFS(Input[Instr R Exp],Input[Institution Name],A7)
+SUMIFS(Input[Instr Unexp],Input[Institution Name],A7)
+SUMIFS(Input[Cost Study Inst.],Input[Institution Name],A7)</f>
        <v>243178490</v>
      </c>
      <c r="L7" s="859"/>
      <c r="M7" s="859"/>
      <c r="N7" s="859">
        <f>SUMIFS(Input[Res E&amp;G],Input[Institution Name],A7)
+SUMIFS(Input[Res Desg],Input[Institution Name],A7)
+SUMIFS(Input[Res R Exp],Input[Institution Name],A7)
+SUMIFS(Input[Res Unexp],Input[Institution Name],A7)
+SUMIFS(Input[Cost Study Resh],Input[Institution Name],A7)</f>
        <v>129425022</v>
      </c>
      <c r="O7" s="859"/>
      <c r="P7" s="859"/>
      <c r="Q7" s="859">
        <f>SUMIFS(Input[Acad Sup E&amp;G],Input[Institution Name],A7)
+SUMIFS(Input[Acad Sup Desg],Input[Institution Name],A7)
+SUMIFS(Input[Acad Sup R Exp],Input[Institution Name],A7)
+SUMIFS(Input[Acad Sup Unexp],Input[Institution Name],A7)
+SUMIFS(Input[Cost Study Aca Sppt],Input[Institution Name],A7)</f>
        <v>59463112</v>
      </c>
      <c r="R7" s="859"/>
      <c r="S7" s="859"/>
      <c r="T7" s="859">
        <f>SUMIFS(Input[Stu Svc E&amp;G],Input[Institution Name],A7)
+SUMIFS(Input[Stu Svc Desg],Input[Institution Name],A7)
+SUMIFS(Input[Stu Svc R Exp],Input[Institution Name],A7)
+SUMIFS(Input[Stu Svc Unexp],Input[Institution Name],A7)
+SUMIFS(Input[Cost Study Stu Svcs],Input[Institution Name],A7)
-SUMIFS(Input[Cost Study Intr C. Ath],Input[Institution Name],A7)</f>
        <v>88910704</v>
      </c>
      <c r="U7" s="859"/>
      <c r="V7" s="859"/>
      <c r="W7" s="859">
        <f>SUMIFS(Input[Inst. Spt E&amp;G],Input[Institution Name],A7)
+SUMIFS(Input[Inst. Spt Desg],Input[Institution Name],A7)
+SUMIFS(Input[Inst. Spt R Exp],Input[Institution Name],A7)
+SUMIFS(Input[Inst. Spt Unexp],Input[Institution Name],A7)
+SUMIFS(Input[Cost Study Inst. Sppt],Input[Institution Name],A7)</f>
        <v>61886396</v>
      </c>
      <c r="X7" s="859"/>
      <c r="Y7" s="859"/>
      <c r="Z7" s="47"/>
    </row>
    <row r="8" spans="1:26" ht="27" customHeight="1" x14ac:dyDescent="0.55000000000000004">
      <c r="A8" s="870" t="s">
        <v>59</v>
      </c>
      <c r="B8" s="870"/>
      <c r="C8" s="870"/>
      <c r="D8" s="870"/>
      <c r="E8" s="870"/>
      <c r="F8" s="870"/>
      <c r="G8" s="870"/>
      <c r="H8" s="870"/>
      <c r="I8" s="863">
        <v>3658</v>
      </c>
      <c r="J8" s="863"/>
      <c r="K8" s="858">
        <f>SUMIFS(Input[Instr E&amp;G],Input[Institution Name],A8)
+SUMIFS(Input[Instr Desg],Input[Institution Name],A8)
+SUMIFS(Input[Instr R Exp],Input[Institution Name],A8)
+SUMIFS(Input[Instr Unexp],Input[Institution Name],A8)
+SUMIFS(Input[Cost Study Inst.],Input[Institution Name],A8)</f>
        <v>772474315</v>
      </c>
      <c r="L8" s="858"/>
      <c r="M8" s="858"/>
      <c r="N8" s="858">
        <f>SUMIFS(Input[Res E&amp;G],Input[Institution Name],A8)
+SUMIFS(Input[Res Desg],Input[Institution Name],A8)
+SUMIFS(Input[Res R Exp],Input[Institution Name],A8)
+SUMIFS(Input[Res Unexp],Input[Institution Name],A8)
+SUMIFS(Input[Cost Study Resh],Input[Institution Name],A8)</f>
        <v>879131136</v>
      </c>
      <c r="O8" s="858"/>
      <c r="P8" s="858"/>
      <c r="Q8" s="858">
        <f>SUMIFS(Input[Acad Sup E&amp;G],Input[Institution Name],A8)
+SUMIFS(Input[Acad Sup Desg],Input[Institution Name],A8)
+SUMIFS(Input[Acad Sup R Exp],Input[Institution Name],A8)
+SUMIFS(Input[Acad Sup Unexp],Input[Institution Name],A8)
+SUMIFS(Input[Cost Study Aca Sppt],Input[Institution Name],A8)</f>
        <v>514638119</v>
      </c>
      <c r="R8" s="858"/>
      <c r="S8" s="858"/>
      <c r="T8" s="858">
        <f>SUMIFS(Input[Stu Svc E&amp;G],Input[Institution Name],A8)
+SUMIFS(Input[Stu Svc Desg],Input[Institution Name],A8)
+SUMIFS(Input[Stu Svc R Exp],Input[Institution Name],A8)
+SUMIFS(Input[Stu Svc Unexp],Input[Institution Name],A8)
+SUMIFS(Input[Cost Study Stu Svcs],Input[Institution Name],A8)
-SUMIFS(Input[Cost Study Intr C. Ath],Input[Institution Name],A8)</f>
        <v>54567488</v>
      </c>
      <c r="U8" s="858"/>
      <c r="V8" s="858"/>
      <c r="W8" s="858">
        <f>SUMIFS(Input[Inst. Spt E&amp;G],Input[Institution Name],A8)
+SUMIFS(Input[Inst. Spt Desg],Input[Institution Name],A8)
+SUMIFS(Input[Inst. Spt R Exp],Input[Institution Name],A8)
+SUMIFS(Input[Inst. Spt Unexp],Input[Institution Name],A8)
+SUMIFS(Input[Cost Study Inst. Sppt],Input[Institution Name],A8)</f>
        <v>243621320</v>
      </c>
      <c r="X8" s="858"/>
      <c r="Y8" s="858"/>
      <c r="Z8" s="47"/>
    </row>
    <row r="9" spans="1:26" ht="27" customHeight="1" x14ac:dyDescent="0.55000000000000004">
      <c r="A9" s="868" t="s">
        <v>60</v>
      </c>
      <c r="B9" s="868"/>
      <c r="C9" s="868"/>
      <c r="D9" s="868"/>
      <c r="E9" s="868"/>
      <c r="F9" s="868"/>
      <c r="G9" s="868"/>
      <c r="H9" s="868"/>
      <c r="I9" s="864">
        <v>9741</v>
      </c>
      <c r="J9" s="864"/>
      <c r="K9" s="859">
        <f>SUMIFS(Input[Instr E&amp;G],Input[Institution Name],A9)
+SUMIFS(Input[Instr Desg],Input[Institution Name],A9)
+SUMIFS(Input[Instr R Exp],Input[Institution Name],A9)
+SUMIFS(Input[Instr Unexp],Input[Institution Name],A9)
+SUMIFS(Input[Cost Study Inst.],Input[Institution Name],A9)</f>
        <v>243939736</v>
      </c>
      <c r="L9" s="859"/>
      <c r="M9" s="859"/>
      <c r="N9" s="859">
        <f>SUMIFS(Input[Res E&amp;G],Input[Institution Name],A9)
+SUMIFS(Input[Res Desg],Input[Institution Name],A9)
+SUMIFS(Input[Res R Exp],Input[Institution Name],A9)
+SUMIFS(Input[Res Unexp],Input[Institution Name],A9)
+SUMIFS(Input[Cost Study Resh],Input[Institution Name],A9)</f>
        <v>158055911</v>
      </c>
      <c r="O9" s="859"/>
      <c r="P9" s="859"/>
      <c r="Q9" s="859">
        <f>SUMIFS(Input[Acad Sup E&amp;G],Input[Institution Name],A9)
+SUMIFS(Input[Acad Sup Desg],Input[Institution Name],A9)
+SUMIFS(Input[Acad Sup R Exp],Input[Institution Name],A9)
+SUMIFS(Input[Acad Sup Unexp],Input[Institution Name],A9)
+SUMIFS(Input[Cost Study Aca Sppt],Input[Institution Name],A9)</f>
        <v>105334555</v>
      </c>
      <c r="R9" s="859"/>
      <c r="S9" s="859"/>
      <c r="T9" s="859">
        <f>SUMIFS(Input[Stu Svc E&amp;G],Input[Institution Name],A9)
+SUMIFS(Input[Stu Svc Desg],Input[Institution Name],A9)
+SUMIFS(Input[Stu Svc R Exp],Input[Institution Name],A9)
+SUMIFS(Input[Stu Svc Unexp],Input[Institution Name],A9)
+SUMIFS(Input[Cost Study Stu Svcs],Input[Institution Name],A9)
-SUMIFS(Input[Cost Study Intr C. Ath],Input[Institution Name],A9)</f>
        <v>26681664</v>
      </c>
      <c r="U9" s="859"/>
      <c r="V9" s="859"/>
      <c r="W9" s="859">
        <f>SUMIFS(Input[Inst. Spt E&amp;G],Input[Institution Name],A9)
+SUMIFS(Input[Inst. Spt Desg],Input[Institution Name],A9)
+SUMIFS(Input[Inst. Spt R Exp],Input[Institution Name],A9)
+SUMIFS(Input[Inst. Spt Unexp],Input[Institution Name],A9)
+SUMIFS(Input[Cost Study Inst. Sppt],Input[Institution Name],A9)</f>
        <v>52386217</v>
      </c>
      <c r="X9" s="859"/>
      <c r="Y9" s="859"/>
      <c r="Z9" s="47"/>
    </row>
    <row r="10" spans="1:26" ht="27" customHeight="1" x14ac:dyDescent="0.55000000000000004">
      <c r="A10" s="867" t="s">
        <v>61</v>
      </c>
      <c r="B10" s="867"/>
      <c r="C10" s="867"/>
      <c r="D10" s="867"/>
      <c r="E10" s="867"/>
      <c r="F10" s="867"/>
      <c r="G10" s="867"/>
      <c r="H10" s="867"/>
      <c r="I10" s="863">
        <v>3661</v>
      </c>
      <c r="J10" s="863"/>
      <c r="K10" s="858">
        <f>SUMIFS(Input[Instr E&amp;G],Input[Institution Name],A10)
+SUMIFS(Input[Instr Desg],Input[Institution Name],A10)
+SUMIFS(Input[Instr R Exp],Input[Institution Name],A10)
+SUMIFS(Input[Instr Unexp],Input[Institution Name],A10)
+SUMIFS(Input[Cost Study Inst.],Input[Institution Name],A10)</f>
        <v>125129124</v>
      </c>
      <c r="L10" s="858"/>
      <c r="M10" s="858"/>
      <c r="N10" s="858">
        <f>SUMIFS(Input[Res E&amp;G],Input[Institution Name],A10)
+SUMIFS(Input[Res Desg],Input[Institution Name],A10)
+SUMIFS(Input[Res R Exp],Input[Institution Name],A10)
+SUMIFS(Input[Res Unexp],Input[Institution Name],A10)
+SUMIFS(Input[Cost Study Resh],Input[Institution Name],A10)</f>
        <v>134145745</v>
      </c>
      <c r="O10" s="858"/>
      <c r="P10" s="858"/>
      <c r="Q10" s="858">
        <f>SUMIFS(Input[Acad Sup E&amp;G],Input[Institution Name],A10)
+SUMIFS(Input[Acad Sup Desg],Input[Institution Name],A10)
+SUMIFS(Input[Acad Sup R Exp],Input[Institution Name],A10)
+SUMIFS(Input[Acad Sup Unexp],Input[Institution Name],A10)
+SUMIFS(Input[Cost Study Aca Sppt],Input[Institution Name],A10)</f>
        <v>28173783</v>
      </c>
      <c r="R10" s="858"/>
      <c r="S10" s="858"/>
      <c r="T10" s="858">
        <f>SUMIFS(Input[Stu Svc E&amp;G],Input[Institution Name],A10)
+SUMIFS(Input[Stu Svc Desg],Input[Institution Name],A10)
+SUMIFS(Input[Stu Svc R Exp],Input[Institution Name],A10)
+SUMIFS(Input[Stu Svc Unexp],Input[Institution Name],A10)
+SUMIFS(Input[Cost Study Stu Svcs],Input[Institution Name],A10)
-SUMIFS(Input[Cost Study Intr C. Ath],Input[Institution Name],A10)</f>
        <v>25404310</v>
      </c>
      <c r="U10" s="858"/>
      <c r="V10" s="858"/>
      <c r="W10" s="858">
        <f>SUMIFS(Input[Inst. Spt E&amp;G],Input[Institution Name],A10)
+SUMIFS(Input[Inst. Spt Desg],Input[Institution Name],A10)
+SUMIFS(Input[Inst. Spt R Exp],Input[Institution Name],A10)
+SUMIFS(Input[Inst. Spt Unexp],Input[Institution Name],A10)
+SUMIFS(Input[Cost Study Inst. Sppt],Input[Institution Name],A10)</f>
        <v>43631672</v>
      </c>
      <c r="X10" s="858"/>
      <c r="Y10" s="858"/>
      <c r="Z10" s="47"/>
    </row>
    <row r="11" spans="1:26" ht="27" customHeight="1" x14ac:dyDescent="0.55000000000000004">
      <c r="A11" s="871" t="s">
        <v>62</v>
      </c>
      <c r="B11" s="871"/>
      <c r="C11" s="871"/>
      <c r="D11" s="871"/>
      <c r="E11" s="871"/>
      <c r="F11" s="871"/>
      <c r="G11" s="871"/>
      <c r="H11" s="871"/>
      <c r="I11" s="864">
        <v>3599</v>
      </c>
      <c r="J11" s="864"/>
      <c r="K11" s="859">
        <f>SUMIFS(Input[Instr E&amp;G],Input[Institution Name],A11)
+SUMIFS(Input[Instr Desg],Input[Institution Name],A11)
+SUMIFS(Input[Instr R Exp],Input[Institution Name],A11)
+SUMIFS(Input[Instr Unexp],Input[Institution Name],A11)
+SUMIFS(Input[Cost Study Inst.],Input[Institution Name],A11)</f>
        <v>170566133</v>
      </c>
      <c r="L11" s="859"/>
      <c r="M11" s="859"/>
      <c r="N11" s="859">
        <f>SUMIFS(Input[Res E&amp;G],Input[Institution Name],A11)
+SUMIFS(Input[Res Desg],Input[Institution Name],A11)
+SUMIFS(Input[Res R Exp],Input[Institution Name],A11)
+SUMIFS(Input[Res Unexp],Input[Institution Name],A11)
+SUMIFS(Input[Cost Study Resh],Input[Institution Name],A11)</f>
        <v>78043063</v>
      </c>
      <c r="O11" s="859"/>
      <c r="P11" s="859"/>
      <c r="Q11" s="859">
        <f>SUMIFS(Input[Acad Sup E&amp;G],Input[Institution Name],A11)
+SUMIFS(Input[Acad Sup Desg],Input[Institution Name],A11)
+SUMIFS(Input[Acad Sup R Exp],Input[Institution Name],A11)
+SUMIFS(Input[Acad Sup Unexp],Input[Institution Name],A11)
+SUMIFS(Input[Cost Study Aca Sppt],Input[Institution Name],A11)</f>
        <v>61796268</v>
      </c>
      <c r="R11" s="859"/>
      <c r="S11" s="859"/>
      <c r="T11" s="859">
        <f>SUMIFS(Input[Stu Svc E&amp;G],Input[Institution Name],A11)
+SUMIFS(Input[Stu Svc Desg],Input[Institution Name],A11)
+SUMIFS(Input[Stu Svc R Exp],Input[Institution Name],A11)
+SUMIFS(Input[Stu Svc Unexp],Input[Institution Name],A11)
+SUMIFS(Input[Cost Study Stu Svcs],Input[Institution Name],A11)
-SUMIFS(Input[Cost Study Intr C. Ath],Input[Institution Name],A11)</f>
        <v>31327968</v>
      </c>
      <c r="U11" s="859"/>
      <c r="V11" s="859"/>
      <c r="W11" s="859">
        <f>SUMIFS(Input[Inst. Spt E&amp;G],Input[Institution Name],A11)
+SUMIFS(Input[Inst. Spt Desg],Input[Institution Name],A11)
+SUMIFS(Input[Inst. Spt R Exp],Input[Institution Name],A11)
+SUMIFS(Input[Inst. Spt Unexp],Input[Institution Name],A11)
+SUMIFS(Input[Cost Study Inst. Sppt],Input[Institution Name],A11)</f>
        <v>41089936</v>
      </c>
      <c r="X11" s="859"/>
      <c r="Y11" s="859"/>
      <c r="Z11" s="47"/>
    </row>
    <row r="12" spans="1:26" ht="27" customHeight="1" x14ac:dyDescent="0.55000000000000004">
      <c r="A12" s="867" t="s">
        <v>63</v>
      </c>
      <c r="B12" s="867"/>
      <c r="C12" s="867"/>
      <c r="D12" s="867"/>
      <c r="E12" s="867"/>
      <c r="F12" s="867"/>
      <c r="G12" s="867"/>
      <c r="H12" s="867"/>
      <c r="I12" s="863">
        <v>9930</v>
      </c>
      <c r="J12" s="863"/>
      <c r="K12" s="858">
        <f>SUMIFS(Input[Instr E&amp;G],Input[Institution Name],A12)
+SUMIFS(Input[Instr Desg],Input[Institution Name],A12)
+SUMIFS(Input[Instr R Exp],Input[Institution Name],A12)
+SUMIFS(Input[Instr Unexp],Input[Institution Name],A12)
+SUMIFS(Input[Cost Study Inst.],Input[Institution Name],A12)</f>
        <v>31572894</v>
      </c>
      <c r="L12" s="858"/>
      <c r="M12" s="858"/>
      <c r="N12" s="858">
        <f>SUMIFS(Input[Res E&amp;G],Input[Institution Name],A12)
+SUMIFS(Input[Res Desg],Input[Institution Name],A12)
+SUMIFS(Input[Res R Exp],Input[Institution Name],A12)
+SUMIFS(Input[Res Unexp],Input[Institution Name],A12)
+SUMIFS(Input[Cost Study Resh],Input[Institution Name],A12)</f>
        <v>3788984</v>
      </c>
      <c r="O12" s="858"/>
      <c r="P12" s="858"/>
      <c r="Q12" s="858">
        <f>SUMIFS(Input[Acad Sup E&amp;G],Input[Institution Name],A12)
+SUMIFS(Input[Acad Sup Desg],Input[Institution Name],A12)
+SUMIFS(Input[Acad Sup R Exp],Input[Institution Name],A12)
+SUMIFS(Input[Acad Sup Unexp],Input[Institution Name],A12)
+SUMIFS(Input[Cost Study Aca Sppt],Input[Institution Name],A12)</f>
        <v>11362714</v>
      </c>
      <c r="R12" s="858"/>
      <c r="S12" s="858"/>
      <c r="T12" s="858">
        <f>SUMIFS(Input[Stu Svc E&amp;G],Input[Institution Name],A12)
+SUMIFS(Input[Stu Svc Desg],Input[Institution Name],A12)
+SUMIFS(Input[Stu Svc R Exp],Input[Institution Name],A12)
+SUMIFS(Input[Stu Svc Unexp],Input[Institution Name],A12)
+SUMIFS(Input[Cost Study Stu Svcs],Input[Institution Name],A12)
-SUMIFS(Input[Cost Study Intr C. Ath],Input[Institution Name],A12)</f>
        <v>4328155</v>
      </c>
      <c r="U12" s="858"/>
      <c r="V12" s="858"/>
      <c r="W12" s="858">
        <f>SUMIFS(Input[Inst. Spt E&amp;G],Input[Institution Name],A12)
+SUMIFS(Input[Inst. Spt Desg],Input[Institution Name],A12)
+SUMIFS(Input[Inst. Spt R Exp],Input[Institution Name],A12)
+SUMIFS(Input[Inst. Spt Unexp],Input[Institution Name],A12)
+SUMIFS(Input[Cost Study Inst. Sppt],Input[Institution Name],A12)</f>
        <v>12045436</v>
      </c>
      <c r="X12" s="858"/>
      <c r="Y12" s="858"/>
      <c r="Z12" s="47"/>
    </row>
    <row r="13" spans="1:26" ht="27" customHeight="1" x14ac:dyDescent="0.55000000000000004">
      <c r="A13" s="868" t="s">
        <v>64</v>
      </c>
      <c r="B13" s="868"/>
      <c r="C13" s="868"/>
      <c r="D13" s="868"/>
      <c r="E13" s="868"/>
      <c r="F13" s="868"/>
      <c r="G13" s="868"/>
      <c r="H13" s="868"/>
      <c r="I13" s="864">
        <v>10115</v>
      </c>
      <c r="J13" s="864"/>
      <c r="K13" s="859">
        <f>SUMIFS(Input[Instr E&amp;G],Input[Institution Name],A13)
+SUMIFS(Input[Instr Desg],Input[Institution Name],A13)
+SUMIFS(Input[Instr R Exp],Input[Institution Name],A13)
+SUMIFS(Input[Instr Unexp],Input[Institution Name],A13)
+SUMIFS(Input[Cost Study Inst.],Input[Institution Name],A13)</f>
        <v>138167952</v>
      </c>
      <c r="L13" s="859"/>
      <c r="M13" s="859"/>
      <c r="N13" s="859">
        <f>SUMIFS(Input[Res E&amp;G],Input[Institution Name],A13)
+SUMIFS(Input[Res Desg],Input[Institution Name],A13)
+SUMIFS(Input[Res R Exp],Input[Institution Name],A13)
+SUMIFS(Input[Res Unexp],Input[Institution Name],A13)
+SUMIFS(Input[Cost Study Resh],Input[Institution Name],A13)</f>
        <v>152337679</v>
      </c>
      <c r="O13" s="859"/>
      <c r="P13" s="859"/>
      <c r="Q13" s="859">
        <f>SUMIFS(Input[Acad Sup E&amp;G],Input[Institution Name],A13)
+SUMIFS(Input[Acad Sup Desg],Input[Institution Name],A13)
+SUMIFS(Input[Acad Sup R Exp],Input[Institution Name],A13)
+SUMIFS(Input[Acad Sup Unexp],Input[Institution Name],A13)
+SUMIFS(Input[Cost Study Aca Sppt],Input[Institution Name],A13)</f>
        <v>102290316</v>
      </c>
      <c r="R13" s="859"/>
      <c r="S13" s="859"/>
      <c r="T13" s="859">
        <f>SUMIFS(Input[Stu Svc E&amp;G],Input[Institution Name],A13)
+SUMIFS(Input[Stu Svc Desg],Input[Institution Name],A13)
+SUMIFS(Input[Stu Svc R Exp],Input[Institution Name],A13)
+SUMIFS(Input[Stu Svc Unexp],Input[Institution Name],A13)
+SUMIFS(Input[Cost Study Stu Svcs],Input[Institution Name],A13)
-SUMIFS(Input[Cost Study Intr C. Ath],Input[Institution Name],A13)</f>
        <v>39083863</v>
      </c>
      <c r="U13" s="859"/>
      <c r="V13" s="859"/>
      <c r="W13" s="859">
        <f>SUMIFS(Input[Inst. Spt E&amp;G],Input[Institution Name],A13)
+SUMIFS(Input[Inst. Spt Desg],Input[Institution Name],A13)
+SUMIFS(Input[Inst. Spt R Exp],Input[Institution Name],A13)
+SUMIFS(Input[Inst. Spt Unexp],Input[Institution Name],A13)
+SUMIFS(Input[Cost Study Inst. Sppt],Input[Institution Name],A13)</f>
        <v>51897185</v>
      </c>
      <c r="X13" s="859"/>
      <c r="Y13" s="859"/>
      <c r="Z13" s="47"/>
    </row>
    <row r="14" spans="1:26" ht="27" customHeight="1" x14ac:dyDescent="0.55000000000000004">
      <c r="A14" s="867" t="s">
        <v>65</v>
      </c>
      <c r="B14" s="867"/>
      <c r="C14" s="867"/>
      <c r="D14" s="867"/>
      <c r="E14" s="867"/>
      <c r="F14" s="867"/>
      <c r="G14" s="867"/>
      <c r="H14" s="867"/>
      <c r="I14" s="863">
        <v>11163</v>
      </c>
      <c r="J14" s="863"/>
      <c r="K14" s="858">
        <f>SUMIFS(Input[Instr E&amp;G],Input[Institution Name],A14)
+SUMIFS(Input[Instr Desg],Input[Institution Name],A14)
+SUMIFS(Input[Instr R Exp],Input[Institution Name],A14)
+SUMIFS(Input[Instr Unexp],Input[Institution Name],A14)
+SUMIFS(Input[Cost Study Inst.],Input[Institution Name],A14)</f>
        <v>73458334</v>
      </c>
      <c r="L14" s="858"/>
      <c r="M14" s="858"/>
      <c r="N14" s="858">
        <f>SUMIFS(Input[Res E&amp;G],Input[Institution Name],A14)
+SUMIFS(Input[Res Desg],Input[Institution Name],A14)
+SUMIFS(Input[Res R Exp],Input[Institution Name],A14)
+SUMIFS(Input[Res Unexp],Input[Institution Name],A14)
+SUMIFS(Input[Cost Study Resh],Input[Institution Name],A14)</f>
        <v>5035107</v>
      </c>
      <c r="O14" s="858"/>
      <c r="P14" s="858"/>
      <c r="Q14" s="858">
        <f>SUMIFS(Input[Acad Sup E&amp;G],Input[Institution Name],A14)
+SUMIFS(Input[Acad Sup Desg],Input[Institution Name],A14)
+SUMIFS(Input[Acad Sup R Exp],Input[Institution Name],A14)
+SUMIFS(Input[Acad Sup Unexp],Input[Institution Name],A14)
+SUMIFS(Input[Cost Study Aca Sppt],Input[Institution Name],A14)</f>
        <v>17940436</v>
      </c>
      <c r="R14" s="858"/>
      <c r="S14" s="858"/>
      <c r="T14" s="858">
        <f>SUMIFS(Input[Stu Svc E&amp;G],Input[Institution Name],A14)
+SUMIFS(Input[Stu Svc Desg],Input[Institution Name],A14)
+SUMIFS(Input[Stu Svc R Exp],Input[Institution Name],A14)
+SUMIFS(Input[Stu Svc Unexp],Input[Institution Name],A14)
+SUMIFS(Input[Cost Study Stu Svcs],Input[Institution Name],A14)
-SUMIFS(Input[Cost Study Intr C. Ath],Input[Institution Name],A14)</f>
        <v>15828212</v>
      </c>
      <c r="U14" s="858"/>
      <c r="V14" s="858"/>
      <c r="W14" s="858">
        <f>SUMIFS(Input[Inst. Spt E&amp;G],Input[Institution Name],A14)
+SUMIFS(Input[Inst. Spt Desg],Input[Institution Name],A14)
+SUMIFS(Input[Inst. Spt R Exp],Input[Institution Name],A14)
+SUMIFS(Input[Inst. Spt Unexp],Input[Institution Name],A14)
+SUMIFS(Input[Cost Study Inst. Sppt],Input[Institution Name],A14)</f>
        <v>16880478</v>
      </c>
      <c r="X14" s="858"/>
      <c r="Y14" s="858"/>
      <c r="Z14" s="47"/>
    </row>
    <row r="15" spans="1:26" ht="27" customHeight="1" x14ac:dyDescent="0.55000000000000004">
      <c r="A15" s="868" t="s">
        <v>66</v>
      </c>
      <c r="B15" s="868"/>
      <c r="C15" s="868"/>
      <c r="D15" s="868"/>
      <c r="E15" s="868"/>
      <c r="F15" s="868"/>
      <c r="G15" s="868"/>
      <c r="H15" s="868"/>
      <c r="I15" s="864">
        <v>3632</v>
      </c>
      <c r="J15" s="864"/>
      <c r="K15" s="859">
        <f>SUMIFS(Input[Instr E&amp;G],Input[Institution Name],A15)
+SUMIFS(Input[Instr Desg],Input[Institution Name],A15)
+SUMIFS(Input[Instr R Exp],Input[Institution Name],A15)
+SUMIFS(Input[Instr Unexp],Input[Institution Name],A15)
+SUMIFS(Input[Cost Study Inst.],Input[Institution Name],A15)</f>
        <v>709813741</v>
      </c>
      <c r="L15" s="859"/>
      <c r="M15" s="859"/>
      <c r="N15" s="859">
        <f>SUMIFS(Input[Res E&amp;G],Input[Institution Name],A15)
+SUMIFS(Input[Res Desg],Input[Institution Name],A15)
+SUMIFS(Input[Res R Exp],Input[Institution Name],A15)
+SUMIFS(Input[Res Unexp],Input[Institution Name],A15)
+SUMIFS(Input[Cost Study Resh],Input[Institution Name],A15)</f>
        <v>336533415</v>
      </c>
      <c r="O15" s="859"/>
      <c r="P15" s="859"/>
      <c r="Q15" s="859">
        <f>SUMIFS(Input[Acad Sup E&amp;G],Input[Institution Name],A15)
+SUMIFS(Input[Acad Sup Desg],Input[Institution Name],A15)
+SUMIFS(Input[Acad Sup R Exp],Input[Institution Name],A15)
+SUMIFS(Input[Acad Sup Unexp],Input[Institution Name],A15)
+SUMIFS(Input[Cost Study Aca Sppt],Input[Institution Name],A15)</f>
        <v>350908357</v>
      </c>
      <c r="R15" s="859"/>
      <c r="S15" s="859"/>
      <c r="T15" s="859">
        <f>SUMIFS(Input[Stu Svc E&amp;G],Input[Institution Name],A15)
+SUMIFS(Input[Stu Svc Desg],Input[Institution Name],A15)
+SUMIFS(Input[Stu Svc R Exp],Input[Institution Name],A15)
+SUMIFS(Input[Stu Svc Unexp],Input[Institution Name],A15)
+SUMIFS(Input[Cost Study Stu Svcs],Input[Institution Name],A15)
-SUMIFS(Input[Cost Study Intr C. Ath],Input[Institution Name],A15)</f>
        <v>96280684</v>
      </c>
      <c r="U15" s="859"/>
      <c r="V15" s="859"/>
      <c r="W15" s="859">
        <f>SUMIFS(Input[Inst. Spt E&amp;G],Input[Institution Name],A15)
+SUMIFS(Input[Inst. Spt Desg],Input[Institution Name],A15)
+SUMIFS(Input[Inst. Spt R Exp],Input[Institution Name],A15)
+SUMIFS(Input[Inst. Spt Unexp],Input[Institution Name],A15)
+SUMIFS(Input[Cost Study Inst. Sppt],Input[Institution Name],A15)</f>
        <v>130020072</v>
      </c>
      <c r="X15" s="859"/>
      <c r="Y15" s="859"/>
      <c r="Z15" s="47"/>
    </row>
    <row r="16" spans="1:26" ht="27" customHeight="1" x14ac:dyDescent="0.55000000000000004">
      <c r="A16" s="867" t="s">
        <v>67</v>
      </c>
      <c r="B16" s="867"/>
      <c r="C16" s="867"/>
      <c r="D16" s="867"/>
      <c r="E16" s="867"/>
      <c r="F16" s="867"/>
      <c r="G16" s="867"/>
      <c r="H16" s="867"/>
      <c r="I16" s="863">
        <v>10298</v>
      </c>
      <c r="J16" s="863"/>
      <c r="K16" s="858">
        <f>SUMIFS(Input[Instr E&amp;G],Input[Institution Name],A16)
+SUMIFS(Input[Instr Desg],Input[Institution Name],A16)
+SUMIFS(Input[Instr R Exp],Input[Institution Name],A16)
+SUMIFS(Input[Instr Unexp],Input[Institution Name],A16)
+SUMIFS(Input[Cost Study Inst.],Input[Institution Name],A16)</f>
        <v>25947831</v>
      </c>
      <c r="L16" s="858"/>
      <c r="M16" s="858"/>
      <c r="N16" s="858">
        <f>SUMIFS(Input[Res E&amp;G],Input[Institution Name],A16)
+SUMIFS(Input[Res Desg],Input[Institution Name],A16)
+SUMIFS(Input[Res R Exp],Input[Institution Name],A16)
+SUMIFS(Input[Res Unexp],Input[Institution Name],A16)
+SUMIFS(Input[Cost Study Resh],Input[Institution Name],A16)</f>
        <v>14937128</v>
      </c>
      <c r="O16" s="858"/>
      <c r="P16" s="858"/>
      <c r="Q16" s="858">
        <f>SUMIFS(Input[Acad Sup E&amp;G],Input[Institution Name],A16)
+SUMIFS(Input[Acad Sup Desg],Input[Institution Name],A16)
+SUMIFS(Input[Acad Sup R Exp],Input[Institution Name],A16)
+SUMIFS(Input[Acad Sup Unexp],Input[Institution Name],A16)
+SUMIFS(Input[Cost Study Aca Sppt],Input[Institution Name],A16)</f>
        <v>7366304</v>
      </c>
      <c r="R16" s="858"/>
      <c r="S16" s="858"/>
      <c r="T16" s="858">
        <f>SUMIFS(Input[Stu Svc E&amp;G],Input[Institution Name],A16)
+SUMIFS(Input[Stu Svc Desg],Input[Institution Name],A16)
+SUMIFS(Input[Stu Svc R Exp],Input[Institution Name],A16)
+SUMIFS(Input[Stu Svc Unexp],Input[Institution Name],A16)
+SUMIFS(Input[Cost Study Stu Svcs],Input[Institution Name],A16)
-SUMIFS(Input[Cost Study Intr C. Ath],Input[Institution Name],A16)</f>
        <v>3641553</v>
      </c>
      <c r="U16" s="858"/>
      <c r="V16" s="858"/>
      <c r="W16" s="858">
        <f>SUMIFS(Input[Inst. Spt E&amp;G],Input[Institution Name],A16)
+SUMIFS(Input[Inst. Spt Desg],Input[Institution Name],A16)
+SUMIFS(Input[Inst. Spt R Exp],Input[Institution Name],A16)
+SUMIFS(Input[Inst. Spt Unexp],Input[Institution Name],A16)
+SUMIFS(Input[Cost Study Inst. Sppt],Input[Institution Name],A16)</f>
        <v>7562092</v>
      </c>
      <c r="X16" s="858"/>
      <c r="Y16" s="858"/>
      <c r="Z16" s="47"/>
    </row>
    <row r="17" spans="1:26" ht="27" customHeight="1" x14ac:dyDescent="0.55000000000000004">
      <c r="A17" s="868" t="s">
        <v>68</v>
      </c>
      <c r="B17" s="868"/>
      <c r="C17" s="868"/>
      <c r="D17" s="868"/>
      <c r="E17" s="868"/>
      <c r="F17" s="868"/>
      <c r="G17" s="868"/>
      <c r="H17" s="868"/>
      <c r="I17" s="864">
        <v>3630</v>
      </c>
      <c r="J17" s="864"/>
      <c r="K17" s="859">
        <f>SUMIFS(Input[Instr E&amp;G],Input[Institution Name],A17)
+SUMIFS(Input[Instr Desg],Input[Institution Name],A17)
+SUMIFS(Input[Instr R Exp],Input[Institution Name],A17)
+SUMIFS(Input[Instr Unexp],Input[Institution Name],A17)
+SUMIFS(Input[Cost Study Inst.],Input[Institution Name],A17)</f>
        <v>54881454</v>
      </c>
      <c r="L17" s="859"/>
      <c r="M17" s="859"/>
      <c r="N17" s="859">
        <f>SUMIFS(Input[Res E&amp;G],Input[Institution Name],A17)
+SUMIFS(Input[Res Desg],Input[Institution Name],A17)
+SUMIFS(Input[Res R Exp],Input[Institution Name],A17)
+SUMIFS(Input[Res Unexp],Input[Institution Name],A17)
+SUMIFS(Input[Cost Study Resh],Input[Institution Name],A17)</f>
        <v>30127361</v>
      </c>
      <c r="O17" s="859"/>
      <c r="P17" s="859"/>
      <c r="Q17" s="859">
        <f>SUMIFS(Input[Acad Sup E&amp;G],Input[Institution Name],A17)
+SUMIFS(Input[Acad Sup Desg],Input[Institution Name],A17)
+SUMIFS(Input[Acad Sup R Exp],Input[Institution Name],A17)
+SUMIFS(Input[Acad Sup Unexp],Input[Institution Name],A17)
+SUMIFS(Input[Cost Study Aca Sppt],Input[Institution Name],A17)</f>
        <v>34312991</v>
      </c>
      <c r="R17" s="859"/>
      <c r="S17" s="859"/>
      <c r="T17" s="859">
        <f>SUMIFS(Input[Stu Svc E&amp;G],Input[Institution Name],A17)
+SUMIFS(Input[Stu Svc Desg],Input[Institution Name],A17)
+SUMIFS(Input[Stu Svc R Exp],Input[Institution Name],A17)
+SUMIFS(Input[Stu Svc Unexp],Input[Institution Name],A17)
+SUMIFS(Input[Cost Study Stu Svcs],Input[Institution Name],A17)
-SUMIFS(Input[Cost Study Intr C. Ath],Input[Institution Name],A17)</f>
        <v>25232897</v>
      </c>
      <c r="U17" s="859"/>
      <c r="V17" s="859"/>
      <c r="W17" s="859">
        <f>SUMIFS(Input[Inst. Spt E&amp;G],Input[Institution Name],A17)
+SUMIFS(Input[Inst. Spt Desg],Input[Institution Name],A17)
+SUMIFS(Input[Inst. Spt R Exp],Input[Institution Name],A17)
+SUMIFS(Input[Inst. Spt Unexp],Input[Institution Name],A17)
+SUMIFS(Input[Cost Study Inst. Sppt],Input[Institution Name],A17)</f>
        <v>29723006</v>
      </c>
      <c r="X17" s="859"/>
      <c r="Y17" s="859"/>
      <c r="Z17" s="47"/>
    </row>
    <row r="18" spans="1:26" ht="27" customHeight="1" x14ac:dyDescent="0.55000000000000004">
      <c r="A18" s="867" t="s">
        <v>69</v>
      </c>
      <c r="B18" s="867"/>
      <c r="C18" s="867"/>
      <c r="D18" s="867"/>
      <c r="E18" s="867"/>
      <c r="F18" s="867"/>
      <c r="G18" s="867"/>
      <c r="H18" s="867"/>
      <c r="I18" s="863">
        <v>3631</v>
      </c>
      <c r="J18" s="863"/>
      <c r="K18" s="858">
        <f>SUMIFS(Input[Instr E&amp;G],Input[Institution Name],A18)
+SUMIFS(Input[Instr Desg],Input[Institution Name],A18)
+SUMIFS(Input[Instr R Exp],Input[Institution Name],A18)
+SUMIFS(Input[Instr Unexp],Input[Institution Name],A18)
+SUMIFS(Input[Cost Study Inst.],Input[Institution Name],A18)</f>
        <v>60078245</v>
      </c>
      <c r="L18" s="858"/>
      <c r="M18" s="858"/>
      <c r="N18" s="858">
        <f>SUMIFS(Input[Res E&amp;G],Input[Institution Name],A18)
+SUMIFS(Input[Res Desg],Input[Institution Name],A18)
+SUMIFS(Input[Res R Exp],Input[Institution Name],A18)
+SUMIFS(Input[Res Unexp],Input[Institution Name],A18)
+SUMIFS(Input[Cost Study Resh],Input[Institution Name],A18)</f>
        <v>22426105</v>
      </c>
      <c r="O18" s="858"/>
      <c r="P18" s="858"/>
      <c r="Q18" s="858">
        <f>SUMIFS(Input[Acad Sup E&amp;G],Input[Institution Name],A18)
+SUMIFS(Input[Acad Sup Desg],Input[Institution Name],A18)
+SUMIFS(Input[Acad Sup R Exp],Input[Institution Name],A18)
+SUMIFS(Input[Acad Sup Unexp],Input[Institution Name],A18)
+SUMIFS(Input[Cost Study Aca Sppt],Input[Institution Name],A18)</f>
        <v>32183153</v>
      </c>
      <c r="R18" s="858"/>
      <c r="S18" s="858"/>
      <c r="T18" s="858">
        <f>SUMIFS(Input[Stu Svc E&amp;G],Input[Institution Name],A18)
+SUMIFS(Input[Stu Svc Desg],Input[Institution Name],A18)
+SUMIFS(Input[Stu Svc R Exp],Input[Institution Name],A18)
+SUMIFS(Input[Stu Svc Unexp],Input[Institution Name],A18)
+SUMIFS(Input[Cost Study Stu Svcs],Input[Institution Name],A18)
-SUMIFS(Input[Cost Study Intr C. Ath],Input[Institution Name],A18)</f>
        <v>19984518</v>
      </c>
      <c r="U18" s="858"/>
      <c r="V18" s="858"/>
      <c r="W18" s="858">
        <f>SUMIFS(Input[Inst. Spt E&amp;G],Input[Institution Name],A18)
+SUMIFS(Input[Inst. Spt Desg],Input[Institution Name],A18)
+SUMIFS(Input[Inst. Spt R Exp],Input[Institution Name],A18)
+SUMIFS(Input[Inst. Spt Unexp],Input[Institution Name],A18)
+SUMIFS(Input[Cost Study Inst. Sppt],Input[Institution Name],A18)</f>
        <v>21816397</v>
      </c>
      <c r="X18" s="858"/>
      <c r="Y18" s="858"/>
      <c r="Z18" s="47"/>
    </row>
    <row r="19" spans="1:26" ht="27" customHeight="1" x14ac:dyDescent="0.55000000000000004">
      <c r="A19" s="868" t="s">
        <v>70</v>
      </c>
      <c r="B19" s="868"/>
      <c r="C19" s="868"/>
      <c r="D19" s="868"/>
      <c r="E19" s="868"/>
      <c r="F19" s="868"/>
      <c r="G19" s="868"/>
      <c r="H19" s="868"/>
      <c r="I19" s="864">
        <v>11161</v>
      </c>
      <c r="J19" s="864"/>
      <c r="K19" s="859">
        <f>SUMIFS(Input[Instr E&amp;G],Input[Institution Name],A19)
+SUMIFS(Input[Instr Desg],Input[Institution Name],A19)
+SUMIFS(Input[Instr R Exp],Input[Institution Name],A19)
+SUMIFS(Input[Instr Unexp],Input[Institution Name],A19)
+SUMIFS(Input[Cost Study Inst.],Input[Institution Name],A19)</f>
        <v>68869710</v>
      </c>
      <c r="L19" s="859"/>
      <c r="M19" s="859"/>
      <c r="N19" s="859">
        <f>SUMIFS(Input[Res E&amp;G],Input[Institution Name],A19)
+SUMIFS(Input[Res Desg],Input[Institution Name],A19)
+SUMIFS(Input[Res R Exp],Input[Institution Name],A19)
+SUMIFS(Input[Res Unexp],Input[Institution Name],A19)
+SUMIFS(Input[Cost Study Resh],Input[Institution Name],A19)</f>
        <v>44770129</v>
      </c>
      <c r="O19" s="859"/>
      <c r="P19" s="859"/>
      <c r="Q19" s="859">
        <f>SUMIFS(Input[Acad Sup E&amp;G],Input[Institution Name],A19)
+SUMIFS(Input[Acad Sup Desg],Input[Institution Name],A19)
+SUMIFS(Input[Acad Sup R Exp],Input[Institution Name],A19)
+SUMIFS(Input[Acad Sup Unexp],Input[Institution Name],A19)
+SUMIFS(Input[Cost Study Aca Sppt],Input[Institution Name],A19)</f>
        <v>31498453</v>
      </c>
      <c r="R19" s="859"/>
      <c r="S19" s="859"/>
      <c r="T19" s="859">
        <f>SUMIFS(Input[Stu Svc E&amp;G],Input[Institution Name],A19)
+SUMIFS(Input[Stu Svc Desg],Input[Institution Name],A19)
+SUMIFS(Input[Stu Svc R Exp],Input[Institution Name],A19)
+SUMIFS(Input[Stu Svc Unexp],Input[Institution Name],A19)
+SUMIFS(Input[Cost Study Stu Svcs],Input[Institution Name],A19)
-SUMIFS(Input[Cost Study Intr C. Ath],Input[Institution Name],A19)</f>
        <v>17045681</v>
      </c>
      <c r="U19" s="859"/>
      <c r="V19" s="859"/>
      <c r="W19" s="859">
        <f>SUMIFS(Input[Inst. Spt E&amp;G],Input[Institution Name],A19)
+SUMIFS(Input[Inst. Spt Desg],Input[Institution Name],A19)
+SUMIFS(Input[Inst. Spt R Exp],Input[Institution Name],A19)
+SUMIFS(Input[Inst. Spt Unexp],Input[Institution Name],A19)
+SUMIFS(Input[Cost Study Inst. Sppt],Input[Institution Name],A19)</f>
        <v>21190542</v>
      </c>
      <c r="X19" s="859"/>
      <c r="Y19" s="859"/>
      <c r="Z19" s="47"/>
    </row>
    <row r="20" spans="1:26" ht="27" customHeight="1" x14ac:dyDescent="0.55000000000000004">
      <c r="A20" s="867" t="s">
        <v>71</v>
      </c>
      <c r="B20" s="867"/>
      <c r="C20" s="867"/>
      <c r="D20" s="867"/>
      <c r="E20" s="867"/>
      <c r="F20" s="867"/>
      <c r="G20" s="867"/>
      <c r="H20" s="867"/>
      <c r="I20" s="863">
        <v>3639</v>
      </c>
      <c r="J20" s="863"/>
      <c r="K20" s="858">
        <f>SUMIFS(Input[Instr E&amp;G],Input[Institution Name],A20)
+SUMIFS(Input[Instr Desg],Input[Institution Name],A20)
+SUMIFS(Input[Instr R Exp],Input[Institution Name],A20)
+SUMIFS(Input[Instr Unexp],Input[Institution Name],A20)
+SUMIFS(Input[Cost Study Inst.],Input[Institution Name],A20)</f>
        <v>43630586</v>
      </c>
      <c r="L20" s="858"/>
      <c r="M20" s="858"/>
      <c r="N20" s="858">
        <f>SUMIFS(Input[Res E&amp;G],Input[Institution Name],A20)
+SUMIFS(Input[Res Desg],Input[Institution Name],A20)
+SUMIFS(Input[Res R Exp],Input[Institution Name],A20)
+SUMIFS(Input[Res Unexp],Input[Institution Name],A20)
+SUMIFS(Input[Cost Study Resh],Input[Institution Name],A20)</f>
        <v>27555500</v>
      </c>
      <c r="O20" s="858"/>
      <c r="P20" s="858"/>
      <c r="Q20" s="858">
        <f>SUMIFS(Input[Acad Sup E&amp;G],Input[Institution Name],A20)
+SUMIFS(Input[Acad Sup Desg],Input[Institution Name],A20)
+SUMIFS(Input[Acad Sup R Exp],Input[Institution Name],A20)
+SUMIFS(Input[Acad Sup Unexp],Input[Institution Name],A20)
+SUMIFS(Input[Cost Study Aca Sppt],Input[Institution Name],A20)</f>
        <v>18719976</v>
      </c>
      <c r="R20" s="858"/>
      <c r="S20" s="858"/>
      <c r="T20" s="858">
        <f>SUMIFS(Input[Stu Svc E&amp;G],Input[Institution Name],A20)
+SUMIFS(Input[Stu Svc Desg],Input[Institution Name],A20)
+SUMIFS(Input[Stu Svc R Exp],Input[Institution Name],A20)
+SUMIFS(Input[Stu Svc Unexp],Input[Institution Name],A20)
+SUMIFS(Input[Cost Study Stu Svcs],Input[Institution Name],A20)
-SUMIFS(Input[Cost Study Intr C. Ath],Input[Institution Name],A20)</f>
        <v>18310535</v>
      </c>
      <c r="U20" s="858"/>
      <c r="V20" s="858"/>
      <c r="W20" s="858">
        <f>SUMIFS(Input[Inst. Spt E&amp;G],Input[Institution Name],A20)
+SUMIFS(Input[Inst. Spt Desg],Input[Institution Name],A20)
+SUMIFS(Input[Inst. Spt R Exp],Input[Institution Name],A20)
+SUMIFS(Input[Inst. Spt Unexp],Input[Institution Name],A20)
+SUMIFS(Input[Cost Study Inst. Sppt],Input[Institution Name],A20)</f>
        <v>15217462</v>
      </c>
      <c r="X20" s="858"/>
      <c r="Y20" s="858"/>
      <c r="Z20" s="47"/>
    </row>
    <row r="21" spans="1:26" ht="27" customHeight="1" x14ac:dyDescent="0.55000000000000004">
      <c r="A21" s="868" t="s">
        <v>72</v>
      </c>
      <c r="B21" s="868"/>
      <c r="C21" s="868"/>
      <c r="D21" s="868"/>
      <c r="E21" s="868"/>
      <c r="F21" s="868"/>
      <c r="G21" s="868"/>
      <c r="H21" s="868"/>
      <c r="I21" s="864">
        <v>9651</v>
      </c>
      <c r="J21" s="864"/>
      <c r="K21" s="859">
        <f>SUMIFS(Input[Instr E&amp;G],Input[Institution Name],A21)
+SUMIFS(Input[Instr Desg],Input[Institution Name],A21)
+SUMIFS(Input[Instr R Exp],Input[Institution Name],A21)
+SUMIFS(Input[Instr Unexp],Input[Institution Name],A21)
+SUMIFS(Input[Cost Study Inst.],Input[Institution Name],A21)</f>
        <v>38931859</v>
      </c>
      <c r="L21" s="859"/>
      <c r="M21" s="859"/>
      <c r="N21" s="859">
        <f>SUMIFS(Input[Res E&amp;G],Input[Institution Name],A21)
+SUMIFS(Input[Res Desg],Input[Institution Name],A21)
+SUMIFS(Input[Res R Exp],Input[Institution Name],A21)
+SUMIFS(Input[Res Unexp],Input[Institution Name],A21)
+SUMIFS(Input[Cost Study Resh],Input[Institution Name],A21)</f>
        <v>7496980</v>
      </c>
      <c r="O21" s="859"/>
      <c r="P21" s="859"/>
      <c r="Q21" s="859">
        <f>SUMIFS(Input[Acad Sup E&amp;G],Input[Institution Name],A21)
+SUMIFS(Input[Acad Sup Desg],Input[Institution Name],A21)
+SUMIFS(Input[Acad Sup R Exp],Input[Institution Name],A21)
+SUMIFS(Input[Acad Sup Unexp],Input[Institution Name],A21)
+SUMIFS(Input[Cost Study Aca Sppt],Input[Institution Name],A21)</f>
        <v>26147083</v>
      </c>
      <c r="R21" s="859"/>
      <c r="S21" s="859"/>
      <c r="T21" s="859">
        <f>SUMIFS(Input[Stu Svc E&amp;G],Input[Institution Name],A21)
+SUMIFS(Input[Stu Svc Desg],Input[Institution Name],A21)
+SUMIFS(Input[Stu Svc R Exp],Input[Institution Name],A21)
+SUMIFS(Input[Stu Svc Unexp],Input[Institution Name],A21)
+SUMIFS(Input[Cost Study Stu Svcs],Input[Institution Name],A21)
-SUMIFS(Input[Cost Study Intr C. Ath],Input[Institution Name],A21)</f>
        <v>14391986</v>
      </c>
      <c r="U21" s="859"/>
      <c r="V21" s="859"/>
      <c r="W21" s="859">
        <f>SUMIFS(Input[Inst. Spt E&amp;G],Input[Institution Name],A21)
+SUMIFS(Input[Inst. Spt Desg],Input[Institution Name],A21)
+SUMIFS(Input[Inst. Spt R Exp],Input[Institution Name],A21)
+SUMIFS(Input[Inst. Spt Unexp],Input[Institution Name],A21)
+SUMIFS(Input[Cost Study Inst. Sppt],Input[Institution Name],A21)</f>
        <v>9449066</v>
      </c>
      <c r="X21" s="859"/>
      <c r="Y21" s="859"/>
      <c r="Z21" s="47"/>
    </row>
    <row r="22" spans="1:26" ht="27" customHeight="1" x14ac:dyDescent="0.55000000000000004">
      <c r="A22" s="867" t="s">
        <v>73</v>
      </c>
      <c r="B22" s="867"/>
      <c r="C22" s="867"/>
      <c r="D22" s="867"/>
      <c r="E22" s="867"/>
      <c r="F22" s="867"/>
      <c r="G22" s="867"/>
      <c r="H22" s="867"/>
      <c r="I22" s="863">
        <v>3665</v>
      </c>
      <c r="J22" s="863"/>
      <c r="K22" s="858">
        <f>SUMIFS(Input[Instr E&amp;G],Input[Institution Name],A22)
+SUMIFS(Input[Instr Desg],Input[Institution Name],A22)
+SUMIFS(Input[Instr R Exp],Input[Institution Name],A22)
+SUMIFS(Input[Instr Unexp],Input[Institution Name],A22)
+SUMIFS(Input[Cost Study Inst.],Input[Institution Name],A22)</f>
        <v>47662347</v>
      </c>
      <c r="L22" s="858"/>
      <c r="M22" s="858"/>
      <c r="N22" s="858">
        <f>SUMIFS(Input[Res E&amp;G],Input[Institution Name],A22)
+SUMIFS(Input[Res Desg],Input[Institution Name],A22)
+SUMIFS(Input[Res R Exp],Input[Institution Name],A22)
+SUMIFS(Input[Res Unexp],Input[Institution Name],A22)
+SUMIFS(Input[Cost Study Resh],Input[Institution Name],A22)</f>
        <v>10944717</v>
      </c>
      <c r="O22" s="858"/>
      <c r="P22" s="858"/>
      <c r="Q22" s="858">
        <f>SUMIFS(Input[Acad Sup E&amp;G],Input[Institution Name],A22)
+SUMIFS(Input[Acad Sup Desg],Input[Institution Name],A22)
+SUMIFS(Input[Acad Sup R Exp],Input[Institution Name],A22)
+SUMIFS(Input[Acad Sup Unexp],Input[Institution Name],A22)
+SUMIFS(Input[Cost Study Aca Sppt],Input[Institution Name],A22)</f>
        <v>21268182</v>
      </c>
      <c r="R22" s="858"/>
      <c r="S22" s="858"/>
      <c r="T22" s="858">
        <f>SUMIFS(Input[Stu Svc E&amp;G],Input[Institution Name],A22)
+SUMIFS(Input[Stu Svc Desg],Input[Institution Name],A22)
+SUMIFS(Input[Stu Svc R Exp],Input[Institution Name],A22)
+SUMIFS(Input[Stu Svc Unexp],Input[Institution Name],A22)
+SUMIFS(Input[Cost Study Stu Svcs],Input[Institution Name],A22)
-SUMIFS(Input[Cost Study Intr C. Ath],Input[Institution Name],A22)</f>
        <v>11631043</v>
      </c>
      <c r="U22" s="858"/>
      <c r="V22" s="858"/>
      <c r="W22" s="858">
        <f>SUMIFS(Input[Inst. Spt E&amp;G],Input[Institution Name],A22)
+SUMIFS(Input[Inst. Spt Desg],Input[Institution Name],A22)
+SUMIFS(Input[Inst. Spt R Exp],Input[Institution Name],A22)
+SUMIFS(Input[Inst. Spt Unexp],Input[Institution Name],A22)
+SUMIFS(Input[Cost Study Inst. Sppt],Input[Institution Name],A22)</f>
        <v>14342857</v>
      </c>
      <c r="X22" s="858"/>
      <c r="Y22" s="858"/>
      <c r="Z22" s="47"/>
    </row>
    <row r="23" spans="1:26" ht="27" customHeight="1" x14ac:dyDescent="0.55000000000000004">
      <c r="A23" s="868" t="s">
        <v>1788</v>
      </c>
      <c r="B23" s="868"/>
      <c r="C23" s="868"/>
      <c r="D23" s="868"/>
      <c r="E23" s="868"/>
      <c r="F23" s="868"/>
      <c r="G23" s="868"/>
      <c r="H23" s="868"/>
      <c r="I23" s="864">
        <v>3565</v>
      </c>
      <c r="J23" s="864"/>
      <c r="K23" s="859">
        <f>SUMIFS(Input[Instr E&amp;G],Input[Institution Name],A23)
+SUMIFS(Input[Instr Desg],Input[Institution Name],A23)
+SUMIFS(Input[Instr R Exp],Input[Institution Name],A23)
+SUMIFS(Input[Instr Unexp],Input[Institution Name],A23)
+SUMIFS(Input[Cost Study Inst.],Input[Institution Name],A23)</f>
        <v>61430377</v>
      </c>
      <c r="L23" s="859"/>
      <c r="M23" s="859"/>
      <c r="N23" s="859">
        <f>SUMIFS(Input[Res E&amp;G],Input[Institution Name],A23)
+SUMIFS(Input[Res Desg],Input[Institution Name],A23)
+SUMIFS(Input[Res R Exp],Input[Institution Name],A23)
+SUMIFS(Input[Res Unexp],Input[Institution Name],A23)
+SUMIFS(Input[Cost Study Resh],Input[Institution Name],A23)</f>
        <v>6394537</v>
      </c>
      <c r="O23" s="859"/>
      <c r="P23" s="859"/>
      <c r="Q23" s="859">
        <f>SUMIFS(Input[Acad Sup E&amp;G],Input[Institution Name],A23)
+SUMIFS(Input[Acad Sup Desg],Input[Institution Name],A23)
+SUMIFS(Input[Acad Sup R Exp],Input[Institution Name],A23)
+SUMIFS(Input[Acad Sup Unexp],Input[Institution Name],A23)
+SUMIFS(Input[Cost Study Aca Sppt],Input[Institution Name],A23)</f>
        <v>18563577</v>
      </c>
      <c r="R23" s="859"/>
      <c r="S23" s="859"/>
      <c r="T23" s="859">
        <f>SUMIFS(Input[Stu Svc E&amp;G],Input[Institution Name],A23)
+SUMIFS(Input[Stu Svc Desg],Input[Institution Name],A23)
+SUMIFS(Input[Stu Svc R Exp],Input[Institution Name],A23)
+SUMIFS(Input[Stu Svc Unexp],Input[Institution Name],A23)
+SUMIFS(Input[Cost Study Stu Svcs],Input[Institution Name],A23)
-SUMIFS(Input[Cost Study Intr C. Ath],Input[Institution Name],A23)</f>
        <v>20901574</v>
      </c>
      <c r="U23" s="859"/>
      <c r="V23" s="859"/>
      <c r="W23" s="859">
        <f>SUMIFS(Input[Inst. Spt E&amp;G],Input[Institution Name],A23)
+SUMIFS(Input[Inst. Spt Desg],Input[Institution Name],A23)
+SUMIFS(Input[Inst. Spt R Exp],Input[Institution Name],A23)
+SUMIFS(Input[Inst. Spt Unexp],Input[Institution Name],A23)
+SUMIFS(Input[Cost Study Inst. Sppt],Input[Institution Name],A23)</f>
        <v>16721627</v>
      </c>
      <c r="X23" s="859"/>
      <c r="Y23" s="859"/>
      <c r="Z23" s="47"/>
    </row>
    <row r="24" spans="1:26" ht="27" customHeight="1" x14ac:dyDescent="0.55000000000000004">
      <c r="A24" s="867" t="s">
        <v>75</v>
      </c>
      <c r="B24" s="867"/>
      <c r="C24" s="867"/>
      <c r="D24" s="867"/>
      <c r="E24" s="867"/>
      <c r="F24" s="867"/>
      <c r="G24" s="867"/>
      <c r="H24" s="867"/>
      <c r="I24" s="863">
        <v>29269</v>
      </c>
      <c r="J24" s="863"/>
      <c r="K24" s="858">
        <f>SUMIFS(Input[Instr E&amp;G],Input[Institution Name],A24)
+SUMIFS(Input[Instr Desg],Input[Institution Name],A24)
+SUMIFS(Input[Instr R Exp],Input[Institution Name],A24)
+SUMIFS(Input[Instr Unexp],Input[Institution Name],A24)
+SUMIFS(Input[Cost Study Inst.],Input[Institution Name],A24)</f>
        <v>23131698</v>
      </c>
      <c r="L24" s="858"/>
      <c r="M24" s="858"/>
      <c r="N24" s="858">
        <f>SUMIFS(Input[Res E&amp;G],Input[Institution Name],A24)
+SUMIFS(Input[Res Desg],Input[Institution Name],A24)
+SUMIFS(Input[Res R Exp],Input[Institution Name],A24)
+SUMIFS(Input[Res Unexp],Input[Institution Name],A24)
+SUMIFS(Input[Cost Study Resh],Input[Institution Name],A24)</f>
        <v>107704</v>
      </c>
      <c r="O24" s="858"/>
      <c r="P24" s="858"/>
      <c r="Q24" s="858">
        <f>SUMIFS(Input[Acad Sup E&amp;G],Input[Institution Name],A24)
+SUMIFS(Input[Acad Sup Desg],Input[Institution Name],A24)
+SUMIFS(Input[Acad Sup R Exp],Input[Institution Name],A24)
+SUMIFS(Input[Acad Sup Unexp],Input[Institution Name],A24)
+SUMIFS(Input[Cost Study Aca Sppt],Input[Institution Name],A24)</f>
        <v>4971514</v>
      </c>
      <c r="R24" s="858"/>
      <c r="S24" s="858"/>
      <c r="T24" s="858">
        <f>SUMIFS(Input[Stu Svc E&amp;G],Input[Institution Name],A24)
+SUMIFS(Input[Stu Svc Desg],Input[Institution Name],A24)
+SUMIFS(Input[Stu Svc R Exp],Input[Institution Name],A24)
+SUMIFS(Input[Stu Svc Unexp],Input[Institution Name],A24)
+SUMIFS(Input[Cost Study Stu Svcs],Input[Institution Name],A24)
-SUMIFS(Input[Cost Study Intr C. Ath],Input[Institution Name],A24)</f>
        <v>4440468</v>
      </c>
      <c r="U24" s="858"/>
      <c r="V24" s="858"/>
      <c r="W24" s="858">
        <f>SUMIFS(Input[Inst. Spt E&amp;G],Input[Institution Name],A24)
+SUMIFS(Input[Inst. Spt Desg],Input[Institution Name],A24)
+SUMIFS(Input[Inst. Spt R Exp],Input[Institution Name],A24)
+SUMIFS(Input[Inst. Spt Unexp],Input[Institution Name],A24)
+SUMIFS(Input[Cost Study Inst. Sppt],Input[Institution Name],A24)</f>
        <v>9330426</v>
      </c>
      <c r="X24" s="858"/>
      <c r="Y24" s="858"/>
      <c r="Z24" s="47"/>
    </row>
    <row r="25" spans="1:26" ht="27" customHeight="1" x14ac:dyDescent="0.55000000000000004">
      <c r="A25" s="868" t="s">
        <v>76</v>
      </c>
      <c r="B25" s="868"/>
      <c r="C25" s="868"/>
      <c r="D25" s="868"/>
      <c r="E25" s="868"/>
      <c r="F25" s="868"/>
      <c r="G25" s="868"/>
      <c r="H25" s="868"/>
      <c r="I25" s="864">
        <v>42295</v>
      </c>
      <c r="J25" s="864"/>
      <c r="K25" s="859">
        <f>SUMIFS(Input[Instr E&amp;G],Input[Institution Name],A25)
+SUMIFS(Input[Instr Desg],Input[Institution Name],A25)
+SUMIFS(Input[Instr R Exp],Input[Institution Name],A25)
+SUMIFS(Input[Instr Unexp],Input[Institution Name],A25)
+SUMIFS(Input[Cost Study Inst.],Input[Institution Name],A25)</f>
        <v>12839398</v>
      </c>
      <c r="L25" s="859"/>
      <c r="M25" s="859"/>
      <c r="N25" s="859">
        <f>SUMIFS(Input[Res E&amp;G],Input[Institution Name],A25)
+SUMIFS(Input[Res Desg],Input[Institution Name],A25)
+SUMIFS(Input[Res R Exp],Input[Institution Name],A25)
+SUMIFS(Input[Res Unexp],Input[Institution Name],A25)
+SUMIFS(Input[Cost Study Resh],Input[Institution Name],A25)</f>
        <v>2265428</v>
      </c>
      <c r="O25" s="859"/>
      <c r="P25" s="859"/>
      <c r="Q25" s="859">
        <f>SUMIFS(Input[Acad Sup E&amp;G],Input[Institution Name],A25)
+SUMIFS(Input[Acad Sup Desg],Input[Institution Name],A25)
+SUMIFS(Input[Acad Sup R Exp],Input[Institution Name],A25)
+SUMIFS(Input[Acad Sup Unexp],Input[Institution Name],A25)
+SUMIFS(Input[Cost Study Aca Sppt],Input[Institution Name],A25)</f>
        <v>7907806</v>
      </c>
      <c r="R25" s="859"/>
      <c r="S25" s="859"/>
      <c r="T25" s="859">
        <f>SUMIFS(Input[Stu Svc E&amp;G],Input[Institution Name],A25)
+SUMIFS(Input[Stu Svc Desg],Input[Institution Name],A25)
+SUMIFS(Input[Stu Svc R Exp],Input[Institution Name],A25)
+SUMIFS(Input[Stu Svc Unexp],Input[Institution Name],A25)
+SUMIFS(Input[Cost Study Stu Svcs],Input[Institution Name],A25)
-SUMIFS(Input[Cost Study Intr C. Ath],Input[Institution Name],A25)</f>
        <v>7570870</v>
      </c>
      <c r="U25" s="859"/>
      <c r="V25" s="859"/>
      <c r="W25" s="859">
        <f>SUMIFS(Input[Inst. Spt E&amp;G],Input[Institution Name],A25)
+SUMIFS(Input[Inst. Spt Desg],Input[Institution Name],A25)
+SUMIFS(Input[Inst. Spt R Exp],Input[Institution Name],A25)
+SUMIFS(Input[Inst. Spt Unexp],Input[Institution Name],A25)
+SUMIFS(Input[Cost Study Inst. Sppt],Input[Institution Name],A25)</f>
        <v>5281970</v>
      </c>
      <c r="X25" s="859"/>
      <c r="Y25" s="859"/>
      <c r="Z25" s="47"/>
    </row>
    <row r="26" spans="1:26" ht="27" customHeight="1" x14ac:dyDescent="0.55000000000000004">
      <c r="A26" s="867" t="s">
        <v>77</v>
      </c>
      <c r="B26" s="867"/>
      <c r="C26" s="867"/>
      <c r="D26" s="867"/>
      <c r="E26" s="867"/>
      <c r="F26" s="867"/>
      <c r="G26" s="867"/>
      <c r="H26" s="867"/>
      <c r="I26" s="863">
        <v>42485</v>
      </c>
      <c r="J26" s="863"/>
      <c r="K26" s="858">
        <f>SUMIFS(Input[Instr E&amp;G],Input[Institution Name],A26)
+SUMIFS(Input[Instr Desg],Input[Institution Name],A26)
+SUMIFS(Input[Instr R Exp],Input[Institution Name],A26)
+SUMIFS(Input[Instr Unexp],Input[Institution Name],A26)
+SUMIFS(Input[Cost Study Inst.],Input[Institution Name],A26)</f>
        <v>31500476</v>
      </c>
      <c r="L26" s="858"/>
      <c r="M26" s="858"/>
      <c r="N26" s="858">
        <f>SUMIFS(Input[Res E&amp;G],Input[Institution Name],A26)
+SUMIFS(Input[Res Desg],Input[Institution Name],A26)
+SUMIFS(Input[Res R Exp],Input[Institution Name],A26)
+SUMIFS(Input[Res Unexp],Input[Institution Name],A26)
+SUMIFS(Input[Cost Study Resh],Input[Institution Name],A26)</f>
        <v>6238510</v>
      </c>
      <c r="O26" s="858"/>
      <c r="P26" s="858"/>
      <c r="Q26" s="858">
        <f>SUMIFS(Input[Acad Sup E&amp;G],Input[Institution Name],A26)
+SUMIFS(Input[Acad Sup Desg],Input[Institution Name],A26)
+SUMIFS(Input[Acad Sup R Exp],Input[Institution Name],A26)
+SUMIFS(Input[Acad Sup Unexp],Input[Institution Name],A26)
+SUMIFS(Input[Cost Study Aca Sppt],Input[Institution Name],A26)</f>
        <v>11593540</v>
      </c>
      <c r="R26" s="858"/>
      <c r="S26" s="858"/>
      <c r="T26" s="858">
        <f>SUMIFS(Input[Stu Svc E&amp;G],Input[Institution Name],A26)
+SUMIFS(Input[Stu Svc Desg],Input[Institution Name],A26)
+SUMIFS(Input[Stu Svc R Exp],Input[Institution Name],A26)
+SUMIFS(Input[Stu Svc Unexp],Input[Institution Name],A26)
+SUMIFS(Input[Cost Study Stu Svcs],Input[Institution Name],A26)
-SUMIFS(Input[Cost Study Intr C. Ath],Input[Institution Name],A26)</f>
        <v>22822369</v>
      </c>
      <c r="U26" s="858"/>
      <c r="V26" s="858"/>
      <c r="W26" s="858">
        <f>SUMIFS(Input[Inst. Spt E&amp;G],Input[Institution Name],A26)
+SUMIFS(Input[Inst. Spt Desg],Input[Institution Name],A26)
+SUMIFS(Input[Inst. Spt R Exp],Input[Institution Name],A26)
+SUMIFS(Input[Inst. Spt Unexp],Input[Institution Name],A26)
+SUMIFS(Input[Cost Study Inst. Sppt],Input[Institution Name],A26)</f>
        <v>11898440</v>
      </c>
      <c r="X26" s="858"/>
      <c r="Y26" s="858"/>
      <c r="Z26" s="47"/>
    </row>
    <row r="27" spans="1:26" ht="27" customHeight="1" x14ac:dyDescent="0.55000000000000004">
      <c r="A27" s="871" t="s">
        <v>78</v>
      </c>
      <c r="B27" s="871"/>
      <c r="C27" s="871"/>
      <c r="D27" s="871"/>
      <c r="E27" s="871"/>
      <c r="F27" s="871"/>
      <c r="G27" s="871"/>
      <c r="H27" s="871"/>
      <c r="I27" s="864">
        <v>3652</v>
      </c>
      <c r="J27" s="864"/>
      <c r="K27" s="859">
        <f>SUMIFS(Input[Instr E&amp;G],Input[Institution Name],A27)
+SUMIFS(Input[Instr Desg],Input[Institution Name],A27)
+SUMIFS(Input[Instr R Exp],Input[Institution Name],A27)
+SUMIFS(Input[Instr Unexp],Input[Institution Name],A27)
+SUMIFS(Input[Cost Study Inst.],Input[Institution Name],A27)</f>
        <v>295445842</v>
      </c>
      <c r="L27" s="859"/>
      <c r="M27" s="859"/>
      <c r="N27" s="859">
        <f>SUMIFS(Input[Res E&amp;G],Input[Institution Name],A27)
+SUMIFS(Input[Res Desg],Input[Institution Name],A27)
+SUMIFS(Input[Res R Exp],Input[Institution Name],A27)
+SUMIFS(Input[Res Unexp],Input[Institution Name],A27)
+SUMIFS(Input[Cost Study Resh],Input[Institution Name],A27)</f>
        <v>177663195</v>
      </c>
      <c r="O27" s="859"/>
      <c r="P27" s="859"/>
      <c r="Q27" s="859">
        <f>SUMIFS(Input[Acad Sup E&amp;G],Input[Institution Name],A27)
+SUMIFS(Input[Acad Sup Desg],Input[Institution Name],A27)
+SUMIFS(Input[Acad Sup R Exp],Input[Institution Name],A27)
+SUMIFS(Input[Acad Sup Unexp],Input[Institution Name],A27)
+SUMIFS(Input[Cost Study Aca Sppt],Input[Institution Name],A27)</f>
        <v>190715110</v>
      </c>
      <c r="R27" s="859"/>
      <c r="S27" s="859"/>
      <c r="T27" s="859">
        <f>SUMIFS(Input[Stu Svc E&amp;G],Input[Institution Name],A27)
+SUMIFS(Input[Stu Svc Desg],Input[Institution Name],A27)
+SUMIFS(Input[Stu Svc R Exp],Input[Institution Name],A27)
+SUMIFS(Input[Stu Svc Unexp],Input[Institution Name],A27)
+SUMIFS(Input[Cost Study Stu Svcs],Input[Institution Name],A27)
-SUMIFS(Input[Cost Study Intr C. Ath],Input[Institution Name],A27)</f>
        <v>34892381</v>
      </c>
      <c r="U27" s="859"/>
      <c r="V27" s="859"/>
      <c r="W27" s="859">
        <f>SUMIFS(Input[Inst. Spt E&amp;G],Input[Institution Name],A27)
+SUMIFS(Input[Inst. Spt Desg],Input[Institution Name],A27)
+SUMIFS(Input[Inst. Spt R Exp],Input[Institution Name],A27)
+SUMIFS(Input[Inst. Spt Unexp],Input[Institution Name],A27)
+SUMIFS(Input[Cost Study Inst. Sppt],Input[Institution Name],A27)</f>
        <v>80336437</v>
      </c>
      <c r="X27" s="859"/>
      <c r="Y27" s="859"/>
      <c r="Z27" s="47"/>
    </row>
    <row r="28" spans="1:26" ht="27" customHeight="1" x14ac:dyDescent="0.55000000000000004">
      <c r="A28" s="867" t="s">
        <v>79</v>
      </c>
      <c r="B28" s="867"/>
      <c r="C28" s="867"/>
      <c r="D28" s="867"/>
      <c r="E28" s="867"/>
      <c r="F28" s="867"/>
      <c r="G28" s="867"/>
      <c r="H28" s="867"/>
      <c r="I28" s="863">
        <v>11711</v>
      </c>
      <c r="J28" s="863"/>
      <c r="K28" s="858">
        <f>SUMIFS(Input[Instr E&amp;G],Input[Institution Name],A28)
+SUMIFS(Input[Instr Desg],Input[Institution Name],A28)
+SUMIFS(Input[Instr R Exp],Input[Institution Name],A28)
+SUMIFS(Input[Instr Unexp],Input[Institution Name],A28)
+SUMIFS(Input[Cost Study Inst.],Input[Institution Name],A28)</f>
        <v>48805794</v>
      </c>
      <c r="L28" s="858"/>
      <c r="M28" s="858"/>
      <c r="N28" s="858">
        <f>SUMIFS(Input[Res E&amp;G],Input[Institution Name],A28)
+SUMIFS(Input[Res Desg],Input[Institution Name],A28)
+SUMIFS(Input[Res R Exp],Input[Institution Name],A28)
+SUMIFS(Input[Res Unexp],Input[Institution Name],A28)
+SUMIFS(Input[Cost Study Resh],Input[Institution Name],A28)</f>
        <v>3346858</v>
      </c>
      <c r="O28" s="858"/>
      <c r="P28" s="858"/>
      <c r="Q28" s="858">
        <f>SUMIFS(Input[Acad Sup E&amp;G],Input[Institution Name],A28)
+SUMIFS(Input[Acad Sup Desg],Input[Institution Name],A28)
+SUMIFS(Input[Acad Sup R Exp],Input[Institution Name],A28)
+SUMIFS(Input[Acad Sup Unexp],Input[Institution Name],A28)
+SUMIFS(Input[Cost Study Aca Sppt],Input[Institution Name],A28)</f>
        <v>31784814</v>
      </c>
      <c r="R28" s="858"/>
      <c r="S28" s="858"/>
      <c r="T28" s="858">
        <f>SUMIFS(Input[Stu Svc E&amp;G],Input[Institution Name],A28)
+SUMIFS(Input[Stu Svc Desg],Input[Institution Name],A28)
+SUMIFS(Input[Stu Svc R Exp],Input[Institution Name],A28)
+SUMIFS(Input[Stu Svc Unexp],Input[Institution Name],A28)
+SUMIFS(Input[Cost Study Stu Svcs],Input[Institution Name],A28)
-SUMIFS(Input[Cost Study Intr C. Ath],Input[Institution Name],A28)</f>
        <v>9545146</v>
      </c>
      <c r="U28" s="858"/>
      <c r="V28" s="858"/>
      <c r="W28" s="858">
        <f>SUMIFS(Input[Inst. Spt E&amp;G],Input[Institution Name],A28)
+SUMIFS(Input[Inst. Spt Desg],Input[Institution Name],A28)
+SUMIFS(Input[Inst. Spt R Exp],Input[Institution Name],A28)
+SUMIFS(Input[Inst. Spt Unexp],Input[Institution Name],A28)
+SUMIFS(Input[Cost Study Inst. Sppt],Input[Institution Name],A28)</f>
        <v>19239429</v>
      </c>
      <c r="X28" s="858"/>
      <c r="Y28" s="858"/>
      <c r="Z28" s="47"/>
    </row>
    <row r="29" spans="1:26" ht="27" customHeight="1" x14ac:dyDescent="0.55000000000000004">
      <c r="A29" s="868" t="s">
        <v>80</v>
      </c>
      <c r="B29" s="868"/>
      <c r="C29" s="868"/>
      <c r="D29" s="868"/>
      <c r="E29" s="868"/>
      <c r="F29" s="868"/>
      <c r="G29" s="868"/>
      <c r="H29" s="868"/>
      <c r="I29" s="864">
        <v>12826</v>
      </c>
      <c r="J29" s="864"/>
      <c r="K29" s="859">
        <f>SUMIFS(Input[Instr E&amp;G],Input[Institution Name],A29)
+SUMIFS(Input[Instr Desg],Input[Institution Name],A29)
+SUMIFS(Input[Instr R Exp],Input[Institution Name],A29)
+SUMIFS(Input[Instr Unexp],Input[Institution Name],A29)
+SUMIFS(Input[Cost Study Inst.],Input[Institution Name],A29)</f>
        <v>57869491</v>
      </c>
      <c r="L29" s="859"/>
      <c r="M29" s="859"/>
      <c r="N29" s="859">
        <f>SUMIFS(Input[Res E&amp;G],Input[Institution Name],A29)
+SUMIFS(Input[Res Desg],Input[Institution Name],A29)
+SUMIFS(Input[Res R Exp],Input[Institution Name],A29)
+SUMIFS(Input[Res Unexp],Input[Institution Name],A29)
+SUMIFS(Input[Cost Study Resh],Input[Institution Name],A29)</f>
        <v>3131303</v>
      </c>
      <c r="O29" s="859"/>
      <c r="P29" s="859"/>
      <c r="Q29" s="859">
        <f>SUMIFS(Input[Acad Sup E&amp;G],Input[Institution Name],A29)
+SUMIFS(Input[Acad Sup Desg],Input[Institution Name],A29)
+SUMIFS(Input[Acad Sup R Exp],Input[Institution Name],A29)
+SUMIFS(Input[Acad Sup Unexp],Input[Institution Name],A29)
+SUMIFS(Input[Cost Study Aca Sppt],Input[Institution Name],A29)</f>
        <v>33510486</v>
      </c>
      <c r="R29" s="859"/>
      <c r="S29" s="859"/>
      <c r="T29" s="859">
        <f>SUMIFS(Input[Stu Svc E&amp;G],Input[Institution Name],A29)
+SUMIFS(Input[Stu Svc Desg],Input[Institution Name],A29)
+SUMIFS(Input[Stu Svc R Exp],Input[Institution Name],A29)
+SUMIFS(Input[Stu Svc Unexp],Input[Institution Name],A29)
+SUMIFS(Input[Cost Study Stu Svcs],Input[Institution Name],A29)
-SUMIFS(Input[Cost Study Intr C. Ath],Input[Institution Name],A29)</f>
        <v>8808312</v>
      </c>
      <c r="U29" s="859"/>
      <c r="V29" s="859"/>
      <c r="W29" s="859">
        <f>SUMIFS(Input[Inst. Spt E&amp;G],Input[Institution Name],A29)
+SUMIFS(Input[Inst. Spt Desg],Input[Institution Name],A29)
+SUMIFS(Input[Inst. Spt R Exp],Input[Institution Name],A29)
+SUMIFS(Input[Inst. Spt Unexp],Input[Institution Name],A29)
+SUMIFS(Input[Cost Study Inst. Sppt],Input[Institution Name],A29)</f>
        <v>33643728</v>
      </c>
      <c r="X29" s="859"/>
      <c r="Y29" s="859"/>
      <c r="Z29" s="47"/>
    </row>
    <row r="30" spans="1:26" ht="27" customHeight="1" x14ac:dyDescent="0.55000000000000004">
      <c r="A30" s="867" t="s">
        <v>81</v>
      </c>
      <c r="B30" s="867"/>
      <c r="C30" s="867"/>
      <c r="D30" s="867"/>
      <c r="E30" s="867"/>
      <c r="F30" s="867"/>
      <c r="G30" s="867"/>
      <c r="H30" s="867"/>
      <c r="I30" s="863">
        <v>13231</v>
      </c>
      <c r="J30" s="863"/>
      <c r="K30" s="858">
        <f>SUMIFS(Input[Instr E&amp;G],Input[Institution Name],A30)
+SUMIFS(Input[Instr Desg],Input[Institution Name],A30)
+SUMIFS(Input[Instr R Exp],Input[Institution Name],A30)
+SUMIFS(Input[Instr Unexp],Input[Institution Name],A30)
+SUMIFS(Input[Cost Study Inst.],Input[Institution Name],A30)</f>
        <v>20761100</v>
      </c>
      <c r="L30" s="858"/>
      <c r="M30" s="858"/>
      <c r="N30" s="858">
        <f>SUMIFS(Input[Res E&amp;G],Input[Institution Name],A30)
+SUMIFS(Input[Res Desg],Input[Institution Name],A30)
+SUMIFS(Input[Res R Exp],Input[Institution Name],A30)
+SUMIFS(Input[Res Unexp],Input[Institution Name],A30)
+SUMIFS(Input[Cost Study Resh],Input[Institution Name],A30)</f>
        <v>810498</v>
      </c>
      <c r="O30" s="858"/>
      <c r="P30" s="858"/>
      <c r="Q30" s="858">
        <f>SUMIFS(Input[Acad Sup E&amp;G],Input[Institution Name],A30)
+SUMIFS(Input[Acad Sup Desg],Input[Institution Name],A30)
+SUMIFS(Input[Acad Sup R Exp],Input[Institution Name],A30)
+SUMIFS(Input[Acad Sup Unexp],Input[Institution Name],A30)
+SUMIFS(Input[Cost Study Aca Sppt],Input[Institution Name],A30)</f>
        <v>8382817</v>
      </c>
      <c r="R30" s="858"/>
      <c r="S30" s="858"/>
      <c r="T30" s="858">
        <f>SUMIFS(Input[Stu Svc E&amp;G],Input[Institution Name],A30)
+SUMIFS(Input[Stu Svc Desg],Input[Institution Name],A30)
+SUMIFS(Input[Stu Svc R Exp],Input[Institution Name],A30)
+SUMIFS(Input[Stu Svc Unexp],Input[Institution Name],A30)
+SUMIFS(Input[Cost Study Stu Svcs],Input[Institution Name],A30)
-SUMIFS(Input[Cost Study Intr C. Ath],Input[Institution Name],A30)</f>
        <v>6234418</v>
      </c>
      <c r="U30" s="858"/>
      <c r="V30" s="858"/>
      <c r="W30" s="858">
        <f>SUMIFS(Input[Inst. Spt E&amp;G],Input[Institution Name],A30)
+SUMIFS(Input[Inst. Spt Desg],Input[Institution Name],A30)
+SUMIFS(Input[Inst. Spt R Exp],Input[Institution Name],A30)
+SUMIFS(Input[Inst. Spt Unexp],Input[Institution Name],A30)
+SUMIFS(Input[Cost Study Inst. Sppt],Input[Institution Name],A30)</f>
        <v>5403430</v>
      </c>
      <c r="X30" s="858"/>
      <c r="Y30" s="858"/>
      <c r="Z30" s="47"/>
    </row>
    <row r="31" spans="1:26" ht="27" customHeight="1" x14ac:dyDescent="0.55000000000000004">
      <c r="A31" s="868" t="s">
        <v>1417</v>
      </c>
      <c r="B31" s="868"/>
      <c r="C31" s="868"/>
      <c r="D31" s="868"/>
      <c r="E31" s="868"/>
      <c r="F31" s="868"/>
      <c r="G31" s="868"/>
      <c r="H31" s="868"/>
      <c r="I31" s="864">
        <v>3581</v>
      </c>
      <c r="J31" s="864"/>
      <c r="K31" s="859">
        <f>SUMIFS(Input[Instr E&amp;G],Input[Institution Name],A31)
+SUMIFS(Input[Instr Desg],Input[Institution Name],A31)
+SUMIFS(Input[Instr R Exp],Input[Institution Name],A31)
+SUMIFS(Input[Instr Unexp],Input[Institution Name],A31)
+SUMIFS(Input[Cost Study Inst.],Input[Institution Name],A31)</f>
        <v>68085234</v>
      </c>
      <c r="L31" s="859"/>
      <c r="M31" s="859"/>
      <c r="N31" s="859">
        <f>SUMIFS(Input[Res E&amp;G],Input[Institution Name],A31)
+SUMIFS(Input[Res Desg],Input[Institution Name],A31)
+SUMIFS(Input[Res R Exp],Input[Institution Name],A31)
+SUMIFS(Input[Res Unexp],Input[Institution Name],A31)
+SUMIFS(Input[Cost Study Resh],Input[Institution Name],A31)</f>
        <v>9851106</v>
      </c>
      <c r="O31" s="859"/>
      <c r="P31" s="859"/>
      <c r="Q31" s="859">
        <f>SUMIFS(Input[Acad Sup E&amp;G],Input[Institution Name],A31)
+SUMIFS(Input[Acad Sup Desg],Input[Institution Name],A31)
+SUMIFS(Input[Acad Sup R Exp],Input[Institution Name],A31)
+SUMIFS(Input[Acad Sup Unexp],Input[Institution Name],A31)
+SUMIFS(Input[Cost Study Aca Sppt],Input[Institution Name],A31)</f>
        <v>53319161</v>
      </c>
      <c r="R31" s="859"/>
      <c r="S31" s="859"/>
      <c r="T31" s="859">
        <f>SUMIFS(Input[Stu Svc E&amp;G],Input[Institution Name],A31)
+SUMIFS(Input[Stu Svc Desg],Input[Institution Name],A31)
+SUMIFS(Input[Stu Svc R Exp],Input[Institution Name],A31)
+SUMIFS(Input[Stu Svc Unexp],Input[Institution Name],A31)
+SUMIFS(Input[Cost Study Stu Svcs],Input[Institution Name],A31)
-SUMIFS(Input[Cost Study Intr C. Ath],Input[Institution Name],A31)</f>
        <v>11391856</v>
      </c>
      <c r="U31" s="859"/>
      <c r="V31" s="859"/>
      <c r="W31" s="859">
        <f>SUMIFS(Input[Inst. Spt E&amp;G],Input[Institution Name],A31)
+SUMIFS(Input[Inst. Spt Desg],Input[Institution Name],A31)
+SUMIFS(Input[Inst. Spt R Exp],Input[Institution Name],A31)
+SUMIFS(Input[Inst. Spt Unexp],Input[Institution Name],A31)
+SUMIFS(Input[Cost Study Inst. Sppt],Input[Institution Name],A31)</f>
        <v>21217368</v>
      </c>
      <c r="X31" s="859"/>
      <c r="Y31" s="859"/>
      <c r="Z31" s="47"/>
    </row>
    <row r="32" spans="1:26" ht="27" customHeight="1" x14ac:dyDescent="0.55000000000000004">
      <c r="A32" s="870" t="s">
        <v>82</v>
      </c>
      <c r="B32" s="870"/>
      <c r="C32" s="870"/>
      <c r="D32" s="870"/>
      <c r="E32" s="870"/>
      <c r="F32" s="870"/>
      <c r="G32" s="870"/>
      <c r="H32" s="870"/>
      <c r="I32" s="863">
        <v>3606</v>
      </c>
      <c r="J32" s="863"/>
      <c r="K32" s="858">
        <f>SUMIFS(Input[Instr E&amp;G],Input[Institution Name],A32)
+SUMIFS(Input[Instr Desg],Input[Institution Name],A32)
+SUMIFS(Input[Instr R Exp],Input[Institution Name],A32)
+SUMIFS(Input[Instr Unexp],Input[Institution Name],A32)
+SUMIFS(Input[Cost Study Inst.],Input[Institution Name],A32)</f>
        <v>113366616</v>
      </c>
      <c r="L32" s="858"/>
      <c r="M32" s="858"/>
      <c r="N32" s="858">
        <f>SUMIFS(Input[Res E&amp;G],Input[Institution Name],A32)
+SUMIFS(Input[Res Desg],Input[Institution Name],A32)
+SUMIFS(Input[Res R Exp],Input[Institution Name],A32)
+SUMIFS(Input[Res Unexp],Input[Institution Name],A32)
+SUMIFS(Input[Cost Study Resh],Input[Institution Name],A32)</f>
        <v>14680311</v>
      </c>
      <c r="O32" s="858"/>
      <c r="P32" s="858"/>
      <c r="Q32" s="858">
        <f>SUMIFS(Input[Acad Sup E&amp;G],Input[Institution Name],A32)
+SUMIFS(Input[Acad Sup Desg],Input[Institution Name],A32)
+SUMIFS(Input[Acad Sup R Exp],Input[Institution Name],A32)
+SUMIFS(Input[Acad Sup Unexp],Input[Institution Name],A32)
+SUMIFS(Input[Cost Study Aca Sppt],Input[Institution Name],A32)</f>
        <v>63966077</v>
      </c>
      <c r="R32" s="858"/>
      <c r="S32" s="858"/>
      <c r="T32" s="858">
        <f>SUMIFS(Input[Stu Svc E&amp;G],Input[Institution Name],A32)
+SUMIFS(Input[Stu Svc Desg],Input[Institution Name],A32)
+SUMIFS(Input[Stu Svc R Exp],Input[Institution Name],A32)
+SUMIFS(Input[Stu Svc Unexp],Input[Institution Name],A32)
+SUMIFS(Input[Cost Study Stu Svcs],Input[Institution Name],A32)
-SUMIFS(Input[Cost Study Intr C. Ath],Input[Institution Name],A32)</f>
        <v>7032909</v>
      </c>
      <c r="U32" s="858"/>
      <c r="V32" s="858"/>
      <c r="W32" s="858">
        <f>SUMIFS(Input[Inst. Spt E&amp;G],Input[Institution Name],A32)
+SUMIFS(Input[Inst. Spt Desg],Input[Institution Name],A32)
+SUMIFS(Input[Inst. Spt R Exp],Input[Institution Name],A32)
+SUMIFS(Input[Inst. Spt Unexp],Input[Institution Name],A32)
+SUMIFS(Input[Cost Study Inst. Sppt],Input[Institution Name],A32)</f>
        <v>33462714</v>
      </c>
      <c r="X32" s="858"/>
      <c r="Y32" s="858"/>
      <c r="Z32" s="47"/>
    </row>
    <row r="33" spans="1:26" ht="27" customHeight="1" x14ac:dyDescent="0.55000000000000004">
      <c r="A33" s="868" t="s">
        <v>83</v>
      </c>
      <c r="B33" s="868"/>
      <c r="C33" s="868"/>
      <c r="D33" s="868"/>
      <c r="E33" s="868"/>
      <c r="F33" s="868"/>
      <c r="G33" s="868"/>
      <c r="H33" s="868"/>
      <c r="I33" s="864">
        <v>3615</v>
      </c>
      <c r="J33" s="864"/>
      <c r="K33" s="859">
        <f>SUMIFS(Input[Instr E&amp;G],Input[Institution Name],A33)
+SUMIFS(Input[Instr Desg],Input[Institution Name],A33)
+SUMIFS(Input[Instr R Exp],Input[Institution Name],A33)
+SUMIFS(Input[Instr Unexp],Input[Institution Name],A33)
+SUMIFS(Input[Cost Study Inst.],Input[Institution Name],A33)</f>
        <v>204838775</v>
      </c>
      <c r="L33" s="859"/>
      <c r="M33" s="859"/>
      <c r="N33" s="859">
        <f>SUMIFS(Input[Res E&amp;G],Input[Institution Name],A33)
+SUMIFS(Input[Res Desg],Input[Institution Name],A33)
+SUMIFS(Input[Res R Exp],Input[Institution Name],A33)
+SUMIFS(Input[Res Unexp],Input[Institution Name],A33)
+SUMIFS(Input[Cost Study Resh],Input[Institution Name],A33)</f>
        <v>154887069</v>
      </c>
      <c r="O33" s="859"/>
      <c r="P33" s="859"/>
      <c r="Q33" s="859">
        <f>SUMIFS(Input[Acad Sup E&amp;G],Input[Institution Name],A33)
+SUMIFS(Input[Acad Sup Desg],Input[Institution Name],A33)
+SUMIFS(Input[Acad Sup R Exp],Input[Institution Name],A33)
+SUMIFS(Input[Acad Sup Unexp],Input[Institution Name],A33)
+SUMIFS(Input[Cost Study Aca Sppt],Input[Institution Name],A33)</f>
        <v>62637173</v>
      </c>
      <c r="R33" s="859"/>
      <c r="S33" s="859"/>
      <c r="T33" s="859">
        <f>SUMIFS(Input[Stu Svc E&amp;G],Input[Institution Name],A33)
+SUMIFS(Input[Stu Svc Desg],Input[Institution Name],A33)
+SUMIFS(Input[Stu Svc R Exp],Input[Institution Name],A33)
+SUMIFS(Input[Stu Svc Unexp],Input[Institution Name],A33)
+SUMIFS(Input[Cost Study Stu Svcs],Input[Institution Name],A33)
-SUMIFS(Input[Cost Study Intr C. Ath],Input[Institution Name],A33)</f>
        <v>25539772</v>
      </c>
      <c r="U33" s="859"/>
      <c r="V33" s="859"/>
      <c r="W33" s="859">
        <f>SUMIFS(Input[Inst. Spt E&amp;G],Input[Institution Name],A33)
+SUMIFS(Input[Inst. Spt Desg],Input[Institution Name],A33)
+SUMIFS(Input[Inst. Spt R Exp],Input[Institution Name],A33)
+SUMIFS(Input[Inst. Spt Unexp],Input[Institution Name],A33)
+SUMIFS(Input[Cost Study Inst. Sppt],Input[Institution Name],A33)</f>
        <v>44919475</v>
      </c>
      <c r="X33" s="859"/>
      <c r="Y33" s="859"/>
      <c r="Z33" s="47"/>
    </row>
    <row r="34" spans="1:26" ht="27" customHeight="1" x14ac:dyDescent="0.55000000000000004">
      <c r="A34" s="867" t="s">
        <v>84</v>
      </c>
      <c r="B34" s="867"/>
      <c r="C34" s="867"/>
      <c r="D34" s="867"/>
      <c r="E34" s="867"/>
      <c r="F34" s="867"/>
      <c r="G34" s="867"/>
      <c r="H34" s="867"/>
      <c r="I34" s="863">
        <v>3625</v>
      </c>
      <c r="J34" s="863"/>
      <c r="K34" s="858">
        <f>SUMIFS(Input[Instr E&amp;G],Input[Institution Name],A34)
+SUMIFS(Input[Instr Desg],Input[Institution Name],A34)
+SUMIFS(Input[Instr R Exp],Input[Institution Name],A34)
+SUMIFS(Input[Instr Unexp],Input[Institution Name],A34)
+SUMIFS(Input[Cost Study Inst.],Input[Institution Name],A34)</f>
        <v>12250893</v>
      </c>
      <c r="L34" s="858"/>
      <c r="M34" s="858"/>
      <c r="N34" s="858">
        <f>SUMIFS(Input[Res E&amp;G],Input[Institution Name],A34)
+SUMIFS(Input[Res Desg],Input[Institution Name],A34)
+SUMIFS(Input[Res R Exp],Input[Institution Name],A34)
+SUMIFS(Input[Res Unexp],Input[Institution Name],A34)
+SUMIFS(Input[Cost Study Resh],Input[Institution Name],A34)</f>
        <v>6249154</v>
      </c>
      <c r="O34" s="858"/>
      <c r="P34" s="858"/>
      <c r="Q34" s="858">
        <f>SUMIFS(Input[Acad Sup E&amp;G],Input[Institution Name],A34)
+SUMIFS(Input[Acad Sup Desg],Input[Institution Name],A34)
+SUMIFS(Input[Acad Sup R Exp],Input[Institution Name],A34)
+SUMIFS(Input[Acad Sup Unexp],Input[Institution Name],A34)
+SUMIFS(Input[Cost Study Aca Sppt],Input[Institution Name],A34)</f>
        <v>5341004</v>
      </c>
      <c r="R34" s="858"/>
      <c r="S34" s="858"/>
      <c r="T34" s="858">
        <f>SUMIFS(Input[Stu Svc E&amp;G],Input[Institution Name],A34)
+SUMIFS(Input[Stu Svc Desg],Input[Institution Name],A34)
+SUMIFS(Input[Stu Svc R Exp],Input[Institution Name],A34)
+SUMIFS(Input[Stu Svc Unexp],Input[Institution Name],A34)
+SUMIFS(Input[Cost Study Stu Svcs],Input[Institution Name],A34)
-SUMIFS(Input[Cost Study Intr C. Ath],Input[Institution Name],A34)</f>
        <v>2798584</v>
      </c>
      <c r="U34" s="858"/>
      <c r="V34" s="858"/>
      <c r="W34" s="858">
        <f>SUMIFS(Input[Inst. Spt E&amp;G],Input[Institution Name],A34)
+SUMIFS(Input[Inst. Spt Desg],Input[Institution Name],A34)
+SUMIFS(Input[Inst. Spt R Exp],Input[Institution Name],A34)
+SUMIFS(Input[Inst. Spt Unexp],Input[Institution Name],A34)
+SUMIFS(Input[Cost Study Inst. Sppt],Input[Institution Name],A34)</f>
        <v>10985877</v>
      </c>
      <c r="X34" s="858"/>
      <c r="Y34" s="858"/>
      <c r="Z34" s="47"/>
    </row>
    <row r="35" spans="1:26" ht="27" customHeight="1" x14ac:dyDescent="0.55000000000000004">
      <c r="A35" s="868" t="s">
        <v>85</v>
      </c>
      <c r="B35" s="868"/>
      <c r="C35" s="868"/>
      <c r="D35" s="868"/>
      <c r="E35" s="868"/>
      <c r="F35" s="868"/>
      <c r="G35" s="868"/>
      <c r="H35" s="868"/>
      <c r="I35" s="864">
        <v>3644</v>
      </c>
      <c r="J35" s="864"/>
      <c r="K35" s="859">
        <f>SUMIFS(Input[Instr E&amp;G],Input[Institution Name],A35)
+SUMIFS(Input[Instr Desg],Input[Institution Name],A35)
+SUMIFS(Input[Instr R Exp],Input[Institution Name],A35)
+SUMIFS(Input[Instr Unexp],Input[Institution Name],A35)
+SUMIFS(Input[Cost Study Inst.],Input[Institution Name],A35)</f>
        <v>260730041</v>
      </c>
      <c r="L35" s="859"/>
      <c r="M35" s="859"/>
      <c r="N35" s="859">
        <f>SUMIFS(Input[Res E&amp;G],Input[Institution Name],A35)
+SUMIFS(Input[Res Desg],Input[Institution Name],A35)
+SUMIFS(Input[Res R Exp],Input[Institution Name],A35)
+SUMIFS(Input[Res Unexp],Input[Institution Name],A35)
+SUMIFS(Input[Cost Study Resh],Input[Institution Name],A35)</f>
        <v>236037389</v>
      </c>
      <c r="O35" s="859"/>
      <c r="P35" s="859"/>
      <c r="Q35" s="859">
        <f>SUMIFS(Input[Acad Sup E&amp;G],Input[Institution Name],A35)
+SUMIFS(Input[Acad Sup Desg],Input[Institution Name],A35)
+SUMIFS(Input[Acad Sup R Exp],Input[Institution Name],A35)
+SUMIFS(Input[Acad Sup Unexp],Input[Institution Name],A35)
+SUMIFS(Input[Cost Study Aca Sppt],Input[Institution Name],A35)</f>
        <v>137332694</v>
      </c>
      <c r="R35" s="859"/>
      <c r="S35" s="859"/>
      <c r="T35" s="859">
        <f>SUMIFS(Input[Stu Svc E&amp;G],Input[Institution Name],A35)
+SUMIFS(Input[Stu Svc Desg],Input[Institution Name],A35)
+SUMIFS(Input[Stu Svc R Exp],Input[Institution Name],A35)
+SUMIFS(Input[Stu Svc Unexp],Input[Institution Name],A35)
+SUMIFS(Input[Cost Study Stu Svcs],Input[Institution Name],A35)
-SUMIFS(Input[Cost Study Intr C. Ath],Input[Institution Name],A35)</f>
        <v>75248092</v>
      </c>
      <c r="U35" s="859"/>
      <c r="V35" s="859"/>
      <c r="W35" s="859">
        <f>SUMIFS(Input[Inst. Spt E&amp;G],Input[Institution Name],A35)
+SUMIFS(Input[Inst. Spt Desg],Input[Institution Name],A35)
+SUMIFS(Input[Inst. Spt R Exp],Input[Institution Name],A35)
+SUMIFS(Input[Inst. Spt Unexp],Input[Institution Name],A35)
+SUMIFS(Input[Cost Study Inst. Sppt],Input[Institution Name],A35)</f>
        <v>70311100</v>
      </c>
      <c r="X35" s="859"/>
      <c r="Y35" s="859"/>
      <c r="Z35" s="47"/>
    </row>
    <row r="36" spans="1:26" ht="27" customHeight="1" x14ac:dyDescent="0.55000000000000004">
      <c r="A36" s="867" t="s">
        <v>86</v>
      </c>
      <c r="B36" s="867"/>
      <c r="C36" s="867"/>
      <c r="D36" s="867"/>
      <c r="E36" s="867"/>
      <c r="F36" s="867"/>
      <c r="G36" s="867"/>
      <c r="H36" s="867"/>
      <c r="I36" s="863">
        <v>3541</v>
      </c>
      <c r="J36" s="863"/>
      <c r="K36" s="858">
        <f>SUMIFS(Input[Instr E&amp;G],Input[Institution Name],A36)
+SUMIFS(Input[Instr Desg],Input[Institution Name],A36)
+SUMIFS(Input[Instr R Exp],Input[Institution Name],A36)
+SUMIFS(Input[Instr Unexp],Input[Institution Name],A36)
+SUMIFS(Input[Cost Study Inst.],Input[Institution Name],A36)</f>
        <v>54321567</v>
      </c>
      <c r="L36" s="858"/>
      <c r="M36" s="858"/>
      <c r="N36" s="858">
        <f>SUMIFS(Input[Res E&amp;G],Input[Institution Name],A36)
+SUMIFS(Input[Res Desg],Input[Institution Name],A36)
+SUMIFS(Input[Res R Exp],Input[Institution Name],A36)
+SUMIFS(Input[Res Unexp],Input[Institution Name],A36)
+SUMIFS(Input[Cost Study Resh],Input[Institution Name],A36)</f>
        <v>983086</v>
      </c>
      <c r="O36" s="858"/>
      <c r="P36" s="858"/>
      <c r="Q36" s="858">
        <f>SUMIFS(Input[Acad Sup E&amp;G],Input[Institution Name],A36)
+SUMIFS(Input[Acad Sup Desg],Input[Institution Name],A36)
+SUMIFS(Input[Acad Sup R Exp],Input[Institution Name],A36)
+SUMIFS(Input[Acad Sup Unexp],Input[Institution Name],A36)
+SUMIFS(Input[Cost Study Aca Sppt],Input[Institution Name],A36)</f>
        <v>8061498</v>
      </c>
      <c r="R36" s="858"/>
      <c r="S36" s="858"/>
      <c r="T36" s="858">
        <f>SUMIFS(Input[Stu Svc E&amp;G],Input[Institution Name],A36)
+SUMIFS(Input[Stu Svc Desg],Input[Institution Name],A36)
+SUMIFS(Input[Stu Svc R Exp],Input[Institution Name],A36)
+SUMIFS(Input[Stu Svc Unexp],Input[Institution Name],A36)
+SUMIFS(Input[Cost Study Stu Svcs],Input[Institution Name],A36)
-SUMIFS(Input[Cost Study Intr C. Ath],Input[Institution Name],A36)</f>
        <v>11280046</v>
      </c>
      <c r="U36" s="858"/>
      <c r="V36" s="858"/>
      <c r="W36" s="858">
        <f>SUMIFS(Input[Inst. Spt E&amp;G],Input[Institution Name],A36)
+SUMIFS(Input[Inst. Spt Desg],Input[Institution Name],A36)
+SUMIFS(Input[Inst. Spt R Exp],Input[Institution Name],A36)
+SUMIFS(Input[Inst. Spt Unexp],Input[Institution Name],A36)
+SUMIFS(Input[Cost Study Inst. Sppt],Input[Institution Name],A36)</f>
        <v>19996170</v>
      </c>
      <c r="X36" s="858"/>
      <c r="Y36" s="858"/>
      <c r="Z36" s="47"/>
    </row>
    <row r="37" spans="1:26" ht="27" customHeight="1" x14ac:dyDescent="0.55000000000000004">
      <c r="A37" s="868" t="s">
        <v>87</v>
      </c>
      <c r="B37" s="868"/>
      <c r="C37" s="868"/>
      <c r="D37" s="868"/>
      <c r="E37" s="868"/>
      <c r="F37" s="868"/>
      <c r="G37" s="868"/>
      <c r="H37" s="868"/>
      <c r="I37" s="864">
        <v>3594</v>
      </c>
      <c r="J37" s="864"/>
      <c r="K37" s="859">
        <f>SUMIFS(Input[Instr E&amp;G],Input[Institution Name],A37)
+SUMIFS(Input[Instr Desg],Input[Institution Name],A37)
+SUMIFS(Input[Instr R Exp],Input[Institution Name],A37)
+SUMIFS(Input[Instr Unexp],Input[Institution Name],A37)
+SUMIFS(Input[Cost Study Inst.],Input[Institution Name],A37)</f>
        <v>225774453</v>
      </c>
      <c r="L37" s="859"/>
      <c r="M37" s="859"/>
      <c r="N37" s="859">
        <f>SUMIFS(Input[Res E&amp;G],Input[Institution Name],A37)
+SUMIFS(Input[Res Desg],Input[Institution Name],A37)
+SUMIFS(Input[Res R Exp],Input[Institution Name],A37)
+SUMIFS(Input[Res Unexp],Input[Institution Name],A37)
+SUMIFS(Input[Cost Study Resh],Input[Institution Name],A37)</f>
        <v>112311689</v>
      </c>
      <c r="O37" s="859"/>
      <c r="P37" s="859"/>
      <c r="Q37" s="859">
        <f>SUMIFS(Input[Acad Sup E&amp;G],Input[Institution Name],A37)
+SUMIFS(Input[Acad Sup Desg],Input[Institution Name],A37)
+SUMIFS(Input[Acad Sup R Exp],Input[Institution Name],A37)
+SUMIFS(Input[Acad Sup Unexp],Input[Institution Name],A37)
+SUMIFS(Input[Cost Study Aca Sppt],Input[Institution Name],A37)</f>
        <v>82676266</v>
      </c>
      <c r="R37" s="859"/>
      <c r="S37" s="859"/>
      <c r="T37" s="859">
        <f>SUMIFS(Input[Stu Svc E&amp;G],Input[Institution Name],A37)
+SUMIFS(Input[Stu Svc Desg],Input[Institution Name],A37)
+SUMIFS(Input[Stu Svc R Exp],Input[Institution Name],A37)
+SUMIFS(Input[Stu Svc Unexp],Input[Institution Name],A37)
+SUMIFS(Input[Cost Study Stu Svcs],Input[Institution Name],A37)
-SUMIFS(Input[Cost Study Intr C. Ath],Input[Institution Name],A37)</f>
        <v>70297012</v>
      </c>
      <c r="U37" s="859"/>
      <c r="V37" s="859"/>
      <c r="W37" s="859">
        <f>SUMIFS(Input[Inst. Spt E&amp;G],Input[Institution Name],A37)
+SUMIFS(Input[Inst. Spt Desg],Input[Institution Name],A37)
+SUMIFS(Input[Inst. Spt R Exp],Input[Institution Name],A37)
+SUMIFS(Input[Inst. Spt Unexp],Input[Institution Name],A37)
+SUMIFS(Input[Cost Study Inst. Sppt],Input[Institution Name],A37)</f>
        <v>64507748</v>
      </c>
      <c r="X37" s="859"/>
      <c r="Y37" s="859"/>
      <c r="Z37" s="47"/>
    </row>
    <row r="38" spans="1:26" ht="27" customHeight="1" x14ac:dyDescent="0.55000000000000004">
      <c r="A38" s="867" t="s">
        <v>88</v>
      </c>
      <c r="B38" s="867"/>
      <c r="C38" s="867"/>
      <c r="D38" s="867"/>
      <c r="E38" s="867"/>
      <c r="F38" s="867"/>
      <c r="G38" s="867"/>
      <c r="H38" s="867"/>
      <c r="I38" s="863">
        <v>42421</v>
      </c>
      <c r="J38" s="863"/>
      <c r="K38" s="858">
        <f>SUMIFS(Input[Instr E&amp;G],Input[Institution Name],A38)
+SUMIFS(Input[Instr Desg],Input[Institution Name],A38)
+SUMIFS(Input[Instr R Exp],Input[Institution Name],A38)
+SUMIFS(Input[Instr Unexp],Input[Institution Name],A38)
+SUMIFS(Input[Cost Study Inst.],Input[Institution Name],A38)</f>
        <v>20171497</v>
      </c>
      <c r="L38" s="858"/>
      <c r="M38" s="858"/>
      <c r="N38" s="858">
        <f>SUMIFS(Input[Res E&amp;G],Input[Institution Name],A38)
+SUMIFS(Input[Res Desg],Input[Institution Name],A38)
+SUMIFS(Input[Res R Exp],Input[Institution Name],A38)
+SUMIFS(Input[Res Unexp],Input[Institution Name],A38)
+SUMIFS(Input[Cost Study Resh],Input[Institution Name],A38)</f>
        <v>1012912</v>
      </c>
      <c r="O38" s="858"/>
      <c r="P38" s="858"/>
      <c r="Q38" s="858">
        <f>SUMIFS(Input[Acad Sup E&amp;G],Input[Institution Name],A38)
+SUMIFS(Input[Acad Sup Desg],Input[Institution Name],A38)
+SUMIFS(Input[Acad Sup R Exp],Input[Institution Name],A38)
+SUMIFS(Input[Acad Sup Unexp],Input[Institution Name],A38)
+SUMIFS(Input[Cost Study Aca Sppt],Input[Institution Name],A38)</f>
        <v>7599214</v>
      </c>
      <c r="R38" s="858"/>
      <c r="S38" s="858"/>
      <c r="T38" s="858">
        <f>SUMIFS(Input[Stu Svc E&amp;G],Input[Institution Name],A38)
+SUMIFS(Input[Stu Svc Desg],Input[Institution Name],A38)
+SUMIFS(Input[Stu Svc R Exp],Input[Institution Name],A38)
+SUMIFS(Input[Stu Svc Unexp],Input[Institution Name],A38)
+SUMIFS(Input[Cost Study Stu Svcs],Input[Institution Name],A38)
-SUMIFS(Input[Cost Study Intr C. Ath],Input[Institution Name],A38)</f>
        <v>11643428</v>
      </c>
      <c r="U38" s="858"/>
      <c r="V38" s="858"/>
      <c r="W38" s="858">
        <f>SUMIFS(Input[Inst. Spt E&amp;G],Input[Institution Name],A38)
+SUMIFS(Input[Inst. Spt Desg],Input[Institution Name],A38)
+SUMIFS(Input[Inst. Spt R Exp],Input[Institution Name],A38)
+SUMIFS(Input[Inst. Spt Unexp],Input[Institution Name],A38)
+SUMIFS(Input[Cost Study Inst. Sppt],Input[Institution Name],A38)</f>
        <v>8841156</v>
      </c>
      <c r="X38" s="858"/>
      <c r="Y38" s="858"/>
      <c r="Z38" s="47"/>
    </row>
    <row r="39" spans="1:26" ht="27" customHeight="1" x14ac:dyDescent="0.55000000000000004">
      <c r="A39" s="868" t="s">
        <v>89</v>
      </c>
      <c r="B39" s="868"/>
      <c r="C39" s="868"/>
      <c r="D39" s="868"/>
      <c r="E39" s="868"/>
      <c r="F39" s="868"/>
      <c r="G39" s="868"/>
      <c r="H39" s="868"/>
      <c r="I39" s="864">
        <v>3592</v>
      </c>
      <c r="J39" s="864"/>
      <c r="K39" s="859">
        <f>SUMIFS(Input[Instr E&amp;G],Input[Institution Name],A39)
+SUMIFS(Input[Instr Desg],Input[Institution Name],A39)
+SUMIFS(Input[Instr R Exp],Input[Institution Name],A39)
+SUMIFS(Input[Instr Unexp],Input[Institution Name],A39)
+SUMIFS(Input[Cost Study Inst.],Input[Institution Name],A39)</f>
        <v>33819475</v>
      </c>
      <c r="L39" s="859"/>
      <c r="M39" s="859"/>
      <c r="N39" s="859">
        <f>SUMIFS(Input[Res E&amp;G],Input[Institution Name],A39)
+SUMIFS(Input[Res Desg],Input[Institution Name],A39)
+SUMIFS(Input[Res R Exp],Input[Institution Name],A39)
+SUMIFS(Input[Res Unexp],Input[Institution Name],A39)
+SUMIFS(Input[Cost Study Resh],Input[Institution Name],A39)</f>
        <v>1012029</v>
      </c>
      <c r="O39" s="859"/>
      <c r="P39" s="859"/>
      <c r="Q39" s="859">
        <f>SUMIFS(Input[Acad Sup E&amp;G],Input[Institution Name],A39)
+SUMIFS(Input[Acad Sup Desg],Input[Institution Name],A39)
+SUMIFS(Input[Acad Sup R Exp],Input[Institution Name],A39)
+SUMIFS(Input[Acad Sup Unexp],Input[Institution Name],A39)
+SUMIFS(Input[Cost Study Aca Sppt],Input[Institution Name],A39)</f>
        <v>8344022</v>
      </c>
      <c r="R39" s="859"/>
      <c r="S39" s="859"/>
      <c r="T39" s="859">
        <f>SUMIFS(Input[Stu Svc E&amp;G],Input[Institution Name],A39)
+SUMIFS(Input[Stu Svc Desg],Input[Institution Name],A39)
+SUMIFS(Input[Stu Svc R Exp],Input[Institution Name],A39)
+SUMIFS(Input[Stu Svc Unexp],Input[Institution Name],A39)
+SUMIFS(Input[Cost Study Stu Svcs],Input[Institution Name],A39)
-SUMIFS(Input[Cost Study Intr C. Ath],Input[Institution Name],A39)</f>
        <v>13471395</v>
      </c>
      <c r="U39" s="859"/>
      <c r="V39" s="859"/>
      <c r="W39" s="859">
        <f>SUMIFS(Input[Inst. Spt E&amp;G],Input[Institution Name],A39)
+SUMIFS(Input[Inst. Spt Desg],Input[Institution Name],A39)
+SUMIFS(Input[Inst. Spt R Exp],Input[Institution Name],A39)
+SUMIFS(Input[Inst. Spt Unexp],Input[Institution Name],A39)
+SUMIFS(Input[Cost Study Inst. Sppt],Input[Institution Name],A39)</f>
        <v>8153027</v>
      </c>
      <c r="X39" s="859"/>
      <c r="Y39" s="859"/>
      <c r="Z39" s="47"/>
    </row>
    <row r="40" spans="1:26" ht="27" customHeight="1" x14ac:dyDescent="0.55000000000000004">
      <c r="A40" s="867" t="s">
        <v>90</v>
      </c>
      <c r="B40" s="867"/>
      <c r="C40" s="867"/>
      <c r="D40" s="867"/>
      <c r="E40" s="867"/>
      <c r="F40" s="867"/>
      <c r="G40" s="867"/>
      <c r="H40" s="867"/>
      <c r="I40" s="863">
        <v>3624</v>
      </c>
      <c r="J40" s="863"/>
      <c r="K40" s="858">
        <f>SUMIFS(Input[Instr E&amp;G],Input[Institution Name],A40)
+SUMIFS(Input[Instr Desg],Input[Institution Name],A40)
+SUMIFS(Input[Instr R Exp],Input[Institution Name],A40)
+SUMIFS(Input[Instr Unexp],Input[Institution Name],A40)
+SUMIFS(Input[Cost Study Inst.],Input[Institution Name],A40)</f>
        <v>71571654</v>
      </c>
      <c r="L40" s="858"/>
      <c r="M40" s="858"/>
      <c r="N40" s="858">
        <f>SUMIFS(Input[Res E&amp;G],Input[Institution Name],A40)
+SUMIFS(Input[Res Desg],Input[Institution Name],A40)
+SUMIFS(Input[Res R Exp],Input[Institution Name],A40)
+SUMIFS(Input[Res Unexp],Input[Institution Name],A40)
+SUMIFS(Input[Cost Study Resh],Input[Institution Name],A40)</f>
        <v>4208681</v>
      </c>
      <c r="O40" s="858"/>
      <c r="P40" s="858"/>
      <c r="Q40" s="858">
        <f>SUMIFS(Input[Acad Sup E&amp;G],Input[Institution Name],A40)
+SUMIFS(Input[Acad Sup Desg],Input[Institution Name],A40)
+SUMIFS(Input[Acad Sup R Exp],Input[Institution Name],A40)
+SUMIFS(Input[Acad Sup Unexp],Input[Institution Name],A40)
+SUMIFS(Input[Cost Study Aca Sppt],Input[Institution Name],A40)</f>
        <v>21726219</v>
      </c>
      <c r="R40" s="858"/>
      <c r="S40" s="858"/>
      <c r="T40" s="858">
        <f>SUMIFS(Input[Stu Svc E&amp;G],Input[Institution Name],A40)
+SUMIFS(Input[Stu Svc Desg],Input[Institution Name],A40)
+SUMIFS(Input[Stu Svc R Exp],Input[Institution Name],A40)
+SUMIFS(Input[Stu Svc Unexp],Input[Institution Name],A40)
+SUMIFS(Input[Cost Study Stu Svcs],Input[Institution Name],A40)
-SUMIFS(Input[Cost Study Intr C. Ath],Input[Institution Name],A40)</f>
        <v>12350468</v>
      </c>
      <c r="U40" s="858"/>
      <c r="V40" s="858"/>
      <c r="W40" s="858">
        <f>SUMIFS(Input[Inst. Spt E&amp;G],Input[Institution Name],A40)
+SUMIFS(Input[Inst. Spt Desg],Input[Institution Name],A40)
+SUMIFS(Input[Inst. Spt R Exp],Input[Institution Name],A40)
+SUMIFS(Input[Inst. Spt Unexp],Input[Institution Name],A40)
+SUMIFS(Input[Cost Study Inst. Sppt],Input[Institution Name],A40)</f>
        <v>36253835</v>
      </c>
      <c r="X40" s="858"/>
      <c r="Y40" s="858"/>
      <c r="Z40" s="47"/>
    </row>
    <row r="41" spans="1:26" ht="27" customHeight="1" x14ac:dyDescent="0.55000000000000004">
      <c r="A41" s="868" t="s">
        <v>91</v>
      </c>
      <c r="B41" s="868"/>
      <c r="C41" s="868"/>
      <c r="D41" s="868"/>
      <c r="E41" s="868"/>
      <c r="F41" s="868"/>
      <c r="G41" s="868"/>
      <c r="H41" s="868"/>
      <c r="I41" s="864">
        <v>3642</v>
      </c>
      <c r="J41" s="864"/>
      <c r="K41" s="859">
        <f>SUMIFS(Input[Instr E&amp;G],Input[Institution Name],A41)
+SUMIFS(Input[Instr Desg],Input[Institution Name],A41)
+SUMIFS(Input[Instr R Exp],Input[Institution Name],A41)
+SUMIFS(Input[Instr Unexp],Input[Institution Name],A41)
+SUMIFS(Input[Cost Study Inst.],Input[Institution Name],A41)</f>
        <v>55626554</v>
      </c>
      <c r="L41" s="859"/>
      <c r="M41" s="859"/>
      <c r="N41" s="859">
        <f>SUMIFS(Input[Res E&amp;G],Input[Institution Name],A41)
+SUMIFS(Input[Res Desg],Input[Institution Name],A41)
+SUMIFS(Input[Res R Exp],Input[Institution Name],A41)
+SUMIFS(Input[Res Unexp],Input[Institution Name],A41)
+SUMIFS(Input[Cost Study Resh],Input[Institution Name],A41)</f>
        <v>4952692</v>
      </c>
      <c r="O41" s="859"/>
      <c r="P41" s="859"/>
      <c r="Q41" s="859">
        <f>SUMIFS(Input[Acad Sup E&amp;G],Input[Institution Name],A41)
+SUMIFS(Input[Acad Sup Desg],Input[Institution Name],A41)
+SUMIFS(Input[Acad Sup R Exp],Input[Institution Name],A41)
+SUMIFS(Input[Acad Sup Unexp],Input[Institution Name],A41)
+SUMIFS(Input[Cost Study Aca Sppt],Input[Institution Name],A41)</f>
        <v>8732930</v>
      </c>
      <c r="R41" s="859"/>
      <c r="S41" s="859"/>
      <c r="T41" s="859">
        <f>SUMIFS(Input[Stu Svc E&amp;G],Input[Institution Name],A41)
+SUMIFS(Input[Stu Svc Desg],Input[Institution Name],A41)
+SUMIFS(Input[Stu Svc R Exp],Input[Institution Name],A41)
+SUMIFS(Input[Stu Svc Unexp],Input[Institution Name],A41)
+SUMIFS(Input[Cost Study Stu Svcs],Input[Institution Name],A41)
-SUMIFS(Input[Cost Study Intr C. Ath],Input[Institution Name],A41)</f>
        <v>10518435</v>
      </c>
      <c r="U41" s="859"/>
      <c r="V41" s="859"/>
      <c r="W41" s="859">
        <f>SUMIFS(Input[Inst. Spt E&amp;G],Input[Institution Name],A41)
+SUMIFS(Input[Inst. Spt Desg],Input[Institution Name],A41)
+SUMIFS(Input[Inst. Spt R Exp],Input[Institution Name],A41)
+SUMIFS(Input[Inst. Spt Unexp],Input[Institution Name],A41)
+SUMIFS(Input[Cost Study Inst. Sppt],Input[Institution Name],A41)</f>
        <v>42649252</v>
      </c>
      <c r="X41" s="859"/>
      <c r="Y41" s="859"/>
      <c r="Z41" s="47"/>
    </row>
    <row r="42" spans="1:26" ht="27" customHeight="1" x14ac:dyDescent="0.55000000000000004">
      <c r="A42" s="867" t="s">
        <v>92</v>
      </c>
      <c r="B42" s="867"/>
      <c r="C42" s="867"/>
      <c r="D42" s="867"/>
      <c r="E42" s="867"/>
      <c r="F42" s="867"/>
      <c r="G42" s="867"/>
      <c r="H42" s="867"/>
      <c r="I42" s="863">
        <v>3646</v>
      </c>
      <c r="J42" s="863"/>
      <c r="K42" s="858">
        <f>SUMIFS(Input[Instr E&amp;G],Input[Institution Name],A42)
+SUMIFS(Input[Instr Desg],Input[Institution Name],A42)
+SUMIFS(Input[Instr R Exp],Input[Institution Name],A42)
+SUMIFS(Input[Instr Unexp],Input[Institution Name],A42)
+SUMIFS(Input[Cost Study Inst.],Input[Institution Name],A42)</f>
        <v>90779401</v>
      </c>
      <c r="L42" s="858"/>
      <c r="M42" s="858"/>
      <c r="N42" s="858">
        <f>SUMIFS(Input[Res E&amp;G],Input[Institution Name],A42)
+SUMIFS(Input[Res Desg],Input[Institution Name],A42)
+SUMIFS(Input[Res R Exp],Input[Institution Name],A42)
+SUMIFS(Input[Res Unexp],Input[Institution Name],A42)
+SUMIFS(Input[Cost Study Resh],Input[Institution Name],A42)</f>
        <v>6643816</v>
      </c>
      <c r="O42" s="858"/>
      <c r="P42" s="858"/>
      <c r="Q42" s="858">
        <f>SUMIFS(Input[Acad Sup E&amp;G],Input[Institution Name],A42)
+SUMIFS(Input[Acad Sup Desg],Input[Institution Name],A42)
+SUMIFS(Input[Acad Sup R Exp],Input[Institution Name],A42)
+SUMIFS(Input[Acad Sup Unexp],Input[Institution Name],A42)
+SUMIFS(Input[Cost Study Aca Sppt],Input[Institution Name],A42)</f>
        <v>29400035</v>
      </c>
      <c r="R42" s="858"/>
      <c r="S42" s="858"/>
      <c r="T42" s="858">
        <f>SUMIFS(Input[Stu Svc E&amp;G],Input[Institution Name],A42)
+SUMIFS(Input[Stu Svc Desg],Input[Institution Name],A42)
+SUMIFS(Input[Stu Svc R Exp],Input[Institution Name],A42)
+SUMIFS(Input[Stu Svc Unexp],Input[Institution Name],A42)
+SUMIFS(Input[Cost Study Stu Svcs],Input[Institution Name],A42)
-SUMIFS(Input[Cost Study Intr C. Ath],Input[Institution Name],A42)</f>
        <v>16209100</v>
      </c>
      <c r="U42" s="858"/>
      <c r="V42" s="858"/>
      <c r="W42" s="858">
        <f>SUMIFS(Input[Inst. Spt E&amp;G],Input[Institution Name],A42)
+SUMIFS(Input[Inst. Spt Desg],Input[Institution Name],A42)
+SUMIFS(Input[Inst. Spt R Exp],Input[Institution Name],A42)
+SUMIFS(Input[Inst. Spt Unexp],Input[Institution Name],A42)
+SUMIFS(Input[Cost Study Inst. Sppt],Input[Institution Name],A42)</f>
        <v>40254510</v>
      </c>
      <c r="X42" s="858"/>
      <c r="Y42" s="858"/>
      <c r="Z42" s="47"/>
    </row>
    <row r="43" spans="1:26" s="129" customFormat="1" ht="27" customHeight="1" x14ac:dyDescent="0.55000000000000004">
      <c r="A43" s="210"/>
      <c r="B43" s="210"/>
      <c r="C43" s="210"/>
      <c r="D43" s="210"/>
      <c r="E43" s="210"/>
      <c r="F43" s="210"/>
      <c r="G43" s="210"/>
      <c r="H43" s="210"/>
      <c r="I43" s="865">
        <f>COUNT('Academic Cost Study Report'!$I$7:$I$42)</f>
        <v>36</v>
      </c>
      <c r="J43" s="865"/>
      <c r="K43" s="852">
        <f>SUBTOTAL(109,'Academic Cost Study Report'!$K$7:$K$42)</f>
        <v>4611423087</v>
      </c>
      <c r="L43" s="852"/>
      <c r="M43" s="852"/>
      <c r="N43" s="852">
        <f>SUBTOTAL(109,'Academic Cost Study Report'!$N$7:$N$42)</f>
        <v>2787541949</v>
      </c>
      <c r="O43" s="852"/>
      <c r="P43" s="852"/>
      <c r="Q43" s="852">
        <f>SUBTOTAL(109,'Academic Cost Study Report'!$Q$7:$Q$42)</f>
        <v>2219969759</v>
      </c>
      <c r="R43" s="852"/>
      <c r="S43" s="852"/>
      <c r="T43" s="852">
        <f>SUBTOTAL(109,'Academic Cost Study Report'!$T$7:$T$42)</f>
        <v>875647896</v>
      </c>
      <c r="U43" s="852"/>
      <c r="V43" s="852"/>
      <c r="W43" s="852">
        <f>SUBTOTAL(109,'Academic Cost Study Report'!$W$7:$W$42)</f>
        <v>1356167853</v>
      </c>
      <c r="X43" s="852"/>
      <c r="Y43" s="852"/>
      <c r="Z43" s="128"/>
    </row>
    <row r="44" spans="1:26" ht="27" customHeight="1" x14ac:dyDescent="0.6">
      <c r="A44" s="51"/>
      <c r="B44" s="51"/>
      <c r="C44" s="51"/>
      <c r="D44" s="51"/>
      <c r="E44" s="51"/>
      <c r="F44" s="51"/>
      <c r="G44" s="51"/>
      <c r="H44" s="51"/>
      <c r="I44" s="51"/>
      <c r="J44" s="51"/>
      <c r="K44" s="52"/>
      <c r="L44" s="52"/>
      <c r="M44" s="52"/>
      <c r="N44" s="52"/>
      <c r="O44" s="52"/>
      <c r="P44" s="52"/>
      <c r="Q44" s="52"/>
      <c r="R44" s="52"/>
      <c r="S44" s="52"/>
      <c r="T44" s="52"/>
      <c r="U44" s="52"/>
      <c r="V44" s="52"/>
      <c r="W44" s="52"/>
      <c r="X44" s="52"/>
      <c r="Y44" s="52"/>
      <c r="Z44" s="47"/>
    </row>
    <row r="45" spans="1:26" ht="45" customHeight="1" x14ac:dyDescent="0.6">
      <c r="A45" s="874" t="s">
        <v>31</v>
      </c>
      <c r="B45" s="874"/>
      <c r="C45" s="874"/>
      <c r="D45" s="874"/>
      <c r="E45" s="874"/>
      <c r="F45" s="874"/>
      <c r="G45" s="874"/>
      <c r="H45" s="874"/>
      <c r="I45" s="866" t="s">
        <v>33</v>
      </c>
      <c r="J45" s="866"/>
      <c r="K45" s="861" t="s">
        <v>1812</v>
      </c>
      <c r="L45" s="861"/>
      <c r="M45" s="861"/>
      <c r="N45" s="862" t="s">
        <v>1813</v>
      </c>
      <c r="O45" s="862"/>
      <c r="P45" s="862"/>
      <c r="Q45" s="862" t="s">
        <v>1814</v>
      </c>
      <c r="R45" s="862"/>
      <c r="S45" s="862"/>
      <c r="T45" s="862" t="s">
        <v>1815</v>
      </c>
      <c r="U45" s="862"/>
      <c r="V45" s="862"/>
      <c r="W45" s="862" t="s">
        <v>1816</v>
      </c>
      <c r="X45" s="862"/>
      <c r="Y45" s="862"/>
      <c r="Z45" s="47"/>
    </row>
    <row r="46" spans="1:26" ht="27" customHeight="1" x14ac:dyDescent="0.55000000000000004">
      <c r="A46" s="875" t="s">
        <v>179</v>
      </c>
      <c r="B46" s="875"/>
      <c r="C46" s="875"/>
      <c r="D46" s="875"/>
      <c r="E46" s="875"/>
      <c r="F46" s="875"/>
      <c r="G46" s="875"/>
      <c r="H46" s="875"/>
      <c r="I46" s="864">
        <v>3658</v>
      </c>
      <c r="J46" s="864"/>
      <c r="K46" s="859">
        <f>SUMIFS(Input[Instr E&amp;G],Input[Institution Name],A46)
+SUMIFS(Input[Instr Desg],Input[Institution Name],A46)
+SUMIFS(Input[Instr R Exp],Input[Institution Name],A46)
+SUMIFS(Input[Instr Unexp],Input[Institution Name],A46)
+SUMIFS(Input[Cost Study Inst.],Input[Institution Name],A46)</f>
        <v>782395026</v>
      </c>
      <c r="L46" s="859"/>
      <c r="M46" s="859"/>
      <c r="N46" s="859">
        <f>SUMIFS(Input[Res E&amp;G],Input[Institution Name],A46)
+SUMIFS(Input[Res Desg],Input[Institution Name],A46)
+SUMIFS(Input[Res R Exp],Input[Institution Name],A46)
+SUMIFS(Input[Res Unexp],Input[Institution Name],A46)
+SUMIFS(Input[Cost Study Resh],Input[Institution Name],A46)</f>
        <v>920179322</v>
      </c>
      <c r="O46" s="859"/>
      <c r="P46" s="859"/>
      <c r="Q46" s="859">
        <f>SUMIFS(Input[Acad Sup E&amp;G],Input[Institution Name],A46)
+SUMIFS(Input[Acad Sup Desg],Input[Institution Name],A46)
+SUMIFS(Input[Acad Sup R Exp],Input[Institution Name],A46)
+SUMIFS(Input[Acad Sup Unexp],Input[Institution Name],A46)
+SUMIFS(Input[Cost Study Aca Sppt],Input[Institution Name],A46)</f>
        <v>558114228</v>
      </c>
      <c r="R46" s="859"/>
      <c r="S46" s="859"/>
      <c r="T46" s="859">
        <f>SUMIFS(Input[Stu Svc E&amp;G],Input[Institution Name],A46)
+SUMIFS(Input[Stu Svc Desg],Input[Institution Name],A46)
+SUMIFS(Input[Stu Svc R Exp],Input[Institution Name],A46)
+SUMIFS(Input[Stu Svc Unexp],Input[Institution Name],A46)
+SUMIFS(Input[Cost Study Stu Svcs],Input[Institution Name],A46)
-SUMIFS(Input[Cost Study Intr C. Ath],Input[Institution Name],A46)</f>
        <v>54602202</v>
      </c>
      <c r="U46" s="859"/>
      <c r="V46" s="859"/>
      <c r="W46" s="859">
        <f>SUMIFS(Input[Inst. Spt E&amp;G],Input[Institution Name],A46)
+SUMIFS(Input[Inst. Spt Desg],Input[Institution Name],A46)
+SUMIFS(Input[Inst. Spt R Exp],Input[Institution Name],A46)
+SUMIFS(Input[Inst. Spt Unexp],Input[Institution Name],A46)
+SUMIFS(Input[Cost Study Inst. Sppt],Input[Institution Name],A46)</f>
        <v>273675728</v>
      </c>
      <c r="X46" s="859"/>
      <c r="Y46" s="859"/>
      <c r="Z46" s="47"/>
    </row>
    <row r="47" spans="1:26" ht="27" customHeight="1" x14ac:dyDescent="0.55000000000000004">
      <c r="A47" s="869" t="s">
        <v>180</v>
      </c>
      <c r="B47" s="869"/>
      <c r="C47" s="869"/>
      <c r="D47" s="869"/>
      <c r="E47" s="869"/>
      <c r="F47" s="869"/>
      <c r="G47" s="869"/>
      <c r="H47" s="869"/>
      <c r="I47" s="863">
        <v>3599</v>
      </c>
      <c r="J47" s="863"/>
      <c r="K47" s="858">
        <f>SUMIFS(Input[Instr E&amp;G],Input[Institution Name],A47)
+SUMIFS(Input[Instr Desg],Input[Institution Name],A47)
+SUMIFS(Input[Instr R Exp],Input[Institution Name],A47)
+SUMIFS(Input[Instr Unexp],Input[Institution Name],A47)
+SUMIFS(Input[Cost Study Inst.],Input[Institution Name],A47)</f>
        <v>208708799</v>
      </c>
      <c r="L47" s="858"/>
      <c r="M47" s="858"/>
      <c r="N47" s="858">
        <f>SUMIFS(Input[Res E&amp;G],Input[Institution Name],A47)
+SUMIFS(Input[Res Desg],Input[Institution Name],A47)
+SUMIFS(Input[Res R Exp],Input[Institution Name],A47)
+SUMIFS(Input[Res Unexp],Input[Institution Name],A47)
+SUMIFS(Input[Cost Study Resh],Input[Institution Name],A47)</f>
        <v>79087163</v>
      </c>
      <c r="O47" s="858"/>
      <c r="P47" s="858"/>
      <c r="Q47" s="858">
        <f>SUMIFS(Input[Acad Sup E&amp;G],Input[Institution Name],A47)
+SUMIFS(Input[Acad Sup Desg],Input[Institution Name],A47)
+SUMIFS(Input[Acad Sup R Exp],Input[Institution Name],A47)
+SUMIFS(Input[Acad Sup Unexp],Input[Institution Name],A47)
+SUMIFS(Input[Cost Study Aca Sppt],Input[Institution Name],A47)</f>
        <v>85878275</v>
      </c>
      <c r="R47" s="858"/>
      <c r="S47" s="858"/>
      <c r="T47" s="858">
        <f>SUMIFS(Input[Stu Svc E&amp;G],Input[Institution Name],A47)
+SUMIFS(Input[Stu Svc Desg],Input[Institution Name],A47)
+SUMIFS(Input[Stu Svc R Exp],Input[Institution Name],A47)
+SUMIFS(Input[Stu Svc Unexp],Input[Institution Name],A47)
+SUMIFS(Input[Cost Study Stu Svcs],Input[Institution Name],A47)
-SUMIFS(Input[Cost Study Intr C. Ath],Input[Institution Name],A47)</f>
        <v>33952510</v>
      </c>
      <c r="U47" s="858"/>
      <c r="V47" s="858"/>
      <c r="W47" s="858">
        <f>SUMIFS(Input[Inst. Spt E&amp;G],Input[Institution Name],A47)
+SUMIFS(Input[Inst. Spt Desg],Input[Institution Name],A47)
+SUMIFS(Input[Inst. Spt R Exp],Input[Institution Name],A47)
+SUMIFS(Input[Inst. Spt Unexp],Input[Institution Name],A47)
+SUMIFS(Input[Cost Study Inst. Sppt],Input[Institution Name],A47)</f>
        <v>41089936</v>
      </c>
      <c r="X47" s="858"/>
      <c r="Y47" s="858"/>
      <c r="Z47" s="47"/>
    </row>
    <row r="48" spans="1:26" ht="27" customHeight="1" x14ac:dyDescent="0.55000000000000004">
      <c r="A48" s="875" t="s">
        <v>181</v>
      </c>
      <c r="B48" s="875"/>
      <c r="C48" s="875"/>
      <c r="D48" s="875"/>
      <c r="E48" s="875"/>
      <c r="F48" s="875"/>
      <c r="G48" s="875"/>
      <c r="H48" s="875"/>
      <c r="I48" s="864">
        <v>3652</v>
      </c>
      <c r="J48" s="864"/>
      <c r="K48" s="859">
        <f>SUMIFS(Input[Instr E&amp;G],Input[Institution Name],A48)
+SUMIFS(Input[Instr Desg],Input[Institution Name],A48)
+SUMIFS(Input[Instr R Exp],Input[Institution Name],A48)
+SUMIFS(Input[Instr Unexp],Input[Institution Name],A48)
+SUMIFS(Input[Cost Study Inst.],Input[Institution Name],A48)</f>
        <v>306044702</v>
      </c>
      <c r="L48" s="859"/>
      <c r="M48" s="859"/>
      <c r="N48" s="859">
        <f>SUMIFS(Input[Res E&amp;G],Input[Institution Name],A48)
+SUMIFS(Input[Res Desg],Input[Institution Name],A48)
+SUMIFS(Input[Res R Exp],Input[Institution Name],A48)
+SUMIFS(Input[Res Unexp],Input[Institution Name],A48)
+SUMIFS(Input[Cost Study Resh],Input[Institution Name],A48)</f>
        <v>179801600</v>
      </c>
      <c r="O48" s="859"/>
      <c r="P48" s="859"/>
      <c r="Q48" s="859">
        <f>SUMIFS(Input[Acad Sup E&amp;G],Input[Institution Name],A48)
+SUMIFS(Input[Acad Sup Desg],Input[Institution Name],A48)
+SUMIFS(Input[Acad Sup R Exp],Input[Institution Name],A48)
+SUMIFS(Input[Acad Sup Unexp],Input[Institution Name],A48)
+SUMIFS(Input[Cost Study Aca Sppt],Input[Institution Name],A48)</f>
        <v>207047455</v>
      </c>
      <c r="R48" s="859"/>
      <c r="S48" s="859"/>
      <c r="T48" s="859">
        <f>SUMIFS(Input[Stu Svc E&amp;G],Input[Institution Name],A48)
+SUMIFS(Input[Stu Svc Desg],Input[Institution Name],A48)
+SUMIFS(Input[Stu Svc R Exp],Input[Institution Name],A48)
+SUMIFS(Input[Stu Svc Unexp],Input[Institution Name],A48)
+SUMIFS(Input[Cost Study Stu Svcs],Input[Institution Name],A48)
-SUMIFS(Input[Cost Study Intr C. Ath],Input[Institution Name],A48)</f>
        <v>34892381</v>
      </c>
      <c r="U48" s="859"/>
      <c r="V48" s="859"/>
      <c r="W48" s="859">
        <f>SUMIFS(Input[Inst. Spt E&amp;G],Input[Institution Name],A48)
+SUMIFS(Input[Inst. Spt Desg],Input[Institution Name],A48)
+SUMIFS(Input[Inst. Spt R Exp],Input[Institution Name],A48)
+SUMIFS(Input[Inst. Spt Unexp],Input[Institution Name],A48)
+SUMIFS(Input[Cost Study Inst. Sppt],Input[Institution Name],A48)</f>
        <v>80320010</v>
      </c>
      <c r="X48" s="859"/>
      <c r="Y48" s="859"/>
      <c r="Z48" s="47"/>
    </row>
    <row r="49" spans="1:26" ht="27" customHeight="1" x14ac:dyDescent="0.55000000000000004">
      <c r="A49" s="869" t="s">
        <v>1418</v>
      </c>
      <c r="B49" s="869"/>
      <c r="C49" s="869"/>
      <c r="D49" s="869"/>
      <c r="E49" s="869"/>
      <c r="F49" s="869"/>
      <c r="G49" s="869"/>
      <c r="H49" s="869"/>
      <c r="I49" s="863">
        <v>3606</v>
      </c>
      <c r="J49" s="863"/>
      <c r="K49" s="858">
        <f>SUMIFS(Input[Instr E&amp;G],Input[Institution Name],A49)
+SUMIFS(Input[Instr Desg],Input[Institution Name],A49)
+SUMIFS(Input[Instr R Exp],Input[Institution Name],A49)
+SUMIFS(Input[Instr Unexp],Input[Institution Name],A49)
+SUMIFS(Input[Cost Study Inst.],Input[Institution Name],A49)</f>
        <v>125770157</v>
      </c>
      <c r="L49" s="858"/>
      <c r="M49" s="858"/>
      <c r="N49" s="858">
        <f>SUMIFS(Input[Res E&amp;G],Input[Institution Name],A49)
+SUMIFS(Input[Res Desg],Input[Institution Name],A49)
+SUMIFS(Input[Res R Exp],Input[Institution Name],A49)
+SUMIFS(Input[Res Unexp],Input[Institution Name],A49)
+SUMIFS(Input[Cost Study Resh],Input[Institution Name],A49)</f>
        <v>15784329</v>
      </c>
      <c r="O49" s="858"/>
      <c r="P49" s="858"/>
      <c r="Q49" s="858">
        <f>SUMIFS(Input[Acad Sup E&amp;G],Input[Institution Name],A49)
+SUMIFS(Input[Acad Sup Desg],Input[Institution Name],A49)
+SUMIFS(Input[Acad Sup R Exp],Input[Institution Name],A49)
+SUMIFS(Input[Acad Sup Unexp],Input[Institution Name],A49)
+SUMIFS(Input[Cost Study Aca Sppt],Input[Institution Name],A49)</f>
        <v>69997551</v>
      </c>
      <c r="R49" s="858"/>
      <c r="S49" s="858"/>
      <c r="T49" s="858">
        <f>SUMIFS(Input[Stu Svc E&amp;G],Input[Institution Name],A49)
+SUMIFS(Input[Stu Svc Desg],Input[Institution Name],A49)
+SUMIFS(Input[Stu Svc R Exp],Input[Institution Name],A49)
+SUMIFS(Input[Stu Svc Unexp],Input[Institution Name],A49)
+SUMIFS(Input[Cost Study Stu Svcs],Input[Institution Name],A49)
-SUMIFS(Input[Cost Study Intr C. Ath],Input[Institution Name],A49)</f>
        <v>8900157</v>
      </c>
      <c r="U49" s="858"/>
      <c r="V49" s="858"/>
      <c r="W49" s="858">
        <f>SUMIFS(Input[Inst. Spt E&amp;G],Input[Institution Name],A49)
+SUMIFS(Input[Inst. Spt Desg],Input[Institution Name],A49)
+SUMIFS(Input[Inst. Spt R Exp],Input[Institution Name],A49)
+SUMIFS(Input[Inst. Spt Unexp],Input[Institution Name],A49)
+SUMIFS(Input[Cost Study Inst. Sppt],Input[Institution Name],A49)</f>
        <v>33462714</v>
      </c>
      <c r="X49" s="858"/>
      <c r="Y49" s="858"/>
      <c r="Z49" s="47"/>
    </row>
    <row r="50" spans="1:26" s="129" customFormat="1" ht="27" customHeight="1" x14ac:dyDescent="0.55000000000000004">
      <c r="A50" s="210"/>
      <c r="B50" s="210"/>
      <c r="C50" s="210"/>
      <c r="D50" s="210"/>
      <c r="E50" s="210"/>
      <c r="F50" s="210"/>
      <c r="G50" s="210"/>
      <c r="H50" s="210"/>
      <c r="I50" s="865">
        <f>COUNT('Academic Cost Study Report'!$I$46:$I$49)</f>
        <v>4</v>
      </c>
      <c r="J50" s="865"/>
      <c r="K50" s="852">
        <f>SUBTOTAL(109,'Academic Cost Study Report'!$K$46:$K$49)</f>
        <v>1422918684</v>
      </c>
      <c r="L50" s="852"/>
      <c r="M50" s="852"/>
      <c r="N50" s="852">
        <f>SUBTOTAL(109,'Academic Cost Study Report'!$N$46:$N$49)</f>
        <v>1194852414</v>
      </c>
      <c r="O50" s="852"/>
      <c r="P50" s="852"/>
      <c r="Q50" s="852">
        <f>SUBTOTAL(109,'Academic Cost Study Report'!$Q$46:$Q$49)</f>
        <v>921037509</v>
      </c>
      <c r="R50" s="852"/>
      <c r="S50" s="852"/>
      <c r="T50" s="852">
        <f>SUBTOTAL(109,'Academic Cost Study Report'!$T$46:$T$49)</f>
        <v>132347250</v>
      </c>
      <c r="U50" s="852"/>
      <c r="V50" s="852"/>
      <c r="W50" s="852">
        <f>SUBTOTAL(109,'Academic Cost Study Report'!$W$46:$W$49)</f>
        <v>428548388</v>
      </c>
      <c r="X50" s="852"/>
      <c r="Y50" s="852"/>
      <c r="Z50" s="128"/>
    </row>
    <row r="51" spans="1:26" ht="27" customHeight="1" x14ac:dyDescent="0.55000000000000004">
      <c r="A51" s="209" t="s">
        <v>1809</v>
      </c>
      <c r="B51" s="851" t="s">
        <v>1903</v>
      </c>
      <c r="C51" s="851"/>
      <c r="D51" s="851"/>
      <c r="E51" s="851"/>
      <c r="F51" s="851"/>
      <c r="G51" s="851"/>
      <c r="H51" s="851"/>
      <c r="I51" s="851"/>
      <c r="J51" s="851"/>
      <c r="K51" s="851"/>
      <c r="L51" s="851"/>
      <c r="M51" s="851"/>
      <c r="N51" s="851"/>
      <c r="O51" s="851"/>
      <c r="P51" s="851"/>
      <c r="Q51" s="851"/>
      <c r="R51" s="851"/>
      <c r="S51" s="851"/>
      <c r="T51" s="851"/>
      <c r="U51" s="851"/>
      <c r="V51" s="851"/>
      <c r="W51" s="851"/>
      <c r="X51" s="851"/>
      <c r="Y51" s="851"/>
      <c r="Z51" s="209"/>
    </row>
    <row r="52" spans="1:26" ht="27" customHeight="1" x14ac:dyDescent="0.55000000000000004">
      <c r="A52" s="131" t="s">
        <v>1810</v>
      </c>
      <c r="B52" s="850" t="s">
        <v>1904</v>
      </c>
      <c r="C52" s="850"/>
      <c r="D52" s="850"/>
      <c r="E52" s="850"/>
      <c r="F52" s="850"/>
      <c r="G52" s="850"/>
      <c r="H52" s="850"/>
      <c r="I52" s="850"/>
      <c r="J52" s="850"/>
      <c r="K52" s="850"/>
      <c r="L52" s="850"/>
      <c r="M52" s="850"/>
      <c r="N52" s="850"/>
      <c r="O52" s="850"/>
      <c r="P52" s="850"/>
      <c r="Q52" s="850"/>
      <c r="R52" s="850"/>
      <c r="S52" s="850"/>
      <c r="T52" s="850"/>
      <c r="U52" s="850"/>
      <c r="V52" s="850"/>
      <c r="W52" s="850"/>
      <c r="X52" s="850"/>
      <c r="Y52" s="850"/>
      <c r="Z52" s="131"/>
    </row>
    <row r="53" spans="1:26" ht="21" customHeight="1" x14ac:dyDescent="0.55000000000000004">
      <c r="A53" s="227" t="s">
        <v>1900</v>
      </c>
      <c r="B53" s="853" t="s">
        <v>1901</v>
      </c>
      <c r="C53" s="853"/>
      <c r="D53" s="853"/>
      <c r="E53" s="853"/>
      <c r="F53" s="853"/>
      <c r="G53" s="853"/>
      <c r="H53" s="853"/>
      <c r="I53" s="853"/>
      <c r="J53" s="853"/>
      <c r="K53" s="853"/>
      <c r="L53" s="853"/>
      <c r="M53" s="853"/>
      <c r="N53" s="853"/>
      <c r="O53" s="853"/>
      <c r="P53" s="853"/>
      <c r="Q53" s="853"/>
      <c r="R53" s="853"/>
      <c r="S53" s="853"/>
      <c r="T53" s="853"/>
      <c r="U53" s="853"/>
      <c r="V53" s="853"/>
      <c r="W53" s="853"/>
      <c r="X53" s="853"/>
      <c r="Y53" s="853"/>
      <c r="Z53" s="227"/>
    </row>
    <row r="54" spans="1:26" ht="21" x14ac:dyDescent="0.55000000000000004">
      <c r="A54" s="226"/>
      <c r="B54" s="854"/>
      <c r="C54" s="854"/>
      <c r="D54" s="854"/>
      <c r="E54" s="854"/>
      <c r="F54" s="854"/>
      <c r="G54" s="854"/>
      <c r="H54" s="854"/>
      <c r="I54" s="854"/>
      <c r="J54" s="854"/>
      <c r="K54" s="854"/>
      <c r="L54" s="854"/>
      <c r="M54" s="854"/>
      <c r="N54" s="854"/>
      <c r="O54" s="854"/>
      <c r="P54" s="854"/>
      <c r="Q54" s="854"/>
      <c r="R54" s="854"/>
      <c r="S54" s="854"/>
      <c r="T54" s="854"/>
      <c r="U54" s="854"/>
      <c r="V54" s="854"/>
      <c r="W54" s="854"/>
      <c r="X54" s="854"/>
      <c r="Y54" s="854"/>
      <c r="Z54" s="226"/>
    </row>
    <row r="55" spans="1:26" ht="21" x14ac:dyDescent="0.55000000000000004">
      <c r="A55" s="226"/>
      <c r="B55" s="854"/>
      <c r="C55" s="854"/>
      <c r="D55" s="854"/>
      <c r="E55" s="854"/>
      <c r="F55" s="854"/>
      <c r="G55" s="854"/>
      <c r="H55" s="854"/>
      <c r="I55" s="854"/>
      <c r="J55" s="854"/>
      <c r="K55" s="854"/>
      <c r="L55" s="854"/>
      <c r="M55" s="854"/>
      <c r="N55" s="854"/>
      <c r="O55" s="854"/>
      <c r="P55" s="854"/>
      <c r="Q55" s="854"/>
      <c r="R55" s="854"/>
      <c r="S55" s="854"/>
      <c r="T55" s="854"/>
      <c r="U55" s="854"/>
      <c r="V55" s="854"/>
      <c r="W55" s="854"/>
      <c r="X55" s="854"/>
      <c r="Y55" s="854"/>
      <c r="Z55" s="226"/>
    </row>
    <row r="56" spans="1:26" ht="21" x14ac:dyDescent="0.55000000000000004">
      <c r="A56" s="209"/>
      <c r="B56" s="855"/>
      <c r="C56" s="855"/>
      <c r="D56" s="855"/>
      <c r="E56" s="855"/>
      <c r="F56" s="855"/>
      <c r="G56" s="855"/>
      <c r="H56" s="855"/>
      <c r="I56" s="855"/>
      <c r="J56" s="855"/>
      <c r="K56" s="855"/>
      <c r="L56" s="855"/>
      <c r="M56" s="855"/>
      <c r="N56" s="855"/>
      <c r="O56" s="855"/>
      <c r="P56" s="855"/>
      <c r="Q56" s="855"/>
      <c r="R56" s="855"/>
      <c r="S56" s="855"/>
      <c r="T56" s="855"/>
      <c r="U56" s="855"/>
      <c r="V56" s="855"/>
      <c r="W56" s="855"/>
      <c r="X56" s="855"/>
      <c r="Y56" s="855"/>
      <c r="Z56" s="209"/>
    </row>
    <row r="57" spans="1:26" ht="21" x14ac:dyDescent="0.55000000000000004">
      <c r="A57" s="227" t="s">
        <v>1811</v>
      </c>
      <c r="B57" s="853" t="s">
        <v>1902</v>
      </c>
      <c r="C57" s="853"/>
      <c r="D57" s="853"/>
      <c r="E57" s="853"/>
      <c r="F57" s="853"/>
      <c r="G57" s="853"/>
      <c r="H57" s="853"/>
      <c r="I57" s="853"/>
      <c r="J57" s="853"/>
      <c r="K57" s="853"/>
      <c r="L57" s="853"/>
      <c r="M57" s="853"/>
      <c r="N57" s="853"/>
      <c r="O57" s="853"/>
      <c r="P57" s="853"/>
      <c r="Q57" s="853"/>
      <c r="R57" s="853"/>
      <c r="S57" s="853"/>
      <c r="T57" s="853"/>
      <c r="U57" s="853"/>
      <c r="V57" s="853"/>
      <c r="W57" s="853"/>
      <c r="X57" s="853"/>
      <c r="Y57" s="853"/>
      <c r="Z57" s="227"/>
    </row>
    <row r="58" spans="1:26" ht="21" x14ac:dyDescent="0.55000000000000004">
      <c r="A58" s="226"/>
      <c r="B58" s="854"/>
      <c r="C58" s="854"/>
      <c r="D58" s="854"/>
      <c r="E58" s="854"/>
      <c r="F58" s="854"/>
      <c r="G58" s="854"/>
      <c r="H58" s="854"/>
      <c r="I58" s="854"/>
      <c r="J58" s="854"/>
      <c r="K58" s="854"/>
      <c r="L58" s="854"/>
      <c r="M58" s="854"/>
      <c r="N58" s="854"/>
      <c r="O58" s="854"/>
      <c r="P58" s="854"/>
      <c r="Q58" s="854"/>
      <c r="R58" s="854"/>
      <c r="S58" s="854"/>
      <c r="T58" s="854"/>
      <c r="U58" s="854"/>
      <c r="V58" s="854"/>
      <c r="W58" s="854"/>
      <c r="X58" s="854"/>
      <c r="Y58" s="854"/>
      <c r="Z58" s="226"/>
    </row>
    <row r="59" spans="1:26" ht="21" x14ac:dyDescent="0.55000000000000004">
      <c r="A59" s="226"/>
      <c r="B59" s="854"/>
      <c r="C59" s="854"/>
      <c r="D59" s="854"/>
      <c r="E59" s="854"/>
      <c r="F59" s="854"/>
      <c r="G59" s="854"/>
      <c r="H59" s="854"/>
      <c r="I59" s="854"/>
      <c r="J59" s="854"/>
      <c r="K59" s="854"/>
      <c r="L59" s="854"/>
      <c r="M59" s="854"/>
      <c r="N59" s="854"/>
      <c r="O59" s="854"/>
      <c r="P59" s="854"/>
      <c r="Q59" s="854"/>
      <c r="R59" s="854"/>
      <c r="S59" s="854"/>
      <c r="T59" s="854"/>
      <c r="U59" s="854"/>
      <c r="V59" s="854"/>
      <c r="W59" s="854"/>
      <c r="X59" s="854"/>
      <c r="Y59" s="854"/>
      <c r="Z59" s="226"/>
    </row>
    <row r="60" spans="1:26" ht="21" x14ac:dyDescent="0.55000000000000004">
      <c r="A60" s="209"/>
      <c r="B60" s="855"/>
      <c r="C60" s="855"/>
      <c r="D60" s="855"/>
      <c r="E60" s="855"/>
      <c r="F60" s="855"/>
      <c r="G60" s="855"/>
      <c r="H60" s="855"/>
      <c r="I60" s="855"/>
      <c r="J60" s="855"/>
      <c r="K60" s="855"/>
      <c r="L60" s="855"/>
      <c r="M60" s="855"/>
      <c r="N60" s="855"/>
      <c r="O60" s="855"/>
      <c r="P60" s="855"/>
      <c r="Q60" s="855"/>
      <c r="R60" s="855"/>
      <c r="S60" s="855"/>
      <c r="T60" s="855"/>
      <c r="U60" s="855"/>
      <c r="V60" s="855"/>
      <c r="W60" s="855"/>
      <c r="X60" s="855"/>
      <c r="Y60" s="855"/>
      <c r="Z60" s="209"/>
    </row>
  </sheetData>
  <sheetProtection algorithmName="SHA-512" hashValue="MfDw49NgEW/CFU0XnnDRV6d/Rm2PrDDrsAwJFOlKUrc3y4pFTXpm347RQjQDTvMFU8Q0qTsP+WGKXrF5XwbzuQ==" saltValue="o918RLkLmrDHcw8zjdMVVA==" spinCount="100000" sheet="1" objects="1" scenarios="1" formatColumns="0" formatRows="0"/>
  <mergeCells count="314">
    <mergeCell ref="A2:Y2"/>
    <mergeCell ref="A6:H6"/>
    <mergeCell ref="A45:H45"/>
    <mergeCell ref="A46:H46"/>
    <mergeCell ref="A47:H47"/>
    <mergeCell ref="A48:H48"/>
    <mergeCell ref="A10:H10"/>
    <mergeCell ref="A11:H11"/>
    <mergeCell ref="A12:H12"/>
    <mergeCell ref="A13:H13"/>
    <mergeCell ref="A14:H14"/>
    <mergeCell ref="A15:H15"/>
    <mergeCell ref="A16:H16"/>
    <mergeCell ref="A17:H17"/>
    <mergeCell ref="A18:H18"/>
    <mergeCell ref="A19:H19"/>
    <mergeCell ref="A20:H20"/>
    <mergeCell ref="A21:H21"/>
    <mergeCell ref="A22:H22"/>
    <mergeCell ref="A23:H23"/>
    <mergeCell ref="A24:H24"/>
    <mergeCell ref="A25:H25"/>
    <mergeCell ref="I46:J46"/>
    <mergeCell ref="I47:J47"/>
    <mergeCell ref="I33:J33"/>
    <mergeCell ref="I34:J34"/>
    <mergeCell ref="I35:J35"/>
    <mergeCell ref="I36:J36"/>
    <mergeCell ref="A49:H49"/>
    <mergeCell ref="A7:H7"/>
    <mergeCell ref="A8:H8"/>
    <mergeCell ref="A9:H9"/>
    <mergeCell ref="A31:H31"/>
    <mergeCell ref="A32:H32"/>
    <mergeCell ref="A33:H33"/>
    <mergeCell ref="A34:H34"/>
    <mergeCell ref="A35:H35"/>
    <mergeCell ref="A26:H26"/>
    <mergeCell ref="A27:H27"/>
    <mergeCell ref="A28:H28"/>
    <mergeCell ref="A29:H29"/>
    <mergeCell ref="A30:H30"/>
    <mergeCell ref="A41:H41"/>
    <mergeCell ref="A42:H42"/>
    <mergeCell ref="I48:J48"/>
    <mergeCell ref="I42:J42"/>
    <mergeCell ref="I43:J43"/>
    <mergeCell ref="I45:J45"/>
    <mergeCell ref="A36:H36"/>
    <mergeCell ref="A37:H37"/>
    <mergeCell ref="A38:H38"/>
    <mergeCell ref="A39:H39"/>
    <mergeCell ref="A40:H40"/>
    <mergeCell ref="I49:J49"/>
    <mergeCell ref="I7:J7"/>
    <mergeCell ref="I8:J8"/>
    <mergeCell ref="I9:J9"/>
    <mergeCell ref="I10:J10"/>
    <mergeCell ref="I11:J11"/>
    <mergeCell ref="I12:J12"/>
    <mergeCell ref="I13:J13"/>
    <mergeCell ref="I14:J14"/>
    <mergeCell ref="I15:J15"/>
    <mergeCell ref="I16:J16"/>
    <mergeCell ref="I17:J17"/>
    <mergeCell ref="I18:J18"/>
    <mergeCell ref="I19:J19"/>
    <mergeCell ref="I20:J20"/>
    <mergeCell ref="I21:J21"/>
    <mergeCell ref="I27:J27"/>
    <mergeCell ref="I28:J28"/>
    <mergeCell ref="I29:J29"/>
    <mergeCell ref="I30:J30"/>
    <mergeCell ref="I31:J31"/>
    <mergeCell ref="I22:J22"/>
    <mergeCell ref="I23:J23"/>
    <mergeCell ref="I24:J24"/>
    <mergeCell ref="I50:J50"/>
    <mergeCell ref="I6:J6"/>
    <mergeCell ref="K7:M7"/>
    <mergeCell ref="N7:P7"/>
    <mergeCell ref="K15:M15"/>
    <mergeCell ref="N15:P15"/>
    <mergeCell ref="I37:J37"/>
    <mergeCell ref="I25:J25"/>
    <mergeCell ref="I26:J26"/>
    <mergeCell ref="I38:J38"/>
    <mergeCell ref="I39:J39"/>
    <mergeCell ref="I40:J40"/>
    <mergeCell ref="I41:J41"/>
    <mergeCell ref="I32:J32"/>
    <mergeCell ref="K17:M17"/>
    <mergeCell ref="N17:P17"/>
    <mergeCell ref="K19:M19"/>
    <mergeCell ref="N19:P19"/>
    <mergeCell ref="K23:M23"/>
    <mergeCell ref="T9:V9"/>
    <mergeCell ref="W9:Y9"/>
    <mergeCell ref="K10:M10"/>
    <mergeCell ref="N10:P10"/>
    <mergeCell ref="Q10:S10"/>
    <mergeCell ref="T10:V10"/>
    <mergeCell ref="W10:Y10"/>
    <mergeCell ref="T7:V7"/>
    <mergeCell ref="W7:Y7"/>
    <mergeCell ref="K8:M8"/>
    <mergeCell ref="N8:P8"/>
    <mergeCell ref="Q8:S8"/>
    <mergeCell ref="T8:V8"/>
    <mergeCell ref="W8:Y8"/>
    <mergeCell ref="Q7:S7"/>
    <mergeCell ref="K9:M9"/>
    <mergeCell ref="N9:P9"/>
    <mergeCell ref="Q9:S9"/>
    <mergeCell ref="T13:V13"/>
    <mergeCell ref="W13:Y13"/>
    <mergeCell ref="K14:M14"/>
    <mergeCell ref="N14:P14"/>
    <mergeCell ref="Q14:S14"/>
    <mergeCell ref="T14:V14"/>
    <mergeCell ref="W14:Y14"/>
    <mergeCell ref="T11:V11"/>
    <mergeCell ref="W11:Y11"/>
    <mergeCell ref="K12:M12"/>
    <mergeCell ref="N12:P12"/>
    <mergeCell ref="Q12:S12"/>
    <mergeCell ref="T12:V12"/>
    <mergeCell ref="W12:Y12"/>
    <mergeCell ref="K11:M11"/>
    <mergeCell ref="N11:P11"/>
    <mergeCell ref="Q11:S11"/>
    <mergeCell ref="K13:M13"/>
    <mergeCell ref="N13:P13"/>
    <mergeCell ref="Q13:S13"/>
    <mergeCell ref="Q17:S17"/>
    <mergeCell ref="T17:V17"/>
    <mergeCell ref="W17:Y17"/>
    <mergeCell ref="Q15:S15"/>
    <mergeCell ref="T15:V15"/>
    <mergeCell ref="W15:Y15"/>
    <mergeCell ref="K16:M16"/>
    <mergeCell ref="N16:P16"/>
    <mergeCell ref="Q16:S16"/>
    <mergeCell ref="T16:V16"/>
    <mergeCell ref="W16:Y16"/>
    <mergeCell ref="K22:M22"/>
    <mergeCell ref="N22:P22"/>
    <mergeCell ref="Q22:S22"/>
    <mergeCell ref="T22:V22"/>
    <mergeCell ref="W22:Y22"/>
    <mergeCell ref="Q19:S19"/>
    <mergeCell ref="T19:V19"/>
    <mergeCell ref="W19:Y19"/>
    <mergeCell ref="K18:M18"/>
    <mergeCell ref="N18:P18"/>
    <mergeCell ref="Q18:S18"/>
    <mergeCell ref="T18:V18"/>
    <mergeCell ref="W18:Y18"/>
    <mergeCell ref="K21:M21"/>
    <mergeCell ref="N21:P21"/>
    <mergeCell ref="Q21:S21"/>
    <mergeCell ref="T21:V21"/>
    <mergeCell ref="W21:Y21"/>
    <mergeCell ref="K20:M20"/>
    <mergeCell ref="N20:P20"/>
    <mergeCell ref="Q20:S20"/>
    <mergeCell ref="T20:V20"/>
    <mergeCell ref="W20:Y20"/>
    <mergeCell ref="K24:M24"/>
    <mergeCell ref="N24:P24"/>
    <mergeCell ref="Q24:S24"/>
    <mergeCell ref="T24:V24"/>
    <mergeCell ref="W24:Y24"/>
    <mergeCell ref="N23:P23"/>
    <mergeCell ref="Q23:S23"/>
    <mergeCell ref="T23:V23"/>
    <mergeCell ref="W23:Y23"/>
    <mergeCell ref="K26:M26"/>
    <mergeCell ref="N26:P26"/>
    <mergeCell ref="Q26:S26"/>
    <mergeCell ref="T26:V26"/>
    <mergeCell ref="W26:Y26"/>
    <mergeCell ref="K25:M25"/>
    <mergeCell ref="N25:P25"/>
    <mergeCell ref="Q25:S25"/>
    <mergeCell ref="T25:V25"/>
    <mergeCell ref="W25:Y25"/>
    <mergeCell ref="K28:M28"/>
    <mergeCell ref="N28:P28"/>
    <mergeCell ref="Q28:S28"/>
    <mergeCell ref="T28:V28"/>
    <mergeCell ref="W28:Y28"/>
    <mergeCell ref="K27:M27"/>
    <mergeCell ref="N27:P27"/>
    <mergeCell ref="Q27:S27"/>
    <mergeCell ref="T27:V27"/>
    <mergeCell ref="W27:Y27"/>
    <mergeCell ref="K30:M30"/>
    <mergeCell ref="N30:P30"/>
    <mergeCell ref="Q30:S30"/>
    <mergeCell ref="T30:V30"/>
    <mergeCell ref="W30:Y30"/>
    <mergeCell ref="K29:M29"/>
    <mergeCell ref="N29:P29"/>
    <mergeCell ref="Q29:S29"/>
    <mergeCell ref="T29:V29"/>
    <mergeCell ref="W29:Y29"/>
    <mergeCell ref="K32:M32"/>
    <mergeCell ref="N32:P32"/>
    <mergeCell ref="Q32:S32"/>
    <mergeCell ref="T32:V32"/>
    <mergeCell ref="W32:Y32"/>
    <mergeCell ref="K31:M31"/>
    <mergeCell ref="N31:P31"/>
    <mergeCell ref="Q31:S31"/>
    <mergeCell ref="T31:V31"/>
    <mergeCell ref="W31:Y31"/>
    <mergeCell ref="K34:M34"/>
    <mergeCell ref="N34:P34"/>
    <mergeCell ref="Q34:S34"/>
    <mergeCell ref="T34:V34"/>
    <mergeCell ref="W34:Y34"/>
    <mergeCell ref="K33:M33"/>
    <mergeCell ref="N33:P33"/>
    <mergeCell ref="Q33:S33"/>
    <mergeCell ref="T33:V33"/>
    <mergeCell ref="W33:Y33"/>
    <mergeCell ref="K36:M36"/>
    <mergeCell ref="N36:P36"/>
    <mergeCell ref="Q36:S36"/>
    <mergeCell ref="T36:V36"/>
    <mergeCell ref="W36:Y36"/>
    <mergeCell ref="K35:M35"/>
    <mergeCell ref="N35:P35"/>
    <mergeCell ref="Q35:S35"/>
    <mergeCell ref="T35:V35"/>
    <mergeCell ref="W35:Y35"/>
    <mergeCell ref="W43:Y43"/>
    <mergeCell ref="K39:M39"/>
    <mergeCell ref="N46:P46"/>
    <mergeCell ref="Q46:S46"/>
    <mergeCell ref="T46:V46"/>
    <mergeCell ref="W46:Y46"/>
    <mergeCell ref="K37:M37"/>
    <mergeCell ref="N37:P37"/>
    <mergeCell ref="Q37:S37"/>
    <mergeCell ref="T37:V37"/>
    <mergeCell ref="W37:Y37"/>
    <mergeCell ref="N39:P39"/>
    <mergeCell ref="Q39:S39"/>
    <mergeCell ref="T39:V39"/>
    <mergeCell ref="W39:Y39"/>
    <mergeCell ref="K38:M38"/>
    <mergeCell ref="N38:P38"/>
    <mergeCell ref="Q38:S38"/>
    <mergeCell ref="T38:V38"/>
    <mergeCell ref="W38:Y38"/>
    <mergeCell ref="A1:Y1"/>
    <mergeCell ref="K45:M45"/>
    <mergeCell ref="N45:P45"/>
    <mergeCell ref="Q45:S45"/>
    <mergeCell ref="T45:V45"/>
    <mergeCell ref="W45:Y45"/>
    <mergeCell ref="W6:Y6"/>
    <mergeCell ref="T6:V6"/>
    <mergeCell ref="Q6:S6"/>
    <mergeCell ref="N6:P6"/>
    <mergeCell ref="K6:M6"/>
    <mergeCell ref="K42:M42"/>
    <mergeCell ref="N42:P42"/>
    <mergeCell ref="Q42:S42"/>
    <mergeCell ref="T42:V42"/>
    <mergeCell ref="W42:Y42"/>
    <mergeCell ref="K43:M43"/>
    <mergeCell ref="N43:P43"/>
    <mergeCell ref="Q43:S43"/>
    <mergeCell ref="T43:V43"/>
    <mergeCell ref="N40:P40"/>
    <mergeCell ref="Q40:S40"/>
    <mergeCell ref="T40:V40"/>
    <mergeCell ref="W40:Y40"/>
    <mergeCell ref="A4:Y4"/>
    <mergeCell ref="A3:Y3"/>
    <mergeCell ref="K49:M49"/>
    <mergeCell ref="N49:P49"/>
    <mergeCell ref="Q49:S49"/>
    <mergeCell ref="T49:V49"/>
    <mergeCell ref="K41:M41"/>
    <mergeCell ref="N41:P41"/>
    <mergeCell ref="Q41:S41"/>
    <mergeCell ref="T41:V41"/>
    <mergeCell ref="W41:Y41"/>
    <mergeCell ref="K40:M40"/>
    <mergeCell ref="K47:M47"/>
    <mergeCell ref="N47:P47"/>
    <mergeCell ref="Q47:S47"/>
    <mergeCell ref="T47:V47"/>
    <mergeCell ref="W49:Y49"/>
    <mergeCell ref="K48:M48"/>
    <mergeCell ref="N48:P48"/>
    <mergeCell ref="Q48:S48"/>
    <mergeCell ref="T48:V48"/>
    <mergeCell ref="W48:Y48"/>
    <mergeCell ref="W47:Y47"/>
    <mergeCell ref="K46:M46"/>
    <mergeCell ref="B52:Y52"/>
    <mergeCell ref="B51:Y51"/>
    <mergeCell ref="K50:M50"/>
    <mergeCell ref="N50:P50"/>
    <mergeCell ref="Q50:S50"/>
    <mergeCell ref="T50:V50"/>
    <mergeCell ref="W50:Y50"/>
    <mergeCell ref="B53:Y56"/>
    <mergeCell ref="B57:Y60"/>
  </mergeCells>
  <printOptions horizontalCentered="1"/>
  <pageMargins left="0.5" right="0.5" top="0.75" bottom="0.4" header="0.5" footer="0.25"/>
  <pageSetup scale="51" fitToHeight="0" orientation="portrait" r:id="rId1"/>
  <headerFooter>
    <oddHeader>&amp;C&amp;"-,Bold"&amp;18Summary of Data for Academic Cost Study - FY 2023</oddHeader>
    <oddFooter>&amp;RPrinted on: &amp;D</oddFooter>
  </headerFooter>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3261C-6D64-43D2-B5EC-4BB20DAE876C}">
  <sheetPr codeName="Sheet16">
    <tabColor theme="0"/>
  </sheetPr>
  <dimension ref="A1:VS83"/>
  <sheetViews>
    <sheetView zoomScale="85" zoomScaleNormal="85" workbookViewId="0">
      <pane xSplit="6" topLeftCell="G1" activePane="topRight" state="frozen"/>
      <selection pane="topRight" sqref="A1:XFD1048576"/>
    </sheetView>
  </sheetViews>
  <sheetFormatPr defaultColWidth="8.83203125" defaultRowHeight="19.2" outlineLevelCol="1" x14ac:dyDescent="0.55000000000000004"/>
  <cols>
    <col min="1" max="1" width="45.58203125" style="325" bestFit="1" customWidth="1"/>
    <col min="2" max="2" width="7.5" style="326" customWidth="1" outlineLevel="1"/>
    <col min="3" max="3" width="7.9140625" style="326" customWidth="1" outlineLevel="1"/>
    <col min="4" max="5" width="7.33203125" style="326" customWidth="1" outlineLevel="1"/>
    <col min="6" max="6" width="7.58203125" style="325" customWidth="1" outlineLevel="1"/>
    <col min="7" max="7" width="11.83203125" style="325" bestFit="1" customWidth="1"/>
    <col min="8" max="9" width="8" style="325" customWidth="1" outlineLevel="1"/>
    <col min="10" max="10" width="9.4140625" style="325" customWidth="1" outlineLevel="1"/>
    <col min="11" max="11" width="8" style="325" customWidth="1" outlineLevel="1"/>
    <col min="12" max="12" width="9.1640625" style="325" customWidth="1" outlineLevel="1"/>
    <col min="13" max="13" width="8" style="325" customWidth="1" outlineLevel="1"/>
    <col min="14" max="14" width="9.4140625" style="325" customWidth="1" outlineLevel="1"/>
    <col min="15" max="15" width="8.6640625" style="325" customWidth="1" outlineLevel="1"/>
    <col min="16" max="16" width="11.1640625" style="325" customWidth="1" outlineLevel="1"/>
    <col min="17" max="17" width="11.08203125" style="325" customWidth="1" outlineLevel="1"/>
    <col min="18" max="18" width="9.6640625" style="325" customWidth="1" outlineLevel="1"/>
    <col min="19" max="19" width="11.33203125" style="325" customWidth="1" outlineLevel="1"/>
    <col min="20" max="20" width="10.1640625" style="325" customWidth="1" outlineLevel="1"/>
    <col min="21" max="21" width="12.5" style="325" customWidth="1" outlineLevel="1"/>
    <col min="22" max="22" width="11.33203125" style="325" customWidth="1" outlineLevel="1"/>
    <col min="23" max="23" width="12.1640625" style="325" customWidth="1" outlineLevel="1"/>
    <col min="24" max="24" width="12.08203125" style="325" customWidth="1" outlineLevel="1"/>
    <col min="25" max="25" width="11.1640625" style="325" customWidth="1" outlineLevel="1"/>
    <col min="26" max="26" width="7" style="325" customWidth="1" outlineLevel="1"/>
    <col min="27" max="27" width="9.58203125" style="325" customWidth="1" outlineLevel="1"/>
    <col min="28" max="28" width="7.6640625" style="325" customWidth="1" outlineLevel="1"/>
    <col min="29" max="29" width="6.9140625" style="325" customWidth="1" outlineLevel="1"/>
    <col min="30" max="30" width="9.1640625" style="325" customWidth="1" outlineLevel="1"/>
    <col min="31" max="31" width="8" style="325" customWidth="1" outlineLevel="1"/>
    <col min="32" max="32" width="9.58203125" style="325" customWidth="1" outlineLevel="1"/>
    <col min="33" max="33" width="8.9140625" style="325" customWidth="1" outlineLevel="1"/>
    <col min="34" max="34" width="12.33203125" style="325" customWidth="1" outlineLevel="1"/>
    <col min="35" max="35" width="11.9140625" style="325" customWidth="1" outlineLevel="1"/>
    <col min="36" max="42" width="10" style="325" customWidth="1" outlineLevel="1"/>
    <col min="43" max="43" width="13.5" style="325" bestFit="1" customWidth="1"/>
    <col min="44" max="44" width="14" style="325" customWidth="1" outlineLevel="1"/>
    <col min="45" max="45" width="13.33203125" style="325" customWidth="1" outlineLevel="1"/>
    <col min="46" max="46" width="14.1640625" style="325" customWidth="1" outlineLevel="1"/>
    <col min="47" max="47" width="13.9140625" style="325" customWidth="1" outlineLevel="1"/>
    <col min="48" max="51" width="14.1640625" style="325" customWidth="1" outlineLevel="1"/>
    <col min="52" max="52" width="13.5" style="325" customWidth="1" outlineLevel="1"/>
    <col min="53" max="53" width="14" style="325" customWidth="1" outlineLevel="1"/>
    <col min="54" max="54" width="13.33203125" style="325" customWidth="1" outlineLevel="1"/>
    <col min="55" max="55" width="14.1640625" style="325" customWidth="1" outlineLevel="1"/>
    <col min="56" max="56" width="13.9140625" style="325" customWidth="1" outlineLevel="1"/>
    <col min="57" max="60" width="14.1640625" style="325" customWidth="1" outlineLevel="1"/>
    <col min="61" max="61" width="13.5" style="325" customWidth="1" outlineLevel="1"/>
    <col min="62" max="62" width="14" style="325" customWidth="1" outlineLevel="1"/>
    <col min="63" max="63" width="13.33203125" style="325" customWidth="1" outlineLevel="1"/>
    <col min="64" max="64" width="14.58203125" style="325" customWidth="1" outlineLevel="1"/>
    <col min="65" max="65" width="13.9140625" style="325" customWidth="1" outlineLevel="1"/>
    <col min="66" max="66" width="15.58203125" style="325" customWidth="1" outlineLevel="1"/>
    <col min="67" max="67" width="15.08203125" style="325" customWidth="1" outlineLevel="1"/>
    <col min="68" max="69" width="15.58203125" style="325" customWidth="1" outlineLevel="1"/>
    <col min="70" max="70" width="13.5" style="325" customWidth="1" outlineLevel="1"/>
    <col min="71" max="71" width="14" style="325" customWidth="1" outlineLevel="1"/>
    <col min="72" max="72" width="13.33203125" style="325" customWidth="1" outlineLevel="1"/>
    <col min="73" max="73" width="14.58203125" style="325" customWidth="1" outlineLevel="1"/>
    <col min="74" max="74" width="13.9140625" style="325" customWidth="1" outlineLevel="1"/>
    <col min="75" max="75" width="15.6640625" style="325" customWidth="1" outlineLevel="1"/>
    <col min="76" max="76" width="15.08203125" style="325" customWidth="1" outlineLevel="1"/>
    <col min="77" max="78" width="15.6640625" style="325" customWidth="1" outlineLevel="1"/>
    <col min="79" max="79" width="12.08203125" style="325" customWidth="1" outlineLevel="1"/>
    <col min="80" max="80" width="12.5" style="325" customWidth="1" outlineLevel="1"/>
    <col min="81" max="87" width="10.08203125" style="325" customWidth="1" outlineLevel="1"/>
    <col min="88" max="88" width="12.4140625" style="325" customWidth="1" outlineLevel="1"/>
    <col min="89" max="89" width="12.9140625" style="325" customWidth="1" outlineLevel="1"/>
    <col min="90" max="90" width="12.1640625" style="325" customWidth="1" outlineLevel="1"/>
    <col min="91" max="91" width="13.08203125" style="325" customWidth="1" outlineLevel="1"/>
    <col min="92" max="92" width="12.83203125" style="325" customWidth="1" outlineLevel="1"/>
    <col min="93" max="96" width="13.08203125" style="325" customWidth="1" outlineLevel="1"/>
    <col min="97" max="97" width="12.4140625" style="325" customWidth="1" outlineLevel="1"/>
    <col min="98" max="98" width="12.9140625" style="325" customWidth="1" outlineLevel="1"/>
    <col min="99" max="99" width="12.1640625" style="325" customWidth="1" outlineLevel="1"/>
    <col min="100" max="100" width="13.1640625" style="325" customWidth="1" outlineLevel="1"/>
    <col min="101" max="101" width="12.83203125" style="325" customWidth="1" outlineLevel="1"/>
    <col min="102" max="105" width="13.1640625" style="325" customWidth="1" outlineLevel="1"/>
    <col min="106" max="106" width="12.4140625" style="325" customWidth="1" outlineLevel="1"/>
    <col min="107" max="107" width="12.9140625" style="325" customWidth="1" outlineLevel="1"/>
    <col min="108" max="108" width="12.4140625" style="325" customWidth="1" outlineLevel="1"/>
    <col min="109" max="109" width="13.4140625" style="325" customWidth="1" outlineLevel="1"/>
    <col min="110" max="110" width="12.83203125" style="325" customWidth="1" outlineLevel="1"/>
    <col min="111" max="111" width="14.4140625" style="325" customWidth="1" outlineLevel="1"/>
    <col min="112" max="112" width="13.9140625" style="325" customWidth="1" outlineLevel="1"/>
    <col min="113" max="114" width="14.4140625" style="325" customWidth="1" outlineLevel="1"/>
    <col min="115" max="115" width="12.5" style="325" customWidth="1" outlineLevel="1"/>
    <col min="116" max="116" width="12.9140625" style="325" customWidth="1" outlineLevel="1"/>
    <col min="117" max="117" width="12.5" style="325" customWidth="1" outlineLevel="1"/>
    <col min="118" max="118" width="13.4140625" style="325" customWidth="1" outlineLevel="1"/>
    <col min="119" max="119" width="12.83203125" style="325" customWidth="1" outlineLevel="1"/>
    <col min="120" max="120" width="14.58203125" style="325" customWidth="1" outlineLevel="1"/>
    <col min="121" max="121" width="13.9140625" style="325" customWidth="1" outlineLevel="1"/>
    <col min="122" max="123" width="14.58203125" style="325" customWidth="1" outlineLevel="1"/>
    <col min="124" max="124" width="11.9140625" style="325" customWidth="1" outlineLevel="1"/>
    <col min="125" max="125" width="12.5" style="325" customWidth="1" outlineLevel="1"/>
    <col min="126" max="128" width="8.83203125" style="325" customWidth="1" outlineLevel="1"/>
    <col min="129" max="129" width="9.1640625" style="325" customWidth="1" outlineLevel="1"/>
    <col min="130" max="130" width="8.83203125" style="325" customWidth="1" outlineLevel="1"/>
    <col min="131" max="131" width="8.9140625" style="325" customWidth="1" outlineLevel="1"/>
    <col min="132" max="132" width="8.83203125" style="325" customWidth="1" outlineLevel="1"/>
    <col min="133" max="133" width="13.5" style="325" bestFit="1" customWidth="1"/>
    <col min="134" max="134" width="14" style="325" customWidth="1" outlineLevel="1"/>
    <col min="135" max="135" width="13.33203125" style="325" customWidth="1" outlineLevel="1"/>
    <col min="136" max="136" width="14.08203125" style="325" customWidth="1" outlineLevel="1"/>
    <col min="137" max="137" width="13.9140625" style="325" customWidth="1" outlineLevel="1"/>
    <col min="138" max="141" width="14.08203125" style="325" customWidth="1" outlineLevel="1"/>
    <col min="142" max="142" width="13.5" style="325" customWidth="1" outlineLevel="1"/>
    <col min="143" max="143" width="14" style="325" customWidth="1" outlineLevel="1"/>
    <col min="144" max="144" width="13.33203125" style="325" customWidth="1" outlineLevel="1"/>
    <col min="145" max="145" width="14.1640625" style="325" customWidth="1" outlineLevel="1"/>
    <col min="146" max="146" width="13.9140625" style="325" customWidth="1" outlineLevel="1"/>
    <col min="147" max="150" width="14.1640625" style="325" customWidth="1" outlineLevel="1"/>
    <col min="151" max="151" width="13.5" style="325" customWidth="1" outlineLevel="1"/>
    <col min="152" max="152" width="14" style="325" customWidth="1" outlineLevel="1"/>
    <col min="153" max="153" width="13.33203125" style="325" customWidth="1" outlineLevel="1"/>
    <col min="154" max="154" width="14.58203125" style="325" customWidth="1" outlineLevel="1"/>
    <col min="155" max="155" width="13.9140625" style="325" customWidth="1" outlineLevel="1"/>
    <col min="156" max="156" width="15.5" style="325" customWidth="1" outlineLevel="1"/>
    <col min="157" max="157" width="15.08203125" style="325" customWidth="1" outlineLevel="1"/>
    <col min="158" max="159" width="15.5" style="325" customWidth="1" outlineLevel="1"/>
    <col min="160" max="160" width="13.5" style="325" customWidth="1" outlineLevel="1"/>
    <col min="161" max="161" width="14" style="325" customWidth="1" outlineLevel="1"/>
    <col min="162" max="162" width="13.33203125" style="325" customWidth="1" outlineLevel="1"/>
    <col min="163" max="163" width="14.58203125" style="325" customWidth="1" outlineLevel="1"/>
    <col min="164" max="164" width="13.9140625" style="325" customWidth="1" outlineLevel="1"/>
    <col min="165" max="165" width="15.58203125" style="325" customWidth="1" outlineLevel="1"/>
    <col min="166" max="166" width="15.08203125" style="325" customWidth="1" outlineLevel="1"/>
    <col min="167" max="168" width="15.58203125" style="325" customWidth="1" outlineLevel="1"/>
    <col min="169" max="169" width="11.6640625" style="325" customWidth="1" outlineLevel="1"/>
    <col min="170" max="170" width="12.08203125" style="325" customWidth="1" outlineLevel="1"/>
    <col min="171" max="171" width="11.1640625" style="325" customWidth="1" outlineLevel="1"/>
    <col min="172" max="172" width="11.83203125" style="325" customWidth="1" outlineLevel="1"/>
    <col min="173" max="173" width="11.1640625" style="325" customWidth="1" outlineLevel="1"/>
    <col min="174" max="177" width="12.08203125" style="325" customWidth="1" outlineLevel="1"/>
    <col min="178" max="178" width="12.4140625" style="325" customWidth="1" outlineLevel="1"/>
    <col min="179" max="179" width="12.9140625" style="325" customWidth="1" outlineLevel="1"/>
    <col min="180" max="180" width="12.1640625" style="325" customWidth="1" outlineLevel="1"/>
    <col min="181" max="181" width="13" style="325" customWidth="1" outlineLevel="1"/>
    <col min="182" max="182" width="12.83203125" style="325" customWidth="1" outlineLevel="1"/>
    <col min="183" max="183" width="13.08203125" style="325" customWidth="1" outlineLevel="1"/>
    <col min="184" max="186" width="13" style="325" customWidth="1" outlineLevel="1"/>
    <col min="187" max="187" width="12.4140625" style="325" customWidth="1" outlineLevel="1"/>
    <col min="188" max="188" width="12.9140625" style="325" customWidth="1" outlineLevel="1"/>
    <col min="189" max="189" width="12.1640625" style="325" customWidth="1" outlineLevel="1"/>
    <col min="190" max="190" width="13.08203125" style="325" customWidth="1" outlineLevel="1"/>
    <col min="191" max="191" width="12.83203125" style="325" customWidth="1" outlineLevel="1"/>
    <col min="192" max="195" width="13.08203125" style="325" customWidth="1" outlineLevel="1"/>
    <col min="196" max="196" width="12.4140625" style="325" customWidth="1" outlineLevel="1"/>
    <col min="197" max="197" width="12.9140625" style="325" customWidth="1" outlineLevel="1"/>
    <col min="198" max="198" width="12.33203125" style="325" customWidth="1" outlineLevel="1"/>
    <col min="199" max="199" width="13.4140625" style="325" customWidth="1" outlineLevel="1"/>
    <col min="200" max="200" width="12.83203125" style="325" customWidth="1" outlineLevel="1"/>
    <col min="201" max="201" width="14.33203125" style="325" customWidth="1" outlineLevel="1"/>
    <col min="202" max="202" width="13.9140625" style="325" customWidth="1" outlineLevel="1"/>
    <col min="203" max="204" width="14.33203125" style="325" customWidth="1" outlineLevel="1"/>
    <col min="205" max="205" width="12.4140625" style="325" customWidth="1" outlineLevel="1"/>
    <col min="206" max="206" width="12.9140625" style="325" customWidth="1" outlineLevel="1"/>
    <col min="207" max="207" width="12.4140625" style="325" customWidth="1" outlineLevel="1"/>
    <col min="208" max="208" width="13.4140625" style="325" customWidth="1" outlineLevel="1"/>
    <col min="209" max="209" width="12.83203125" style="325" customWidth="1" outlineLevel="1"/>
    <col min="210" max="210" width="14.4140625" style="325" customWidth="1" outlineLevel="1"/>
    <col min="211" max="211" width="13.9140625" style="325" customWidth="1" outlineLevel="1"/>
    <col min="212" max="213" width="14.4140625" style="325" customWidth="1" outlineLevel="1"/>
    <col min="214" max="214" width="11.1640625" style="325" customWidth="1" outlineLevel="1"/>
    <col min="215" max="215" width="12.33203125" style="325" customWidth="1" outlineLevel="1"/>
    <col min="216" max="216" width="11.6640625" style="325" customWidth="1" outlineLevel="1"/>
    <col min="217" max="222" width="10.08203125" style="325" customWidth="1" outlineLevel="1"/>
    <col min="223" max="223" width="11.1640625" style="325" bestFit="1" customWidth="1"/>
    <col min="224" max="224" width="11.6640625" style="325" customWidth="1" outlineLevel="1"/>
    <col min="225" max="225" width="10.1640625" style="325" customWidth="1" outlineLevel="1"/>
    <col min="226" max="226" width="12.4140625" style="325" customWidth="1" outlineLevel="1"/>
    <col min="227" max="227" width="10.5" style="325" customWidth="1" outlineLevel="1"/>
    <col min="228" max="228" width="12.6640625" style="325" customWidth="1" outlineLevel="1"/>
    <col min="229" max="229" width="11.58203125" style="325" customWidth="1" outlineLevel="1"/>
    <col min="230" max="230" width="12.5" style="325" customWidth="1" outlineLevel="1"/>
    <col min="231" max="231" width="12.33203125" style="325" customWidth="1" outlineLevel="1"/>
    <col min="232" max="232" width="12.1640625" style="325" bestFit="1" customWidth="1"/>
    <col min="233" max="233" width="12.1640625" style="325" customWidth="1" outlineLevel="1"/>
    <col min="234" max="234" width="11.6640625" style="325" customWidth="1" outlineLevel="1"/>
    <col min="235" max="235" width="12" style="325" customWidth="1" outlineLevel="1"/>
    <col min="236" max="236" width="11.6640625" style="325" customWidth="1" outlineLevel="1"/>
    <col min="237" max="237" width="12.83203125" style="325" customWidth="1" outlineLevel="1"/>
    <col min="238" max="238" width="12.1640625" style="325" customWidth="1" outlineLevel="1"/>
    <col min="239" max="239" width="12.58203125" style="325" customWidth="1" outlineLevel="1"/>
    <col min="240" max="240" width="12.4140625" style="325" customWidth="1" outlineLevel="1"/>
    <col min="241" max="241" width="13.1640625" style="325" bestFit="1" customWidth="1"/>
    <col min="242" max="242" width="13.5" style="325" customWidth="1" outlineLevel="1"/>
    <col min="243" max="243" width="9.83203125" style="325" customWidth="1" outlineLevel="1"/>
    <col min="244" max="244" width="8" style="325" customWidth="1" outlineLevel="1"/>
    <col min="245" max="245" width="6.9140625" style="325" customWidth="1" outlineLevel="1"/>
    <col min="246" max="246" width="9.1640625" style="325" customWidth="1" outlineLevel="1"/>
    <col min="247" max="247" width="8" style="325" customWidth="1" outlineLevel="1"/>
    <col min="248" max="248" width="9.83203125" style="325" customWidth="1" outlineLevel="1"/>
    <col min="249" max="249" width="9.1640625" style="325" customWidth="1" outlineLevel="1"/>
    <col min="250" max="250" width="12.33203125" style="325" bestFit="1" customWidth="1"/>
    <col min="251" max="251" width="11.83203125" style="325" customWidth="1" outlineLevel="1"/>
    <col min="252" max="252" width="10.33203125" style="325" customWidth="1" outlineLevel="1"/>
    <col min="253" max="253" width="11.83203125" style="325" customWidth="1" outlineLevel="1"/>
    <col min="254" max="254" width="10" style="325" customWidth="1" outlineLevel="1"/>
    <col min="255" max="255" width="13.4140625" style="325" customWidth="1" outlineLevel="1"/>
    <col min="256" max="256" width="11.1640625" style="325" customWidth="1" outlineLevel="1"/>
    <col min="257" max="257" width="11.5" style="325" customWidth="1" outlineLevel="1"/>
    <col min="258" max="258" width="11.33203125" style="325" customWidth="1" outlineLevel="1"/>
    <col min="259" max="259" width="10.9140625" style="325" bestFit="1" customWidth="1"/>
    <col min="260" max="260" width="12.1640625" style="325" customWidth="1" outlineLevel="1"/>
    <col min="261" max="261" width="10.9140625" style="325" customWidth="1" outlineLevel="1"/>
    <col min="262" max="262" width="11.08203125" style="325" customWidth="1" outlineLevel="1"/>
    <col min="263" max="263" width="10.9140625" style="325" customWidth="1" outlineLevel="1"/>
    <col min="264" max="264" width="12.6640625" style="325" customWidth="1" outlineLevel="1"/>
    <col min="265" max="265" width="11.58203125" style="325" customWidth="1" outlineLevel="1"/>
    <col min="266" max="266" width="12.5" style="325" customWidth="1" outlineLevel="1"/>
    <col min="267" max="267" width="12.33203125" style="325" customWidth="1" outlineLevel="1"/>
    <col min="268" max="268" width="10.08203125" style="325" bestFit="1" customWidth="1"/>
    <col min="269" max="269" width="11.6640625" style="325" customWidth="1" outlineLevel="1"/>
    <col min="270" max="270" width="11" style="325" customWidth="1" outlineLevel="1"/>
    <col min="271" max="271" width="12.1640625" style="325" customWidth="1" outlineLevel="1"/>
    <col min="272" max="272" width="10.5" style="325" customWidth="1" outlineLevel="1"/>
    <col min="273" max="273" width="12.6640625" style="325" customWidth="1" outlineLevel="1"/>
    <col min="274" max="274" width="11.58203125" style="325" customWidth="1" outlineLevel="1"/>
    <col min="275" max="275" width="12.5" style="325" customWidth="1" outlineLevel="1"/>
    <col min="276" max="276" width="12.33203125" style="325" customWidth="1" outlineLevel="1"/>
    <col min="277" max="277" width="11.1640625" style="325" bestFit="1" customWidth="1"/>
    <col min="278" max="278" width="12.33203125" style="325" customWidth="1" outlineLevel="1"/>
    <col min="279" max="279" width="9.6640625" style="325" customWidth="1" outlineLevel="1"/>
    <col min="280" max="280" width="11.4140625" style="325" customWidth="1" outlineLevel="1"/>
    <col min="281" max="281" width="8.6640625" style="325" customWidth="1" outlineLevel="1"/>
    <col min="282" max="282" width="9.1640625" style="325" customWidth="1" outlineLevel="1"/>
    <col min="283" max="283" width="9.4140625" style="325" customWidth="1" outlineLevel="1"/>
    <col min="284" max="284" width="9.6640625" style="325" customWidth="1" outlineLevel="1"/>
    <col min="285" max="285" width="9" style="325" customWidth="1" outlineLevel="1"/>
    <col min="286" max="286" width="9.33203125" style="325" customWidth="1" outlineLevel="1"/>
    <col min="287" max="287" width="10.83203125" style="325" customWidth="1" outlineLevel="1"/>
    <col min="288" max="288" width="12.4140625" style="325" customWidth="1" outlineLevel="1"/>
    <col min="289" max="289" width="10.33203125" style="325" customWidth="1" outlineLevel="1"/>
    <col min="290" max="290" width="9.6640625" style="325" customWidth="1" outlineLevel="1"/>
    <col min="291" max="291" width="12" style="325" customWidth="1" outlineLevel="1"/>
    <col min="292" max="292" width="10.83203125" style="325" customWidth="1" outlineLevel="1"/>
    <col min="293" max="293" width="11.6640625" style="325" customWidth="1" outlineLevel="1"/>
    <col min="294" max="294" width="11.58203125" style="325" customWidth="1" outlineLevel="1"/>
    <col min="295" max="295" width="10.5" style="325" customWidth="1" outlineLevel="1"/>
    <col min="296" max="296" width="11.58203125" style="325" customWidth="1" outlineLevel="1"/>
    <col min="297" max="297" width="10.08203125" style="325" customWidth="1" outlineLevel="1"/>
    <col min="298" max="298" width="11.08203125" style="325" customWidth="1" outlineLevel="1"/>
    <col min="299" max="299" width="9.5" style="325" customWidth="1" outlineLevel="1"/>
    <col min="300" max="300" width="10.58203125" style="325" customWidth="1" outlineLevel="1"/>
    <col min="301" max="301" width="10.83203125" style="325" customWidth="1" outlineLevel="1"/>
    <col min="302" max="302" width="11.33203125" style="325" customWidth="1" outlineLevel="1"/>
    <col min="303" max="303" width="11.4140625" style="325" customWidth="1" outlineLevel="1"/>
    <col min="304" max="304" width="12" style="325" bestFit="1" customWidth="1"/>
    <col min="305" max="305" width="12.9140625" style="325" customWidth="1" outlineLevel="1"/>
    <col min="306" max="306" width="10" style="325" customWidth="1" outlineLevel="1"/>
    <col min="307" max="307" width="11.1640625" style="325" customWidth="1" outlineLevel="1"/>
    <col min="308" max="308" width="7.6640625" style="325" customWidth="1" outlineLevel="1"/>
    <col min="309" max="309" width="9.1640625" style="325" customWidth="1" outlineLevel="1"/>
    <col min="310" max="310" width="9" style="325" customWidth="1" outlineLevel="1"/>
    <col min="311" max="311" width="10" style="325" customWidth="1" outlineLevel="1"/>
    <col min="312" max="312" width="9.33203125" style="325" customWidth="1" outlineLevel="1"/>
    <col min="313" max="313" width="12" style="325" customWidth="1" outlineLevel="1"/>
    <col min="314" max="314" width="11.9140625" style="325" customWidth="1" outlineLevel="1"/>
    <col min="315" max="315" width="9.33203125" style="325" customWidth="1" outlineLevel="1"/>
    <col min="316" max="316" width="12.33203125" style="325" customWidth="1" outlineLevel="1"/>
    <col min="317" max="317" width="9.9140625" style="325" customWidth="1" outlineLevel="1"/>
    <col min="318" max="318" width="9.1640625" style="325" customWidth="1" outlineLevel="1"/>
    <col min="319" max="319" width="9.08203125" style="325" customWidth="1" outlineLevel="1"/>
    <col min="320" max="320" width="9.33203125" style="325" customWidth="1" outlineLevel="1"/>
    <col min="321" max="321" width="8.6640625" style="325" customWidth="1" outlineLevel="1"/>
    <col min="322" max="322" width="11.08203125" style="325" customWidth="1" outlineLevel="1"/>
    <col min="323" max="323" width="11.1640625" style="325" customWidth="1" outlineLevel="1"/>
    <col min="324" max="324" width="8.9140625" style="325" customWidth="1" outlineLevel="1"/>
    <col min="325" max="325" width="11.4140625" style="325" customWidth="1" outlineLevel="1"/>
    <col min="326" max="326" width="8.9140625" style="325" customWidth="1" outlineLevel="1"/>
    <col min="327" max="327" width="9.1640625" style="325" customWidth="1" outlineLevel="1"/>
    <col min="328" max="330" width="8.9140625" style="325" customWidth="1" outlineLevel="1"/>
    <col min="331" max="331" width="13.4140625" style="325" customWidth="1" outlineLevel="1"/>
    <col min="332" max="332" width="12.5" style="325" customWidth="1" outlineLevel="1"/>
    <col min="333" max="333" width="10.1640625" style="325" customWidth="1" outlineLevel="1"/>
    <col min="334" max="334" width="11.33203125" style="325" customWidth="1" outlineLevel="1"/>
    <col min="335" max="339" width="10.33203125" style="325" customWidth="1" outlineLevel="1"/>
    <col min="340" max="340" width="11.6640625" style="325" customWidth="1" outlineLevel="1"/>
    <col min="341" max="341" width="12.1640625" style="325" customWidth="1" outlineLevel="1"/>
    <col min="342" max="342" width="9.4140625" style="325" customWidth="1" outlineLevel="1"/>
    <col min="343" max="343" width="11" style="325" customWidth="1" outlineLevel="1"/>
    <col min="344" max="344" width="10" style="325" customWidth="1" outlineLevel="1"/>
    <col min="345" max="348" width="10.1640625" style="325" customWidth="1" outlineLevel="1"/>
    <col min="349" max="349" width="11.1640625" style="325" customWidth="1" outlineLevel="1"/>
    <col min="350" max="350" width="11.33203125" style="325" customWidth="1" outlineLevel="1"/>
    <col min="351" max="351" width="10.6640625" style="325" customWidth="1" outlineLevel="1"/>
    <col min="352" max="353" width="10.58203125" style="325" customWidth="1" outlineLevel="1"/>
    <col min="354" max="355" width="9.1640625" style="325" customWidth="1" outlineLevel="1"/>
    <col min="356" max="357" width="8.9140625" style="325" customWidth="1" outlineLevel="1"/>
    <col min="358" max="358" width="11.9140625" style="325" customWidth="1" outlineLevel="1"/>
    <col min="359" max="359" width="12" style="325" customWidth="1" outlineLevel="1"/>
    <col min="360" max="360" width="9.1640625" style="325" customWidth="1" outlineLevel="1"/>
    <col min="361" max="361" width="11.08203125" style="325" customWidth="1" outlineLevel="1"/>
    <col min="362" max="363" width="9.1640625" style="325" customWidth="1" outlineLevel="1"/>
    <col min="364" max="364" width="9.9140625" style="325" customWidth="1" outlineLevel="1"/>
    <col min="365" max="366" width="9.1640625" style="325" customWidth="1" outlineLevel="1"/>
    <col min="367" max="367" width="12.1640625" style="325" customWidth="1" outlineLevel="1"/>
    <col min="368" max="368" width="11.9140625" style="325" customWidth="1" outlineLevel="1"/>
    <col min="369" max="369" width="9.58203125" style="325" customWidth="1" outlineLevel="1"/>
    <col min="370" max="370" width="10.83203125" style="325" customWidth="1" outlineLevel="1"/>
    <col min="371" max="372" width="10.1640625" style="325" customWidth="1" outlineLevel="1"/>
    <col min="373" max="373" width="11.4140625" style="325" customWidth="1" outlineLevel="1"/>
    <col min="374" max="375" width="10.1640625" style="325" customWidth="1" outlineLevel="1"/>
    <col min="376" max="376" width="11.4140625" style="325" customWidth="1" outlineLevel="1"/>
    <col min="377" max="377" width="11.5" style="325" customWidth="1" outlineLevel="1"/>
    <col min="378" max="378" width="10.1640625" style="325" customWidth="1" outlineLevel="1"/>
    <col min="379" max="379" width="11.4140625" style="325" customWidth="1" outlineLevel="1"/>
    <col min="380" max="380" width="9.83203125" style="325" customWidth="1" outlineLevel="1"/>
    <col min="381" max="381" width="11" style="325" customWidth="1" outlineLevel="1"/>
    <col min="382" max="382" width="10.9140625" style="325" customWidth="1" outlineLevel="1"/>
    <col min="383" max="385" width="11" style="325" customWidth="1" outlineLevel="1"/>
    <col min="386" max="386" width="10.58203125" style="325" customWidth="1" outlineLevel="1"/>
    <col min="387" max="387" width="11.9140625" style="325" customWidth="1" outlineLevel="1"/>
    <col min="388" max="388" width="10.6640625" style="325" customWidth="1" outlineLevel="1"/>
    <col min="389" max="393" width="9.1640625" style="325" customWidth="1" outlineLevel="1"/>
    <col min="394" max="394" width="11.5" style="325" customWidth="1" outlineLevel="1"/>
    <col min="395" max="395" width="11.33203125" style="325" customWidth="1" outlineLevel="1"/>
    <col min="396" max="397" width="11.1640625" style="325" customWidth="1" outlineLevel="1"/>
    <col min="398" max="398" width="10.58203125" style="325" customWidth="1" outlineLevel="1"/>
    <col min="399" max="399" width="12.6640625" style="325" customWidth="1" outlineLevel="1"/>
    <col min="400" max="400" width="11.6640625" style="325" customWidth="1" outlineLevel="1"/>
    <col min="401" max="401" width="12.58203125" style="325" customWidth="1" outlineLevel="1"/>
    <col min="402" max="402" width="12.4140625" style="325" customWidth="1" outlineLevel="1"/>
    <col min="403" max="403" width="10.5" style="325" customWidth="1" outlineLevel="1"/>
    <col min="404" max="404" width="11.1640625" style="325" customWidth="1" outlineLevel="1"/>
    <col min="405" max="406" width="10.1640625" style="325" customWidth="1" outlineLevel="1"/>
    <col min="407" max="407" width="10.33203125" style="325" customWidth="1" outlineLevel="1"/>
    <col min="408" max="408" width="11.4140625" style="325" customWidth="1" outlineLevel="1"/>
    <col min="409" max="409" width="10.9140625" style="325" customWidth="1" outlineLevel="1"/>
    <col min="410" max="410" width="12.08203125" style="325" customWidth="1" outlineLevel="1"/>
    <col min="411" max="411" width="10.6640625" style="325" customWidth="1" outlineLevel="1"/>
    <col min="412" max="412" width="10.4140625" style="325" customWidth="1"/>
    <col min="413" max="413" width="10.9140625" style="325" customWidth="1" outlineLevel="1"/>
    <col min="414" max="414" width="10.4140625" style="325" customWidth="1" outlineLevel="1"/>
    <col min="415" max="415" width="11.4140625" style="325" customWidth="1" outlineLevel="1"/>
    <col min="416" max="416" width="10.83203125" style="325" customWidth="1" outlineLevel="1"/>
    <col min="417" max="417" width="13.08203125" style="325" customWidth="1" outlineLevel="1"/>
    <col min="418" max="418" width="12.6640625" style="325" customWidth="1" outlineLevel="1"/>
    <col min="419" max="419" width="12.83203125" style="325" customWidth="1" outlineLevel="1"/>
    <col min="420" max="420" width="12.6640625" style="325" customWidth="1" outlineLevel="1"/>
    <col min="421" max="421" width="12.9140625" style="325" customWidth="1" outlineLevel="1"/>
    <col min="422" max="422" width="12.4140625" style="325" customWidth="1" outlineLevel="1"/>
    <col min="423" max="423" width="12.1640625" style="325" customWidth="1" outlineLevel="1"/>
    <col min="424" max="424" width="12.5" style="325" customWidth="1" outlineLevel="1"/>
    <col min="425" max="425" width="10.6640625" style="325" customWidth="1" outlineLevel="1"/>
    <col min="426" max="426" width="13.58203125" style="325" customWidth="1" outlineLevel="1"/>
    <col min="427" max="427" width="13.1640625" style="325" customWidth="1" outlineLevel="1"/>
    <col min="428" max="428" width="12.4140625" style="325" customWidth="1" outlineLevel="1"/>
    <col min="429" max="429" width="12.6640625" style="325" customWidth="1" outlineLevel="1"/>
    <col min="430" max="434" width="10.4140625" style="325" customWidth="1" outlineLevel="1"/>
    <col min="435" max="435" width="10.9140625" style="325" customWidth="1" outlineLevel="1"/>
    <col min="436" max="436" width="13.5" style="325" customWidth="1" outlineLevel="1"/>
    <col min="437" max="437" width="10.6640625" style="325" customWidth="1" outlineLevel="1"/>
    <col min="438" max="438" width="10.5" style="325" customWidth="1" outlineLevel="1"/>
    <col min="439" max="439" width="11.9140625" style="325" customWidth="1" outlineLevel="1"/>
    <col min="440" max="440" width="12.1640625" style="325" customWidth="1" outlineLevel="1"/>
    <col min="441" max="441" width="12" style="325" customWidth="1" outlineLevel="1"/>
    <col min="442" max="442" width="11.08203125" style="325" customWidth="1" outlineLevel="1"/>
    <col min="443" max="443" width="9.9140625" style="325" customWidth="1" outlineLevel="1"/>
    <col min="444" max="444" width="12.1640625" style="325" customWidth="1" outlineLevel="1"/>
    <col min="445" max="445" width="11.4140625" style="325" customWidth="1" outlineLevel="1"/>
    <col min="446" max="446" width="12.5" style="325" customWidth="1" outlineLevel="1"/>
    <col min="447" max="447" width="11.6640625" style="325" customWidth="1" outlineLevel="1"/>
    <col min="448" max="448" width="12.08203125" style="325" bestFit="1" customWidth="1"/>
    <col min="449" max="449" width="12.1640625" style="325" customWidth="1" outlineLevel="1"/>
    <col min="450" max="450" width="10.5" style="325" customWidth="1" outlineLevel="1"/>
    <col min="451" max="451" width="10.9140625" style="325" customWidth="1" outlineLevel="1"/>
    <col min="452" max="452" width="10.58203125" style="325" customWidth="1" outlineLevel="1"/>
    <col min="453" max="453" width="12.6640625" style="325" customWidth="1" outlineLevel="1"/>
    <col min="454" max="454" width="11" style="325" customWidth="1" outlineLevel="1"/>
    <col min="455" max="456" width="11.1640625" style="325" customWidth="1" outlineLevel="1"/>
    <col min="457" max="457" width="9.6640625" style="325" customWidth="1" outlineLevel="1"/>
    <col min="458" max="459" width="9.33203125" style="325" customWidth="1" outlineLevel="1"/>
    <col min="460" max="460" width="10.5" style="325" customWidth="1" outlineLevel="1"/>
    <col min="461" max="461" width="9.33203125" style="325" customWidth="1" outlineLevel="1"/>
    <col min="462" max="462" width="11.6640625" style="325" customWidth="1" outlineLevel="1"/>
    <col min="463" max="465" width="9.33203125" style="325" customWidth="1" outlineLevel="1"/>
    <col min="466" max="466" width="13.33203125" style="325" bestFit="1" customWidth="1"/>
    <col min="467" max="467" width="13.83203125" style="325" customWidth="1" outlineLevel="1"/>
    <col min="468" max="468" width="13.1640625" style="325" customWidth="1" outlineLevel="1"/>
    <col min="469" max="469" width="13.9140625" style="325" customWidth="1" outlineLevel="1"/>
    <col min="470" max="470" width="13.6640625" style="325" customWidth="1" outlineLevel="1"/>
    <col min="471" max="474" width="13.9140625" style="325" customWidth="1" outlineLevel="1"/>
    <col min="475" max="475" width="9.6640625" style="325" customWidth="1" outlineLevel="1"/>
    <col min="476" max="482" width="9.1640625" style="325" customWidth="1" outlineLevel="1"/>
    <col min="483" max="483" width="13" style="325" customWidth="1" outlineLevel="1"/>
    <col min="484" max="484" width="9.4140625" style="325" customWidth="1" outlineLevel="1"/>
    <col min="485" max="485" width="9.9140625" style="325" customWidth="1" outlineLevel="1"/>
    <col min="486" max="486" width="9.1640625" style="325" customWidth="1" outlineLevel="1"/>
    <col min="487" max="487" width="10.4140625" style="325" customWidth="1" outlineLevel="1"/>
    <col min="488" max="488" width="9.83203125" style="325" customWidth="1" outlineLevel="1"/>
    <col min="489" max="489" width="11.58203125" style="325" customWidth="1" outlineLevel="1"/>
    <col min="490" max="490" width="10.9140625" style="325" customWidth="1" outlineLevel="1"/>
    <col min="491" max="491" width="11.58203125" style="325" customWidth="1" outlineLevel="1"/>
    <col min="492" max="492" width="12.6640625" style="325" customWidth="1" outlineLevel="1"/>
    <col min="493" max="493" width="9.5" style="325" customWidth="1" outlineLevel="1"/>
    <col min="494" max="494" width="11.33203125" style="325" customWidth="1" outlineLevel="1"/>
    <col min="495" max="495" width="9.33203125" style="325" customWidth="1" outlineLevel="1"/>
    <col min="496" max="496" width="10.4140625" style="325" customWidth="1" outlineLevel="1"/>
    <col min="497" max="497" width="9.9140625" style="325" customWidth="1" outlineLevel="1"/>
    <col min="498" max="501" width="10.4140625" style="325" customWidth="1" outlineLevel="1"/>
    <col min="502" max="504" width="10.33203125" style="325" customWidth="1" outlineLevel="1"/>
    <col min="505" max="505" width="10.5" style="325" customWidth="1" outlineLevel="1"/>
    <col min="506" max="506" width="10.33203125" style="325" customWidth="1" outlineLevel="1"/>
    <col min="507" max="507" width="12.1640625" style="325" customWidth="1" outlineLevel="1"/>
    <col min="508" max="508" width="11" style="325" customWidth="1" outlineLevel="1"/>
    <col min="509" max="509" width="11.9140625" style="325" customWidth="1" outlineLevel="1"/>
    <col min="510" max="510" width="11.6640625" style="325" customWidth="1" outlineLevel="1"/>
    <col min="511" max="511" width="10.83203125" style="325" customWidth="1" outlineLevel="1"/>
    <col min="512" max="512" width="11.08203125" style="325" customWidth="1" outlineLevel="1"/>
    <col min="513" max="513" width="10.58203125" style="325" customWidth="1" outlineLevel="1"/>
    <col min="514" max="514" width="10.6640625" style="325" customWidth="1" outlineLevel="1"/>
    <col min="515" max="515" width="9.08203125" style="325" customWidth="1" outlineLevel="1"/>
    <col min="516" max="516" width="9.1640625" style="325" customWidth="1" outlineLevel="1"/>
    <col min="517" max="517" width="12.1640625" style="325" customWidth="1" outlineLevel="1"/>
    <col min="518" max="518" width="9.08203125" style="325" customWidth="1" outlineLevel="1"/>
    <col min="519" max="519" width="12.33203125" style="325" customWidth="1" outlineLevel="1"/>
    <col min="520" max="520" width="15.9140625" style="325" bestFit="1" customWidth="1"/>
    <col min="521" max="521" width="14.58203125" style="325" bestFit="1" customWidth="1"/>
    <col min="522" max="522" width="14.9140625" style="325" bestFit="1" customWidth="1"/>
    <col min="523" max="523" width="10.08203125" style="325" customWidth="1" outlineLevel="1"/>
    <col min="524" max="524" width="10.1640625" style="325" customWidth="1" outlineLevel="1"/>
    <col min="525" max="525" width="11.1640625" style="325" customWidth="1" outlineLevel="1"/>
    <col min="526" max="526" width="10.6640625" style="325" customWidth="1" outlineLevel="1"/>
    <col min="527" max="527" width="11.6640625" style="325" customWidth="1" outlineLevel="1"/>
    <col min="528" max="528" width="11.58203125" style="325" customWidth="1" outlineLevel="1"/>
    <col min="529" max="529" width="11.83203125" style="325" customWidth="1" outlineLevel="1"/>
    <col min="530" max="530" width="12.4140625" style="325" customWidth="1" outlineLevel="1"/>
    <col min="531" max="531" width="12.33203125" style="325" customWidth="1" outlineLevel="1"/>
    <col min="532" max="532" width="10.1640625" style="325" customWidth="1" outlineLevel="1"/>
    <col min="533" max="533" width="12" style="325" customWidth="1" outlineLevel="1"/>
    <col min="534" max="534" width="10.9140625" style="325" bestFit="1" customWidth="1"/>
    <col min="535" max="535" width="11.1640625" style="325" customWidth="1" outlineLevel="1"/>
    <col min="536" max="536" width="12.6640625" style="325" customWidth="1" outlineLevel="1"/>
    <col min="537" max="537" width="11.4140625" style="325" customWidth="1" outlineLevel="1"/>
    <col min="538" max="538" width="13.08203125" style="325" customWidth="1" outlineLevel="1"/>
    <col min="539" max="539" width="12.9140625" style="325" customWidth="1" outlineLevel="1"/>
    <col min="540" max="540" width="13.1640625" style="325" customWidth="1" outlineLevel="1"/>
    <col min="541" max="541" width="13.83203125" style="325" customWidth="1" outlineLevel="1"/>
    <col min="542" max="542" width="13.6640625" style="325" customWidth="1" outlineLevel="1"/>
    <col min="543" max="543" width="10.58203125" style="325" customWidth="1" outlineLevel="1"/>
    <col min="544" max="544" width="10.83203125" style="325" customWidth="1" outlineLevel="1"/>
    <col min="545" max="545" width="12.33203125" style="325" customWidth="1" outlineLevel="1"/>
    <col min="546" max="546" width="10.58203125" style="325" customWidth="1" outlineLevel="1"/>
    <col min="547" max="547" width="12.6640625" style="325" customWidth="1" outlineLevel="1"/>
    <col min="548" max="548" width="12.5" style="325" customWidth="1" outlineLevel="1"/>
    <col min="549" max="549" width="12.83203125" style="325" customWidth="1" outlineLevel="1"/>
    <col min="550" max="550" width="13.4140625" style="325" customWidth="1" outlineLevel="1"/>
    <col min="551" max="551" width="13.33203125" style="325" customWidth="1" outlineLevel="1"/>
    <col min="552" max="552" width="15.6640625" style="325" customWidth="1" outlineLevel="1"/>
    <col min="553" max="553" width="12.4140625" style="325" customWidth="1" outlineLevel="1"/>
    <col min="554" max="554" width="13" style="325" bestFit="1" customWidth="1"/>
    <col min="555" max="555" width="13.1640625" style="325" customWidth="1" outlineLevel="1"/>
    <col min="556" max="556" width="14" style="325" customWidth="1" outlineLevel="1"/>
    <col min="557" max="557" width="13.58203125" style="325" customWidth="1" outlineLevel="1"/>
    <col min="558" max="558" width="12.33203125" style="325" customWidth="1" outlineLevel="1"/>
    <col min="559" max="559" width="11.6640625" style="325" customWidth="1" outlineLevel="1"/>
    <col min="560" max="560" width="12.1640625" style="325" customWidth="1" outlineLevel="1"/>
    <col min="561" max="561" width="11.83203125" style="325" customWidth="1" outlineLevel="1"/>
    <col min="562" max="562" width="12.9140625" style="325" customWidth="1" outlineLevel="1"/>
    <col min="563" max="563" width="12" style="325" customWidth="1" outlineLevel="1"/>
    <col min="564" max="564" width="12.33203125" style="325" bestFit="1" customWidth="1"/>
    <col min="565" max="565" width="11.1640625" style="325" bestFit="1" customWidth="1"/>
    <col min="566" max="566" width="12.83203125" style="325" bestFit="1" customWidth="1"/>
    <col min="567" max="567" width="14.08203125" style="325" customWidth="1"/>
    <col min="568" max="568" width="22.6640625" style="325" customWidth="1" outlineLevel="1"/>
    <col min="569" max="569" width="13.08203125" style="325" customWidth="1" outlineLevel="1"/>
    <col min="570" max="570" width="26.33203125" style="325" customWidth="1" outlineLevel="1"/>
    <col min="571" max="571" width="21.4140625" style="325" customWidth="1" outlineLevel="1"/>
    <col min="572" max="572" width="21.83203125" style="325" customWidth="1" outlineLevel="1"/>
    <col min="573" max="573" width="26.6640625" style="325" customWidth="1" outlineLevel="1"/>
    <col min="574" max="575" width="9.6640625" style="325" customWidth="1"/>
    <col min="576" max="588" width="12.6640625" style="325" customWidth="1"/>
    <col min="589" max="589" width="14.33203125" style="325" bestFit="1" customWidth="1"/>
    <col min="590" max="590" width="14.33203125" style="325" customWidth="1"/>
    <col min="591" max="591" width="14.08203125" style="325" customWidth="1"/>
    <col min="592" max="16384" width="8.83203125" style="325"/>
  </cols>
  <sheetData>
    <row r="1" spans="1:591" s="322" customFormat="1" ht="24" customHeight="1" x14ac:dyDescent="0.55000000000000004">
      <c r="A1" s="320" t="s">
        <v>1856</v>
      </c>
      <c r="B1" s="321">
        <f>COLUMN()</f>
        <v>2</v>
      </c>
      <c r="C1" s="321">
        <f>COLUMN()</f>
        <v>3</v>
      </c>
      <c r="D1" s="321">
        <f>COLUMN()</f>
        <v>4</v>
      </c>
      <c r="E1" s="321">
        <f>COLUMN()</f>
        <v>5</v>
      </c>
      <c r="F1" s="321">
        <f>COLUMN()</f>
        <v>6</v>
      </c>
      <c r="G1" s="321">
        <f>COLUMN()</f>
        <v>7</v>
      </c>
      <c r="H1" s="321">
        <f>COLUMN()</f>
        <v>8</v>
      </c>
      <c r="I1" s="321">
        <f>COLUMN()</f>
        <v>9</v>
      </c>
      <c r="J1" s="321">
        <f>COLUMN()</f>
        <v>10</v>
      </c>
      <c r="K1" s="321">
        <f>COLUMN()</f>
        <v>11</v>
      </c>
      <c r="L1" s="321">
        <f>COLUMN()</f>
        <v>12</v>
      </c>
      <c r="M1" s="321">
        <f>COLUMN()</f>
        <v>13</v>
      </c>
      <c r="N1" s="321">
        <f>COLUMN()</f>
        <v>14</v>
      </c>
      <c r="O1" s="321">
        <f>COLUMN()</f>
        <v>15</v>
      </c>
      <c r="P1" s="321">
        <f>COLUMN()</f>
        <v>16</v>
      </c>
      <c r="Q1" s="321">
        <f>COLUMN()</f>
        <v>17</v>
      </c>
      <c r="R1" s="321">
        <f>COLUMN()</f>
        <v>18</v>
      </c>
      <c r="S1" s="321">
        <f>COLUMN()</f>
        <v>19</v>
      </c>
      <c r="T1" s="321">
        <f>COLUMN()</f>
        <v>20</v>
      </c>
      <c r="U1" s="321">
        <f>COLUMN()</f>
        <v>21</v>
      </c>
      <c r="V1" s="321">
        <f>COLUMN()</f>
        <v>22</v>
      </c>
      <c r="W1" s="321">
        <f>COLUMN()</f>
        <v>23</v>
      </c>
      <c r="X1" s="321">
        <f>COLUMN()</f>
        <v>24</v>
      </c>
      <c r="Y1" s="321">
        <f>COLUMN()</f>
        <v>25</v>
      </c>
      <c r="Z1" s="321">
        <f>COLUMN()</f>
        <v>26</v>
      </c>
      <c r="AA1" s="321">
        <f>COLUMN()</f>
        <v>27</v>
      </c>
      <c r="AB1" s="321">
        <f>COLUMN()</f>
        <v>28</v>
      </c>
      <c r="AC1" s="321">
        <f>COLUMN()</f>
        <v>29</v>
      </c>
      <c r="AD1" s="321">
        <f>COLUMN()</f>
        <v>30</v>
      </c>
      <c r="AE1" s="321">
        <f>COLUMN()</f>
        <v>31</v>
      </c>
      <c r="AF1" s="321">
        <f>COLUMN()</f>
        <v>32</v>
      </c>
      <c r="AG1" s="321">
        <f>COLUMN()</f>
        <v>33</v>
      </c>
      <c r="AH1" s="321">
        <f>COLUMN()</f>
        <v>34</v>
      </c>
      <c r="AI1" s="321">
        <f>COLUMN()</f>
        <v>35</v>
      </c>
      <c r="AJ1" s="321">
        <f>COLUMN()</f>
        <v>36</v>
      </c>
      <c r="AK1" s="321">
        <f>COLUMN()</f>
        <v>37</v>
      </c>
      <c r="AL1" s="321">
        <f>COLUMN()</f>
        <v>38</v>
      </c>
      <c r="AM1" s="321">
        <f>COLUMN()</f>
        <v>39</v>
      </c>
      <c r="AN1" s="321">
        <f>COLUMN()</f>
        <v>40</v>
      </c>
      <c r="AO1" s="321">
        <f>COLUMN()</f>
        <v>41</v>
      </c>
      <c r="AP1" s="321">
        <f>COLUMN()</f>
        <v>42</v>
      </c>
      <c r="AQ1" s="321">
        <f>COLUMN()</f>
        <v>43</v>
      </c>
      <c r="AR1" s="321">
        <f>COLUMN()</f>
        <v>44</v>
      </c>
      <c r="AS1" s="321">
        <f>COLUMN()</f>
        <v>45</v>
      </c>
      <c r="AT1" s="321">
        <f>COLUMN()</f>
        <v>46</v>
      </c>
      <c r="AU1" s="321">
        <f>COLUMN()</f>
        <v>47</v>
      </c>
      <c r="AV1" s="321">
        <f>COLUMN()</f>
        <v>48</v>
      </c>
      <c r="AW1" s="321">
        <f>COLUMN()</f>
        <v>49</v>
      </c>
      <c r="AX1" s="321">
        <f>COLUMN()</f>
        <v>50</v>
      </c>
      <c r="AY1" s="321">
        <f>COLUMN()</f>
        <v>51</v>
      </c>
      <c r="AZ1" s="321">
        <f>COLUMN()</f>
        <v>52</v>
      </c>
      <c r="BA1" s="321">
        <f>COLUMN()</f>
        <v>53</v>
      </c>
      <c r="BB1" s="321">
        <f>COLUMN()</f>
        <v>54</v>
      </c>
      <c r="BC1" s="321">
        <f>COLUMN()</f>
        <v>55</v>
      </c>
      <c r="BD1" s="321">
        <f>COLUMN()</f>
        <v>56</v>
      </c>
      <c r="BE1" s="321">
        <f>COLUMN()</f>
        <v>57</v>
      </c>
      <c r="BF1" s="321">
        <f>COLUMN()</f>
        <v>58</v>
      </c>
      <c r="BG1" s="321">
        <f>COLUMN()</f>
        <v>59</v>
      </c>
      <c r="BH1" s="321">
        <f>COLUMN()</f>
        <v>60</v>
      </c>
      <c r="BI1" s="321">
        <f>COLUMN()</f>
        <v>61</v>
      </c>
      <c r="BJ1" s="321">
        <f>COLUMN()</f>
        <v>62</v>
      </c>
      <c r="BK1" s="321">
        <f>COLUMN()</f>
        <v>63</v>
      </c>
      <c r="BL1" s="321">
        <f>COLUMN()</f>
        <v>64</v>
      </c>
      <c r="BM1" s="321">
        <f>COLUMN()</f>
        <v>65</v>
      </c>
      <c r="BN1" s="321">
        <f>COLUMN()</f>
        <v>66</v>
      </c>
      <c r="BO1" s="321">
        <f>COLUMN()</f>
        <v>67</v>
      </c>
      <c r="BP1" s="321">
        <f>COLUMN()</f>
        <v>68</v>
      </c>
      <c r="BQ1" s="321">
        <f>COLUMN()</f>
        <v>69</v>
      </c>
      <c r="BR1" s="321">
        <f>COLUMN()</f>
        <v>70</v>
      </c>
      <c r="BS1" s="321">
        <f>COLUMN()</f>
        <v>71</v>
      </c>
      <c r="BT1" s="321">
        <f>COLUMN()</f>
        <v>72</v>
      </c>
      <c r="BU1" s="321">
        <f>COLUMN()</f>
        <v>73</v>
      </c>
      <c r="BV1" s="321">
        <f>COLUMN()</f>
        <v>74</v>
      </c>
      <c r="BW1" s="321">
        <f>COLUMN()</f>
        <v>75</v>
      </c>
      <c r="BX1" s="321">
        <f>COLUMN()</f>
        <v>76</v>
      </c>
      <c r="BY1" s="321">
        <f>COLUMN()</f>
        <v>77</v>
      </c>
      <c r="BZ1" s="321">
        <f>COLUMN()</f>
        <v>78</v>
      </c>
      <c r="CA1" s="321">
        <f>COLUMN()</f>
        <v>79</v>
      </c>
      <c r="CB1" s="321">
        <f>COLUMN()</f>
        <v>80</v>
      </c>
      <c r="CC1" s="321">
        <f>COLUMN()</f>
        <v>81</v>
      </c>
      <c r="CD1" s="321">
        <f>COLUMN()</f>
        <v>82</v>
      </c>
      <c r="CE1" s="321">
        <f>COLUMN()</f>
        <v>83</v>
      </c>
      <c r="CF1" s="321">
        <f>COLUMN()</f>
        <v>84</v>
      </c>
      <c r="CG1" s="321">
        <f>COLUMN()</f>
        <v>85</v>
      </c>
      <c r="CH1" s="321">
        <f>COLUMN()</f>
        <v>86</v>
      </c>
      <c r="CI1" s="321">
        <f>COLUMN()</f>
        <v>87</v>
      </c>
      <c r="CJ1" s="321">
        <f>COLUMN()</f>
        <v>88</v>
      </c>
      <c r="CK1" s="321">
        <f>COLUMN()</f>
        <v>89</v>
      </c>
      <c r="CL1" s="321">
        <f>COLUMN()</f>
        <v>90</v>
      </c>
      <c r="CM1" s="321">
        <f>COLUMN()</f>
        <v>91</v>
      </c>
      <c r="CN1" s="321">
        <f>COLUMN()</f>
        <v>92</v>
      </c>
      <c r="CO1" s="321">
        <f>COLUMN()</f>
        <v>93</v>
      </c>
      <c r="CP1" s="321">
        <f>COLUMN()</f>
        <v>94</v>
      </c>
      <c r="CQ1" s="321">
        <f>COLUMN()</f>
        <v>95</v>
      </c>
      <c r="CR1" s="321">
        <f>COLUMN()</f>
        <v>96</v>
      </c>
      <c r="CS1" s="321">
        <f>COLUMN()</f>
        <v>97</v>
      </c>
      <c r="CT1" s="321">
        <f>COLUMN()</f>
        <v>98</v>
      </c>
      <c r="CU1" s="321">
        <f>COLUMN()</f>
        <v>99</v>
      </c>
      <c r="CV1" s="321">
        <f>COLUMN()</f>
        <v>100</v>
      </c>
      <c r="CW1" s="321">
        <f>COLUMN()</f>
        <v>101</v>
      </c>
      <c r="CX1" s="321">
        <f>COLUMN()</f>
        <v>102</v>
      </c>
      <c r="CY1" s="321">
        <f>COLUMN()</f>
        <v>103</v>
      </c>
      <c r="CZ1" s="321">
        <f>COLUMN()</f>
        <v>104</v>
      </c>
      <c r="DA1" s="321">
        <f>COLUMN()</f>
        <v>105</v>
      </c>
      <c r="DB1" s="321">
        <f>COLUMN()</f>
        <v>106</v>
      </c>
      <c r="DC1" s="321">
        <f>COLUMN()</f>
        <v>107</v>
      </c>
      <c r="DD1" s="321">
        <f>COLUMN()</f>
        <v>108</v>
      </c>
      <c r="DE1" s="321">
        <f>COLUMN()</f>
        <v>109</v>
      </c>
      <c r="DF1" s="321">
        <f>COLUMN()</f>
        <v>110</v>
      </c>
      <c r="DG1" s="321">
        <f>COLUMN()</f>
        <v>111</v>
      </c>
      <c r="DH1" s="321">
        <f>COLUMN()</f>
        <v>112</v>
      </c>
      <c r="DI1" s="321">
        <f>COLUMN()</f>
        <v>113</v>
      </c>
      <c r="DJ1" s="321">
        <f>COLUMN()</f>
        <v>114</v>
      </c>
      <c r="DK1" s="321">
        <f>COLUMN()</f>
        <v>115</v>
      </c>
      <c r="DL1" s="321">
        <f>COLUMN()</f>
        <v>116</v>
      </c>
      <c r="DM1" s="321">
        <f>COLUMN()</f>
        <v>117</v>
      </c>
      <c r="DN1" s="321">
        <f>COLUMN()</f>
        <v>118</v>
      </c>
      <c r="DO1" s="321">
        <f>COLUMN()</f>
        <v>119</v>
      </c>
      <c r="DP1" s="321">
        <f>COLUMN()</f>
        <v>120</v>
      </c>
      <c r="DQ1" s="321">
        <f>COLUMN()</f>
        <v>121</v>
      </c>
      <c r="DR1" s="321">
        <f>COLUMN()</f>
        <v>122</v>
      </c>
      <c r="DS1" s="321">
        <f>COLUMN()</f>
        <v>123</v>
      </c>
      <c r="DT1" s="321">
        <f>COLUMN()</f>
        <v>124</v>
      </c>
      <c r="DU1" s="321">
        <f>COLUMN()</f>
        <v>125</v>
      </c>
      <c r="DV1" s="321">
        <f>COLUMN()</f>
        <v>126</v>
      </c>
      <c r="DW1" s="321">
        <f>COLUMN()</f>
        <v>127</v>
      </c>
      <c r="DX1" s="321">
        <f>COLUMN()</f>
        <v>128</v>
      </c>
      <c r="DY1" s="321">
        <f>COLUMN()</f>
        <v>129</v>
      </c>
      <c r="DZ1" s="321">
        <f>COLUMN()</f>
        <v>130</v>
      </c>
      <c r="EA1" s="321">
        <f>COLUMN()</f>
        <v>131</v>
      </c>
      <c r="EB1" s="321">
        <f>COLUMN()</f>
        <v>132</v>
      </c>
      <c r="EC1" s="321">
        <f>COLUMN()</f>
        <v>133</v>
      </c>
      <c r="ED1" s="321">
        <f>COLUMN()</f>
        <v>134</v>
      </c>
      <c r="EE1" s="321">
        <f>COLUMN()</f>
        <v>135</v>
      </c>
      <c r="EF1" s="321">
        <f>COLUMN()</f>
        <v>136</v>
      </c>
      <c r="EG1" s="321">
        <f>COLUMN()</f>
        <v>137</v>
      </c>
      <c r="EH1" s="321">
        <f>COLUMN()</f>
        <v>138</v>
      </c>
      <c r="EI1" s="321">
        <f>COLUMN()</f>
        <v>139</v>
      </c>
      <c r="EJ1" s="321">
        <f>COLUMN()</f>
        <v>140</v>
      </c>
      <c r="EK1" s="321">
        <f>COLUMN()</f>
        <v>141</v>
      </c>
      <c r="EL1" s="321">
        <f>COLUMN()</f>
        <v>142</v>
      </c>
      <c r="EM1" s="321">
        <f>COLUMN()</f>
        <v>143</v>
      </c>
      <c r="EN1" s="321">
        <f>COLUMN()</f>
        <v>144</v>
      </c>
      <c r="EO1" s="321">
        <f>COLUMN()</f>
        <v>145</v>
      </c>
      <c r="EP1" s="321">
        <f>COLUMN()</f>
        <v>146</v>
      </c>
      <c r="EQ1" s="321">
        <f>COLUMN()</f>
        <v>147</v>
      </c>
      <c r="ER1" s="321">
        <f>COLUMN()</f>
        <v>148</v>
      </c>
      <c r="ES1" s="321">
        <f>COLUMN()</f>
        <v>149</v>
      </c>
      <c r="ET1" s="321">
        <f>COLUMN()</f>
        <v>150</v>
      </c>
      <c r="EU1" s="321">
        <f>COLUMN()</f>
        <v>151</v>
      </c>
      <c r="EV1" s="321">
        <f>COLUMN()</f>
        <v>152</v>
      </c>
      <c r="EW1" s="321">
        <f>COLUMN()</f>
        <v>153</v>
      </c>
      <c r="EX1" s="321">
        <f>COLUMN()</f>
        <v>154</v>
      </c>
      <c r="EY1" s="321">
        <f>COLUMN()</f>
        <v>155</v>
      </c>
      <c r="EZ1" s="321">
        <f>COLUMN()</f>
        <v>156</v>
      </c>
      <c r="FA1" s="321">
        <f>COLUMN()</f>
        <v>157</v>
      </c>
      <c r="FB1" s="321">
        <f>COLUMN()</f>
        <v>158</v>
      </c>
      <c r="FC1" s="321">
        <f>COLUMN()</f>
        <v>159</v>
      </c>
      <c r="FD1" s="321">
        <f>COLUMN()</f>
        <v>160</v>
      </c>
      <c r="FE1" s="321">
        <f>COLUMN()</f>
        <v>161</v>
      </c>
      <c r="FF1" s="321">
        <f>COLUMN()</f>
        <v>162</v>
      </c>
      <c r="FG1" s="321">
        <f>COLUMN()</f>
        <v>163</v>
      </c>
      <c r="FH1" s="321">
        <f>COLUMN()</f>
        <v>164</v>
      </c>
      <c r="FI1" s="321">
        <f>COLUMN()</f>
        <v>165</v>
      </c>
      <c r="FJ1" s="321">
        <f>COLUMN()</f>
        <v>166</v>
      </c>
      <c r="FK1" s="321">
        <f>COLUMN()</f>
        <v>167</v>
      </c>
      <c r="FL1" s="321">
        <f>COLUMN()</f>
        <v>168</v>
      </c>
      <c r="FM1" s="321">
        <f>COLUMN()</f>
        <v>169</v>
      </c>
      <c r="FN1" s="321">
        <f>COLUMN()</f>
        <v>170</v>
      </c>
      <c r="FO1" s="321">
        <f>COLUMN()</f>
        <v>171</v>
      </c>
      <c r="FP1" s="321">
        <f>COLUMN()</f>
        <v>172</v>
      </c>
      <c r="FQ1" s="321">
        <f>COLUMN()</f>
        <v>173</v>
      </c>
      <c r="FR1" s="321">
        <f>COLUMN()</f>
        <v>174</v>
      </c>
      <c r="FS1" s="321">
        <f>COLUMN()</f>
        <v>175</v>
      </c>
      <c r="FT1" s="321">
        <f>COLUMN()</f>
        <v>176</v>
      </c>
      <c r="FU1" s="321">
        <f>COLUMN()</f>
        <v>177</v>
      </c>
      <c r="FV1" s="321">
        <f>COLUMN()</f>
        <v>178</v>
      </c>
      <c r="FW1" s="321">
        <f>COLUMN()</f>
        <v>179</v>
      </c>
      <c r="FX1" s="321">
        <f>COLUMN()</f>
        <v>180</v>
      </c>
      <c r="FY1" s="321">
        <f>COLUMN()</f>
        <v>181</v>
      </c>
      <c r="FZ1" s="321">
        <f>COLUMN()</f>
        <v>182</v>
      </c>
      <c r="GA1" s="321">
        <f>COLUMN()</f>
        <v>183</v>
      </c>
      <c r="GB1" s="321">
        <f>COLUMN()</f>
        <v>184</v>
      </c>
      <c r="GC1" s="321">
        <f>COLUMN()</f>
        <v>185</v>
      </c>
      <c r="GD1" s="321">
        <f>COLUMN()</f>
        <v>186</v>
      </c>
      <c r="GE1" s="321">
        <f>COLUMN()</f>
        <v>187</v>
      </c>
      <c r="GF1" s="321">
        <f>COLUMN()</f>
        <v>188</v>
      </c>
      <c r="GG1" s="321">
        <f>COLUMN()</f>
        <v>189</v>
      </c>
      <c r="GH1" s="321">
        <f>COLUMN()</f>
        <v>190</v>
      </c>
      <c r="GI1" s="321">
        <f>COLUMN()</f>
        <v>191</v>
      </c>
      <c r="GJ1" s="321">
        <f>COLUMN()</f>
        <v>192</v>
      </c>
      <c r="GK1" s="321">
        <f>COLUMN()</f>
        <v>193</v>
      </c>
      <c r="GL1" s="321">
        <f>COLUMN()</f>
        <v>194</v>
      </c>
      <c r="GM1" s="321">
        <f>COLUMN()</f>
        <v>195</v>
      </c>
      <c r="GN1" s="321">
        <f>COLUMN()</f>
        <v>196</v>
      </c>
      <c r="GO1" s="321">
        <f>COLUMN()</f>
        <v>197</v>
      </c>
      <c r="GP1" s="321">
        <f>COLUMN()</f>
        <v>198</v>
      </c>
      <c r="GQ1" s="321">
        <f>COLUMN()</f>
        <v>199</v>
      </c>
      <c r="GR1" s="321">
        <f>COLUMN()</f>
        <v>200</v>
      </c>
      <c r="GS1" s="321">
        <f>COLUMN()</f>
        <v>201</v>
      </c>
      <c r="GT1" s="321">
        <f>COLUMN()</f>
        <v>202</v>
      </c>
      <c r="GU1" s="321">
        <f>COLUMN()</f>
        <v>203</v>
      </c>
      <c r="GV1" s="321">
        <f>COLUMN()</f>
        <v>204</v>
      </c>
      <c r="GW1" s="321">
        <f>COLUMN()</f>
        <v>205</v>
      </c>
      <c r="GX1" s="321">
        <f>COLUMN()</f>
        <v>206</v>
      </c>
      <c r="GY1" s="321">
        <f>COLUMN()</f>
        <v>207</v>
      </c>
      <c r="GZ1" s="321">
        <f>COLUMN()</f>
        <v>208</v>
      </c>
      <c r="HA1" s="321">
        <f>COLUMN()</f>
        <v>209</v>
      </c>
      <c r="HB1" s="321">
        <f>COLUMN()</f>
        <v>210</v>
      </c>
      <c r="HC1" s="321">
        <f>COLUMN()</f>
        <v>211</v>
      </c>
      <c r="HD1" s="321">
        <f>COLUMN()</f>
        <v>212</v>
      </c>
      <c r="HE1" s="321">
        <f>COLUMN()</f>
        <v>213</v>
      </c>
      <c r="HF1" s="321">
        <f>COLUMN()</f>
        <v>214</v>
      </c>
      <c r="HG1" s="321">
        <f>COLUMN()</f>
        <v>215</v>
      </c>
      <c r="HH1" s="321">
        <f>COLUMN()</f>
        <v>216</v>
      </c>
      <c r="HI1" s="321">
        <f>COLUMN()</f>
        <v>217</v>
      </c>
      <c r="HJ1" s="321">
        <f>COLUMN()</f>
        <v>218</v>
      </c>
      <c r="HK1" s="321">
        <f>COLUMN()</f>
        <v>219</v>
      </c>
      <c r="HL1" s="321">
        <f>COLUMN()</f>
        <v>220</v>
      </c>
      <c r="HM1" s="321">
        <f>COLUMN()</f>
        <v>221</v>
      </c>
      <c r="HN1" s="321">
        <f>COLUMN()</f>
        <v>222</v>
      </c>
      <c r="HO1" s="321">
        <f>COLUMN()</f>
        <v>223</v>
      </c>
      <c r="HP1" s="321">
        <f>COLUMN()</f>
        <v>224</v>
      </c>
      <c r="HQ1" s="321">
        <f>COLUMN()</f>
        <v>225</v>
      </c>
      <c r="HR1" s="321">
        <f>COLUMN()</f>
        <v>226</v>
      </c>
      <c r="HS1" s="321">
        <f>COLUMN()</f>
        <v>227</v>
      </c>
      <c r="HT1" s="321">
        <f>COLUMN()</f>
        <v>228</v>
      </c>
      <c r="HU1" s="321">
        <f>COLUMN()</f>
        <v>229</v>
      </c>
      <c r="HV1" s="321">
        <f>COLUMN()</f>
        <v>230</v>
      </c>
      <c r="HW1" s="321">
        <f>COLUMN()</f>
        <v>231</v>
      </c>
      <c r="HX1" s="321">
        <f>COLUMN()</f>
        <v>232</v>
      </c>
      <c r="HY1" s="321">
        <f>COLUMN()</f>
        <v>233</v>
      </c>
      <c r="HZ1" s="321">
        <f>COLUMN()</f>
        <v>234</v>
      </c>
      <c r="IA1" s="321">
        <f>COLUMN()</f>
        <v>235</v>
      </c>
      <c r="IB1" s="321">
        <f>COLUMN()</f>
        <v>236</v>
      </c>
      <c r="IC1" s="321">
        <f>COLUMN()</f>
        <v>237</v>
      </c>
      <c r="ID1" s="321">
        <f>COLUMN()</f>
        <v>238</v>
      </c>
      <c r="IE1" s="321">
        <f>COLUMN()</f>
        <v>239</v>
      </c>
      <c r="IF1" s="321">
        <f>COLUMN()</f>
        <v>240</v>
      </c>
      <c r="IG1" s="321">
        <f>COLUMN()</f>
        <v>241</v>
      </c>
      <c r="IH1" s="321">
        <f>COLUMN()</f>
        <v>242</v>
      </c>
      <c r="II1" s="321">
        <f>COLUMN()</f>
        <v>243</v>
      </c>
      <c r="IJ1" s="321">
        <f>COLUMN()</f>
        <v>244</v>
      </c>
      <c r="IK1" s="321">
        <f>COLUMN()</f>
        <v>245</v>
      </c>
      <c r="IL1" s="321">
        <f>COLUMN()</f>
        <v>246</v>
      </c>
      <c r="IM1" s="321">
        <f>COLUMN()</f>
        <v>247</v>
      </c>
      <c r="IN1" s="321">
        <f>COLUMN()</f>
        <v>248</v>
      </c>
      <c r="IO1" s="321">
        <f>COLUMN()</f>
        <v>249</v>
      </c>
      <c r="IP1" s="321">
        <f>COLUMN()</f>
        <v>250</v>
      </c>
      <c r="IQ1" s="321">
        <f>COLUMN()</f>
        <v>251</v>
      </c>
      <c r="IR1" s="321">
        <f>COLUMN()</f>
        <v>252</v>
      </c>
      <c r="IS1" s="321">
        <f>COLUMN()</f>
        <v>253</v>
      </c>
      <c r="IT1" s="321">
        <f>COLUMN()</f>
        <v>254</v>
      </c>
      <c r="IU1" s="321">
        <f>COLUMN()</f>
        <v>255</v>
      </c>
      <c r="IV1" s="321">
        <f>COLUMN()</f>
        <v>256</v>
      </c>
      <c r="IW1" s="321">
        <f>COLUMN()</f>
        <v>257</v>
      </c>
      <c r="IX1" s="321">
        <f>COLUMN()</f>
        <v>258</v>
      </c>
      <c r="IY1" s="321">
        <f>COLUMN()</f>
        <v>259</v>
      </c>
      <c r="IZ1" s="321">
        <f>COLUMN()</f>
        <v>260</v>
      </c>
      <c r="JA1" s="321">
        <f>COLUMN()</f>
        <v>261</v>
      </c>
      <c r="JB1" s="321">
        <f>COLUMN()</f>
        <v>262</v>
      </c>
      <c r="JC1" s="321">
        <f>COLUMN()</f>
        <v>263</v>
      </c>
      <c r="JD1" s="321">
        <f>COLUMN()</f>
        <v>264</v>
      </c>
      <c r="JE1" s="321">
        <f>COLUMN()</f>
        <v>265</v>
      </c>
      <c r="JF1" s="321">
        <f>COLUMN()</f>
        <v>266</v>
      </c>
      <c r="JG1" s="321">
        <f>COLUMN()</f>
        <v>267</v>
      </c>
      <c r="JH1" s="321">
        <f>COLUMN()</f>
        <v>268</v>
      </c>
      <c r="JI1" s="321">
        <f>COLUMN()</f>
        <v>269</v>
      </c>
      <c r="JJ1" s="321">
        <f>COLUMN()</f>
        <v>270</v>
      </c>
      <c r="JK1" s="321">
        <f>COLUMN()</f>
        <v>271</v>
      </c>
      <c r="JL1" s="321">
        <f>COLUMN()</f>
        <v>272</v>
      </c>
      <c r="JM1" s="321">
        <f>COLUMN()</f>
        <v>273</v>
      </c>
      <c r="JN1" s="321">
        <f>COLUMN()</f>
        <v>274</v>
      </c>
      <c r="JO1" s="321">
        <f>COLUMN()</f>
        <v>275</v>
      </c>
      <c r="JP1" s="321">
        <f>COLUMN()</f>
        <v>276</v>
      </c>
      <c r="JQ1" s="321">
        <f>COLUMN()</f>
        <v>277</v>
      </c>
      <c r="JR1" s="321">
        <f>COLUMN()</f>
        <v>278</v>
      </c>
      <c r="JS1" s="321">
        <f>COLUMN()</f>
        <v>279</v>
      </c>
      <c r="JT1" s="321">
        <f>COLUMN()</f>
        <v>280</v>
      </c>
      <c r="JU1" s="321">
        <f>COLUMN()</f>
        <v>281</v>
      </c>
      <c r="JV1" s="321">
        <f>COLUMN()</f>
        <v>282</v>
      </c>
      <c r="JW1" s="321">
        <f>COLUMN()</f>
        <v>283</v>
      </c>
      <c r="JX1" s="321">
        <f>COLUMN()</f>
        <v>284</v>
      </c>
      <c r="JY1" s="321">
        <f>COLUMN()</f>
        <v>285</v>
      </c>
      <c r="JZ1" s="321">
        <f>COLUMN()</f>
        <v>286</v>
      </c>
      <c r="KA1" s="321">
        <f>COLUMN()</f>
        <v>287</v>
      </c>
      <c r="KB1" s="321">
        <f>COLUMN()</f>
        <v>288</v>
      </c>
      <c r="KC1" s="321">
        <f>COLUMN()</f>
        <v>289</v>
      </c>
      <c r="KD1" s="321">
        <f>COLUMN()</f>
        <v>290</v>
      </c>
      <c r="KE1" s="321">
        <f>COLUMN()</f>
        <v>291</v>
      </c>
      <c r="KF1" s="321">
        <f>COLUMN()</f>
        <v>292</v>
      </c>
      <c r="KG1" s="321">
        <f>COLUMN()</f>
        <v>293</v>
      </c>
      <c r="KH1" s="321">
        <f>COLUMN()</f>
        <v>294</v>
      </c>
      <c r="KI1" s="321">
        <f>COLUMN()</f>
        <v>295</v>
      </c>
      <c r="KJ1" s="321">
        <f>COLUMN()</f>
        <v>296</v>
      </c>
      <c r="KK1" s="321">
        <f>COLUMN()</f>
        <v>297</v>
      </c>
      <c r="KL1" s="321">
        <f>COLUMN()</f>
        <v>298</v>
      </c>
      <c r="KM1" s="321">
        <f>COLUMN()</f>
        <v>299</v>
      </c>
      <c r="KN1" s="321">
        <f>COLUMN()</f>
        <v>300</v>
      </c>
      <c r="KO1" s="321">
        <f>COLUMN()</f>
        <v>301</v>
      </c>
      <c r="KP1" s="321">
        <f>COLUMN()</f>
        <v>302</v>
      </c>
      <c r="KQ1" s="321">
        <f>COLUMN()</f>
        <v>303</v>
      </c>
      <c r="KR1" s="321">
        <f>COLUMN()</f>
        <v>304</v>
      </c>
      <c r="KS1" s="321">
        <f>COLUMN()</f>
        <v>305</v>
      </c>
      <c r="KT1" s="321">
        <f>COLUMN()</f>
        <v>306</v>
      </c>
      <c r="KU1" s="321">
        <f>COLUMN()</f>
        <v>307</v>
      </c>
      <c r="KV1" s="321">
        <f>COLUMN()</f>
        <v>308</v>
      </c>
      <c r="KW1" s="321">
        <f>COLUMN()</f>
        <v>309</v>
      </c>
      <c r="KX1" s="321">
        <f>COLUMN()</f>
        <v>310</v>
      </c>
      <c r="KY1" s="321">
        <f>COLUMN()</f>
        <v>311</v>
      </c>
      <c r="KZ1" s="321">
        <f>COLUMN()</f>
        <v>312</v>
      </c>
      <c r="LA1" s="321">
        <f>COLUMN()</f>
        <v>313</v>
      </c>
      <c r="LB1" s="321">
        <f>COLUMN()</f>
        <v>314</v>
      </c>
      <c r="LC1" s="321">
        <f>COLUMN()</f>
        <v>315</v>
      </c>
      <c r="LD1" s="321">
        <f>COLUMN()</f>
        <v>316</v>
      </c>
      <c r="LE1" s="321">
        <f>COLUMN()</f>
        <v>317</v>
      </c>
      <c r="LF1" s="321">
        <f>COLUMN()</f>
        <v>318</v>
      </c>
      <c r="LG1" s="321">
        <f>COLUMN()</f>
        <v>319</v>
      </c>
      <c r="LH1" s="321">
        <f>COLUMN()</f>
        <v>320</v>
      </c>
      <c r="LI1" s="321">
        <f>COLUMN()</f>
        <v>321</v>
      </c>
      <c r="LJ1" s="321">
        <f>COLUMN()</f>
        <v>322</v>
      </c>
      <c r="LK1" s="321">
        <f>COLUMN()</f>
        <v>323</v>
      </c>
      <c r="LL1" s="321">
        <f>COLUMN()</f>
        <v>324</v>
      </c>
      <c r="LM1" s="321">
        <f>COLUMN()</f>
        <v>325</v>
      </c>
      <c r="LN1" s="321">
        <f>COLUMN()</f>
        <v>326</v>
      </c>
      <c r="LO1" s="321">
        <f>COLUMN()</f>
        <v>327</v>
      </c>
      <c r="LP1" s="321">
        <f>COLUMN()</f>
        <v>328</v>
      </c>
      <c r="LQ1" s="321">
        <f>COLUMN()</f>
        <v>329</v>
      </c>
      <c r="LR1" s="321">
        <f>COLUMN()</f>
        <v>330</v>
      </c>
      <c r="LS1" s="321">
        <f>COLUMN()</f>
        <v>331</v>
      </c>
      <c r="LT1" s="321">
        <f>COLUMN()</f>
        <v>332</v>
      </c>
      <c r="LU1" s="321">
        <f>COLUMN()</f>
        <v>333</v>
      </c>
      <c r="LV1" s="321">
        <f>COLUMN()</f>
        <v>334</v>
      </c>
      <c r="LW1" s="321">
        <f>COLUMN()</f>
        <v>335</v>
      </c>
      <c r="LX1" s="321">
        <f>COLUMN()</f>
        <v>336</v>
      </c>
      <c r="LY1" s="321">
        <f>COLUMN()</f>
        <v>337</v>
      </c>
      <c r="LZ1" s="321">
        <f>COLUMN()</f>
        <v>338</v>
      </c>
      <c r="MA1" s="321">
        <f>COLUMN()</f>
        <v>339</v>
      </c>
      <c r="MB1" s="321">
        <f>COLUMN()</f>
        <v>340</v>
      </c>
      <c r="MC1" s="321">
        <f>COLUMN()</f>
        <v>341</v>
      </c>
      <c r="MD1" s="321">
        <f>COLUMN()</f>
        <v>342</v>
      </c>
      <c r="ME1" s="321">
        <f>COLUMN()</f>
        <v>343</v>
      </c>
      <c r="MF1" s="321">
        <f>COLUMN()</f>
        <v>344</v>
      </c>
      <c r="MG1" s="321">
        <f>COLUMN()</f>
        <v>345</v>
      </c>
      <c r="MH1" s="321">
        <f>COLUMN()</f>
        <v>346</v>
      </c>
      <c r="MI1" s="321">
        <f>COLUMN()</f>
        <v>347</v>
      </c>
      <c r="MJ1" s="321">
        <f>COLUMN()</f>
        <v>348</v>
      </c>
      <c r="MK1" s="321">
        <f>COLUMN()</f>
        <v>349</v>
      </c>
      <c r="ML1" s="321">
        <f>COLUMN()</f>
        <v>350</v>
      </c>
      <c r="MM1" s="321">
        <f>COLUMN()</f>
        <v>351</v>
      </c>
      <c r="MN1" s="321">
        <f>COLUMN()</f>
        <v>352</v>
      </c>
      <c r="MO1" s="321">
        <f>COLUMN()</f>
        <v>353</v>
      </c>
      <c r="MP1" s="321">
        <f>COLUMN()</f>
        <v>354</v>
      </c>
      <c r="MQ1" s="321">
        <f>COLUMN()</f>
        <v>355</v>
      </c>
      <c r="MR1" s="321">
        <f>COLUMN()</f>
        <v>356</v>
      </c>
      <c r="MS1" s="321">
        <f>COLUMN()</f>
        <v>357</v>
      </c>
      <c r="MT1" s="321">
        <f>COLUMN()</f>
        <v>358</v>
      </c>
      <c r="MU1" s="321">
        <f>COLUMN()</f>
        <v>359</v>
      </c>
      <c r="MV1" s="321">
        <f>COLUMN()</f>
        <v>360</v>
      </c>
      <c r="MW1" s="321">
        <f>COLUMN()</f>
        <v>361</v>
      </c>
      <c r="MX1" s="321">
        <f>COLUMN()</f>
        <v>362</v>
      </c>
      <c r="MY1" s="321">
        <f>COLUMN()</f>
        <v>363</v>
      </c>
      <c r="MZ1" s="321">
        <f>COLUMN()</f>
        <v>364</v>
      </c>
      <c r="NA1" s="321">
        <f>COLUMN()</f>
        <v>365</v>
      </c>
      <c r="NB1" s="321">
        <f>COLUMN()</f>
        <v>366</v>
      </c>
      <c r="NC1" s="321">
        <f>COLUMN()</f>
        <v>367</v>
      </c>
      <c r="ND1" s="321">
        <f>COLUMN()</f>
        <v>368</v>
      </c>
      <c r="NE1" s="321">
        <f>COLUMN()</f>
        <v>369</v>
      </c>
      <c r="NF1" s="321">
        <f>COLUMN()</f>
        <v>370</v>
      </c>
      <c r="NG1" s="321">
        <f>COLUMN()</f>
        <v>371</v>
      </c>
      <c r="NH1" s="321">
        <f>COLUMN()</f>
        <v>372</v>
      </c>
      <c r="NI1" s="321">
        <f>COLUMN()</f>
        <v>373</v>
      </c>
      <c r="NJ1" s="321">
        <f>COLUMN()</f>
        <v>374</v>
      </c>
      <c r="NK1" s="321">
        <f>COLUMN()</f>
        <v>375</v>
      </c>
      <c r="NL1" s="321">
        <f>COLUMN()</f>
        <v>376</v>
      </c>
      <c r="NM1" s="321">
        <f>COLUMN()</f>
        <v>377</v>
      </c>
      <c r="NN1" s="321">
        <f>COLUMN()</f>
        <v>378</v>
      </c>
      <c r="NO1" s="321">
        <f>COLUMN()</f>
        <v>379</v>
      </c>
      <c r="NP1" s="321">
        <f>COLUMN()</f>
        <v>380</v>
      </c>
      <c r="NQ1" s="321">
        <f>COLUMN()</f>
        <v>381</v>
      </c>
      <c r="NR1" s="321">
        <f>COLUMN()</f>
        <v>382</v>
      </c>
      <c r="NS1" s="321">
        <f>COLUMN()</f>
        <v>383</v>
      </c>
      <c r="NT1" s="321">
        <f>COLUMN()</f>
        <v>384</v>
      </c>
      <c r="NU1" s="321">
        <f>COLUMN()</f>
        <v>385</v>
      </c>
      <c r="NV1" s="321">
        <f>COLUMN()</f>
        <v>386</v>
      </c>
      <c r="NW1" s="321">
        <f>COLUMN()</f>
        <v>387</v>
      </c>
      <c r="NX1" s="321">
        <f>COLUMN()</f>
        <v>388</v>
      </c>
      <c r="NY1" s="321">
        <f>COLUMN()</f>
        <v>389</v>
      </c>
      <c r="NZ1" s="321">
        <f>COLUMN()</f>
        <v>390</v>
      </c>
      <c r="OA1" s="321">
        <f>COLUMN()</f>
        <v>391</v>
      </c>
      <c r="OB1" s="321">
        <f>COLUMN()</f>
        <v>392</v>
      </c>
      <c r="OC1" s="321">
        <f>COLUMN()</f>
        <v>393</v>
      </c>
      <c r="OD1" s="321">
        <f>COLUMN()</f>
        <v>394</v>
      </c>
      <c r="OE1" s="321">
        <f>COLUMN()</f>
        <v>395</v>
      </c>
      <c r="OF1" s="321">
        <f>COLUMN()</f>
        <v>396</v>
      </c>
      <c r="OG1" s="321">
        <f>COLUMN()</f>
        <v>397</v>
      </c>
      <c r="OH1" s="321">
        <f>COLUMN()</f>
        <v>398</v>
      </c>
      <c r="OI1" s="321">
        <f>COLUMN()</f>
        <v>399</v>
      </c>
      <c r="OJ1" s="321">
        <f>COLUMN()</f>
        <v>400</v>
      </c>
      <c r="OK1" s="321">
        <f>COLUMN()</f>
        <v>401</v>
      </c>
      <c r="OL1" s="321">
        <f>COLUMN()</f>
        <v>402</v>
      </c>
      <c r="OM1" s="321">
        <f>COLUMN()</f>
        <v>403</v>
      </c>
      <c r="ON1" s="321">
        <f>COLUMN()</f>
        <v>404</v>
      </c>
      <c r="OO1" s="321">
        <f>COLUMN()</f>
        <v>405</v>
      </c>
      <c r="OP1" s="321">
        <f>COLUMN()</f>
        <v>406</v>
      </c>
      <c r="OQ1" s="321">
        <f>COLUMN()</f>
        <v>407</v>
      </c>
      <c r="OR1" s="321">
        <f>COLUMN()</f>
        <v>408</v>
      </c>
      <c r="OS1" s="321">
        <f>COLUMN()</f>
        <v>409</v>
      </c>
      <c r="OT1" s="321">
        <f>COLUMN()</f>
        <v>410</v>
      </c>
      <c r="OU1" s="321">
        <f>COLUMN()</f>
        <v>411</v>
      </c>
      <c r="OV1" s="321">
        <f>COLUMN()</f>
        <v>412</v>
      </c>
      <c r="OW1" s="321">
        <f>COLUMN()</f>
        <v>413</v>
      </c>
      <c r="OX1" s="321">
        <f>COLUMN()</f>
        <v>414</v>
      </c>
      <c r="OY1" s="321">
        <f>COLUMN()</f>
        <v>415</v>
      </c>
      <c r="OZ1" s="321">
        <f>COLUMN()</f>
        <v>416</v>
      </c>
      <c r="PA1" s="321">
        <f>COLUMN()</f>
        <v>417</v>
      </c>
      <c r="PB1" s="321">
        <f>COLUMN()</f>
        <v>418</v>
      </c>
      <c r="PC1" s="321">
        <f>COLUMN()</f>
        <v>419</v>
      </c>
      <c r="PD1" s="321">
        <f>COLUMN()</f>
        <v>420</v>
      </c>
      <c r="PE1" s="321">
        <f>COLUMN()</f>
        <v>421</v>
      </c>
      <c r="PF1" s="321">
        <f>COLUMN()</f>
        <v>422</v>
      </c>
      <c r="PG1" s="321">
        <f>COLUMN()</f>
        <v>423</v>
      </c>
      <c r="PH1" s="321">
        <f>COLUMN()</f>
        <v>424</v>
      </c>
      <c r="PI1" s="321">
        <f>COLUMN()</f>
        <v>425</v>
      </c>
      <c r="PJ1" s="321">
        <f>COLUMN()</f>
        <v>426</v>
      </c>
      <c r="PK1" s="321">
        <f>COLUMN()</f>
        <v>427</v>
      </c>
      <c r="PL1" s="321">
        <f>COLUMN()</f>
        <v>428</v>
      </c>
      <c r="PM1" s="321">
        <f>COLUMN()</f>
        <v>429</v>
      </c>
      <c r="PN1" s="321">
        <f>COLUMN()</f>
        <v>430</v>
      </c>
      <c r="PO1" s="321">
        <f>COLUMN()</f>
        <v>431</v>
      </c>
      <c r="PP1" s="321">
        <f>COLUMN()</f>
        <v>432</v>
      </c>
      <c r="PQ1" s="321">
        <f>COLUMN()</f>
        <v>433</v>
      </c>
      <c r="PR1" s="321">
        <f>COLUMN()</f>
        <v>434</v>
      </c>
      <c r="PS1" s="321">
        <f>COLUMN()</f>
        <v>435</v>
      </c>
      <c r="PT1" s="321">
        <f>COLUMN()</f>
        <v>436</v>
      </c>
      <c r="PU1" s="321">
        <f>COLUMN()</f>
        <v>437</v>
      </c>
      <c r="PV1" s="321">
        <f>COLUMN()</f>
        <v>438</v>
      </c>
      <c r="PW1" s="321">
        <f>COLUMN()</f>
        <v>439</v>
      </c>
      <c r="PX1" s="321">
        <f>COLUMN()</f>
        <v>440</v>
      </c>
      <c r="PY1" s="321">
        <f>COLUMN()</f>
        <v>441</v>
      </c>
      <c r="PZ1" s="321">
        <f>COLUMN()</f>
        <v>442</v>
      </c>
      <c r="QA1" s="321">
        <f>COLUMN()</f>
        <v>443</v>
      </c>
      <c r="QB1" s="321">
        <f>COLUMN()</f>
        <v>444</v>
      </c>
      <c r="QC1" s="321">
        <f>COLUMN()</f>
        <v>445</v>
      </c>
      <c r="QD1" s="321">
        <f>COLUMN()</f>
        <v>446</v>
      </c>
      <c r="QE1" s="321">
        <f>COLUMN()</f>
        <v>447</v>
      </c>
      <c r="QF1" s="321">
        <f>COLUMN()</f>
        <v>448</v>
      </c>
      <c r="QG1" s="321">
        <f>COLUMN()</f>
        <v>449</v>
      </c>
      <c r="QH1" s="321">
        <f>COLUMN()</f>
        <v>450</v>
      </c>
      <c r="QI1" s="321">
        <f>COLUMN()</f>
        <v>451</v>
      </c>
      <c r="QJ1" s="321">
        <f>COLUMN()</f>
        <v>452</v>
      </c>
      <c r="QK1" s="321">
        <f>COLUMN()</f>
        <v>453</v>
      </c>
      <c r="QL1" s="321">
        <f>COLUMN()</f>
        <v>454</v>
      </c>
      <c r="QM1" s="321">
        <f>COLUMN()</f>
        <v>455</v>
      </c>
      <c r="QN1" s="321">
        <f>COLUMN()</f>
        <v>456</v>
      </c>
      <c r="QO1" s="321">
        <f>COLUMN()</f>
        <v>457</v>
      </c>
      <c r="QP1" s="321">
        <f>COLUMN()</f>
        <v>458</v>
      </c>
      <c r="QQ1" s="321">
        <f>COLUMN()</f>
        <v>459</v>
      </c>
      <c r="QR1" s="321">
        <f>COLUMN()</f>
        <v>460</v>
      </c>
      <c r="QS1" s="321">
        <f>COLUMN()</f>
        <v>461</v>
      </c>
      <c r="QT1" s="321">
        <f>COLUMN()</f>
        <v>462</v>
      </c>
      <c r="QU1" s="321">
        <f>COLUMN()</f>
        <v>463</v>
      </c>
      <c r="QV1" s="321">
        <f>COLUMN()</f>
        <v>464</v>
      </c>
      <c r="QW1" s="321">
        <f>COLUMN()</f>
        <v>465</v>
      </c>
      <c r="QX1" s="321">
        <f>COLUMN()</f>
        <v>466</v>
      </c>
      <c r="QY1" s="321">
        <f>COLUMN()</f>
        <v>467</v>
      </c>
      <c r="QZ1" s="321">
        <f>COLUMN()</f>
        <v>468</v>
      </c>
      <c r="RA1" s="321">
        <f>COLUMN()</f>
        <v>469</v>
      </c>
      <c r="RB1" s="321">
        <f>COLUMN()</f>
        <v>470</v>
      </c>
      <c r="RC1" s="321">
        <f>COLUMN()</f>
        <v>471</v>
      </c>
      <c r="RD1" s="321">
        <f>COLUMN()</f>
        <v>472</v>
      </c>
      <c r="RE1" s="321">
        <f>COLUMN()</f>
        <v>473</v>
      </c>
      <c r="RF1" s="321">
        <f>COLUMN()</f>
        <v>474</v>
      </c>
      <c r="RG1" s="321">
        <f>COLUMN()</f>
        <v>475</v>
      </c>
      <c r="RH1" s="321">
        <f>COLUMN()</f>
        <v>476</v>
      </c>
      <c r="RI1" s="321">
        <f>COLUMN()</f>
        <v>477</v>
      </c>
      <c r="RJ1" s="321">
        <f>COLUMN()</f>
        <v>478</v>
      </c>
      <c r="RK1" s="321">
        <f>COLUMN()</f>
        <v>479</v>
      </c>
      <c r="RL1" s="321">
        <f>COLUMN()</f>
        <v>480</v>
      </c>
      <c r="RM1" s="321">
        <f>COLUMN()</f>
        <v>481</v>
      </c>
      <c r="RN1" s="321">
        <f>COLUMN()</f>
        <v>482</v>
      </c>
      <c r="RO1" s="321">
        <f>COLUMN()</f>
        <v>483</v>
      </c>
      <c r="RP1" s="321">
        <f>COLUMN()</f>
        <v>484</v>
      </c>
      <c r="RQ1" s="321">
        <f>COLUMN()</f>
        <v>485</v>
      </c>
      <c r="RR1" s="321">
        <f>COLUMN()</f>
        <v>486</v>
      </c>
      <c r="RS1" s="321">
        <f>COLUMN()</f>
        <v>487</v>
      </c>
      <c r="RT1" s="321">
        <f>COLUMN()</f>
        <v>488</v>
      </c>
      <c r="RU1" s="321">
        <f>COLUMN()</f>
        <v>489</v>
      </c>
      <c r="RV1" s="321">
        <f>COLUMN()</f>
        <v>490</v>
      </c>
      <c r="RW1" s="321">
        <f>COLUMN()</f>
        <v>491</v>
      </c>
      <c r="RX1" s="321">
        <f>COLUMN()</f>
        <v>492</v>
      </c>
      <c r="RY1" s="321">
        <f>COLUMN()</f>
        <v>493</v>
      </c>
      <c r="RZ1" s="321">
        <f>COLUMN()</f>
        <v>494</v>
      </c>
      <c r="SA1" s="321">
        <f>COLUMN()</f>
        <v>495</v>
      </c>
      <c r="SB1" s="321">
        <f>COLUMN()</f>
        <v>496</v>
      </c>
      <c r="SC1" s="321">
        <f>COLUMN()</f>
        <v>497</v>
      </c>
      <c r="SD1" s="321">
        <f>COLUMN()</f>
        <v>498</v>
      </c>
      <c r="SE1" s="321">
        <f>COLUMN()</f>
        <v>499</v>
      </c>
      <c r="SF1" s="321">
        <f>COLUMN()</f>
        <v>500</v>
      </c>
      <c r="SG1" s="321">
        <f>COLUMN()</f>
        <v>501</v>
      </c>
      <c r="SH1" s="321">
        <f>COLUMN()</f>
        <v>502</v>
      </c>
      <c r="SI1" s="321">
        <f>COLUMN()</f>
        <v>503</v>
      </c>
      <c r="SJ1" s="321">
        <f>COLUMN()</f>
        <v>504</v>
      </c>
      <c r="SK1" s="321">
        <f>COLUMN()</f>
        <v>505</v>
      </c>
      <c r="SL1" s="321">
        <f>COLUMN()</f>
        <v>506</v>
      </c>
      <c r="SM1" s="321">
        <f>COLUMN()</f>
        <v>507</v>
      </c>
      <c r="SN1" s="321">
        <f>COLUMN()</f>
        <v>508</v>
      </c>
      <c r="SO1" s="321">
        <f>COLUMN()</f>
        <v>509</v>
      </c>
      <c r="SP1" s="321">
        <f>COLUMN()</f>
        <v>510</v>
      </c>
      <c r="SQ1" s="321">
        <f>COLUMN()</f>
        <v>511</v>
      </c>
      <c r="SR1" s="321">
        <f>COLUMN()</f>
        <v>512</v>
      </c>
      <c r="SS1" s="321">
        <f>COLUMN()</f>
        <v>513</v>
      </c>
      <c r="ST1" s="321">
        <f>COLUMN()</f>
        <v>514</v>
      </c>
      <c r="SU1" s="321">
        <f>COLUMN()</f>
        <v>515</v>
      </c>
      <c r="SV1" s="321">
        <f>COLUMN()</f>
        <v>516</v>
      </c>
      <c r="SW1" s="321">
        <f>COLUMN()</f>
        <v>517</v>
      </c>
      <c r="SX1" s="321">
        <f>COLUMN()</f>
        <v>518</v>
      </c>
      <c r="SY1" s="321">
        <f>COLUMN()</f>
        <v>519</v>
      </c>
      <c r="SZ1" s="321">
        <f>COLUMN()</f>
        <v>520</v>
      </c>
      <c r="TA1" s="321">
        <f>COLUMN()</f>
        <v>521</v>
      </c>
      <c r="TB1" s="321">
        <f>COLUMN()</f>
        <v>522</v>
      </c>
      <c r="TC1" s="321">
        <f>COLUMN()</f>
        <v>523</v>
      </c>
      <c r="TD1" s="321">
        <f>COLUMN()</f>
        <v>524</v>
      </c>
      <c r="TE1" s="321">
        <f>COLUMN()</f>
        <v>525</v>
      </c>
      <c r="TF1" s="321">
        <f>COLUMN()</f>
        <v>526</v>
      </c>
      <c r="TG1" s="321">
        <f>COLUMN()</f>
        <v>527</v>
      </c>
      <c r="TH1" s="321">
        <f>COLUMN()</f>
        <v>528</v>
      </c>
      <c r="TI1" s="321">
        <f>COLUMN()</f>
        <v>529</v>
      </c>
      <c r="TJ1" s="321">
        <f>COLUMN()</f>
        <v>530</v>
      </c>
      <c r="TK1" s="321">
        <f>COLUMN()</f>
        <v>531</v>
      </c>
      <c r="TL1" s="321">
        <f>COLUMN()</f>
        <v>532</v>
      </c>
      <c r="TM1" s="321">
        <f>COLUMN()</f>
        <v>533</v>
      </c>
      <c r="TN1" s="321">
        <f>COLUMN()</f>
        <v>534</v>
      </c>
      <c r="TO1" s="321">
        <f>COLUMN()</f>
        <v>535</v>
      </c>
      <c r="TP1" s="321">
        <f>COLUMN()</f>
        <v>536</v>
      </c>
      <c r="TQ1" s="321">
        <f>COLUMN()</f>
        <v>537</v>
      </c>
      <c r="TR1" s="321">
        <f>COLUMN()</f>
        <v>538</v>
      </c>
      <c r="TS1" s="321">
        <f>COLUMN()</f>
        <v>539</v>
      </c>
      <c r="TT1" s="321">
        <f>COLUMN()</f>
        <v>540</v>
      </c>
      <c r="TU1" s="321">
        <f>COLUMN()</f>
        <v>541</v>
      </c>
      <c r="TV1" s="321">
        <f>COLUMN()</f>
        <v>542</v>
      </c>
      <c r="TW1" s="321">
        <f>COLUMN()</f>
        <v>543</v>
      </c>
      <c r="TX1" s="321">
        <f>COLUMN()</f>
        <v>544</v>
      </c>
      <c r="TY1" s="321">
        <f>COLUMN()</f>
        <v>545</v>
      </c>
      <c r="TZ1" s="321">
        <f>COLUMN()</f>
        <v>546</v>
      </c>
      <c r="UA1" s="321">
        <f>COLUMN()</f>
        <v>547</v>
      </c>
      <c r="UB1" s="321">
        <f>COLUMN()</f>
        <v>548</v>
      </c>
      <c r="UC1" s="321">
        <f>COLUMN()</f>
        <v>549</v>
      </c>
      <c r="UD1" s="321">
        <f>COLUMN()</f>
        <v>550</v>
      </c>
      <c r="UE1" s="321">
        <f>COLUMN()</f>
        <v>551</v>
      </c>
      <c r="UF1" s="321">
        <f>COLUMN()</f>
        <v>552</v>
      </c>
      <c r="UG1" s="321">
        <f>COLUMN()</f>
        <v>553</v>
      </c>
      <c r="UH1" s="321">
        <f>COLUMN()</f>
        <v>554</v>
      </c>
      <c r="UI1" s="321">
        <f>COLUMN()</f>
        <v>555</v>
      </c>
      <c r="UJ1" s="321">
        <f>COLUMN()</f>
        <v>556</v>
      </c>
      <c r="UK1" s="321">
        <f>COLUMN()</f>
        <v>557</v>
      </c>
      <c r="UL1" s="321">
        <f>COLUMN()</f>
        <v>558</v>
      </c>
      <c r="UM1" s="321">
        <f>COLUMN()</f>
        <v>559</v>
      </c>
      <c r="UN1" s="321">
        <f>COLUMN()</f>
        <v>560</v>
      </c>
      <c r="UO1" s="321">
        <f>COLUMN()</f>
        <v>561</v>
      </c>
      <c r="UP1" s="321">
        <f>COLUMN()</f>
        <v>562</v>
      </c>
      <c r="UQ1" s="321">
        <f>COLUMN()</f>
        <v>563</v>
      </c>
      <c r="UR1" s="321">
        <f>COLUMN()</f>
        <v>564</v>
      </c>
      <c r="US1" s="321">
        <f>COLUMN()</f>
        <v>565</v>
      </c>
      <c r="UT1" s="321">
        <f>COLUMN()</f>
        <v>566</v>
      </c>
      <c r="UU1" s="321">
        <f>COLUMN()</f>
        <v>567</v>
      </c>
      <c r="UV1" s="321">
        <f>COLUMN()</f>
        <v>568</v>
      </c>
      <c r="UW1" s="321">
        <f>COLUMN()</f>
        <v>569</v>
      </c>
      <c r="UX1" s="321">
        <f>COLUMN()</f>
        <v>570</v>
      </c>
      <c r="UY1" s="321">
        <f>COLUMN()</f>
        <v>571</v>
      </c>
      <c r="UZ1" s="321">
        <f>COLUMN()</f>
        <v>572</v>
      </c>
      <c r="VA1" s="321">
        <f>COLUMN()</f>
        <v>573</v>
      </c>
      <c r="VB1" s="321">
        <f>COLUMN()</f>
        <v>574</v>
      </c>
      <c r="VC1" s="321">
        <f>COLUMN()</f>
        <v>575</v>
      </c>
      <c r="VD1" s="321">
        <f>COLUMN()</f>
        <v>576</v>
      </c>
      <c r="VE1" s="321">
        <f>COLUMN()</f>
        <v>577</v>
      </c>
      <c r="VF1" s="321">
        <f>COLUMN()</f>
        <v>578</v>
      </c>
      <c r="VG1" s="321">
        <f>COLUMN()</f>
        <v>579</v>
      </c>
      <c r="VH1" s="321">
        <f>COLUMN()</f>
        <v>580</v>
      </c>
      <c r="VI1" s="321">
        <f>COLUMN()</f>
        <v>581</v>
      </c>
      <c r="VJ1" s="321">
        <f>COLUMN()</f>
        <v>582</v>
      </c>
      <c r="VK1" s="321">
        <f>COLUMN()</f>
        <v>583</v>
      </c>
      <c r="VL1" s="321">
        <f>COLUMN()</f>
        <v>584</v>
      </c>
      <c r="VM1" s="321">
        <f>COLUMN()</f>
        <v>585</v>
      </c>
      <c r="VN1" s="321">
        <f>COLUMN()</f>
        <v>586</v>
      </c>
      <c r="VO1" s="321">
        <f>COLUMN()</f>
        <v>587</v>
      </c>
      <c r="VP1" s="321">
        <f>COLUMN()</f>
        <v>588</v>
      </c>
      <c r="VQ1" s="321">
        <f>COLUMN()</f>
        <v>589</v>
      </c>
      <c r="VR1" s="321">
        <f>COLUMN()</f>
        <v>590</v>
      </c>
      <c r="VS1" s="321">
        <f>COLUMN()</f>
        <v>591</v>
      </c>
    </row>
    <row r="2" spans="1:591" ht="24" customHeight="1" x14ac:dyDescent="0.55000000000000004">
      <c r="A2" s="320" t="s">
        <v>1646</v>
      </c>
      <c r="B2" s="321"/>
      <c r="C2" s="321"/>
      <c r="D2" s="321"/>
      <c r="E2" s="321"/>
      <c r="F2" s="321"/>
      <c r="G2" s="876" t="s">
        <v>97</v>
      </c>
      <c r="H2" s="876"/>
      <c r="I2" s="876"/>
      <c r="J2" s="876"/>
      <c r="K2" s="876"/>
      <c r="L2" s="876"/>
      <c r="M2" s="876"/>
      <c r="N2" s="876"/>
      <c r="O2" s="876"/>
      <c r="P2" s="878" t="s">
        <v>847</v>
      </c>
      <c r="Q2" s="878"/>
      <c r="R2" s="878"/>
      <c r="S2" s="878"/>
      <c r="T2" s="878"/>
      <c r="U2" s="878"/>
      <c r="V2" s="878"/>
      <c r="W2" s="878"/>
      <c r="X2" s="878"/>
      <c r="Y2" s="876" t="s">
        <v>98</v>
      </c>
      <c r="Z2" s="876"/>
      <c r="AA2" s="876"/>
      <c r="AB2" s="876"/>
      <c r="AC2" s="876"/>
      <c r="AD2" s="876"/>
      <c r="AE2" s="876"/>
      <c r="AF2" s="876"/>
      <c r="AG2" s="876"/>
      <c r="AH2" s="878" t="s">
        <v>139</v>
      </c>
      <c r="AI2" s="878"/>
      <c r="AJ2" s="878"/>
      <c r="AK2" s="878"/>
      <c r="AL2" s="878"/>
      <c r="AM2" s="878"/>
      <c r="AN2" s="878"/>
      <c r="AO2" s="878"/>
      <c r="AP2" s="878"/>
      <c r="AQ2" s="876" t="s">
        <v>102</v>
      </c>
      <c r="AR2" s="876"/>
      <c r="AS2" s="876"/>
      <c r="AT2" s="876"/>
      <c r="AU2" s="876"/>
      <c r="AV2" s="876"/>
      <c r="AW2" s="876"/>
      <c r="AX2" s="876"/>
      <c r="AY2" s="876"/>
      <c r="AZ2" s="878" t="s">
        <v>103</v>
      </c>
      <c r="BA2" s="878"/>
      <c r="BB2" s="878"/>
      <c r="BC2" s="878"/>
      <c r="BD2" s="878"/>
      <c r="BE2" s="878"/>
      <c r="BF2" s="878"/>
      <c r="BG2" s="878"/>
      <c r="BH2" s="878"/>
      <c r="BI2" s="876" t="s">
        <v>104</v>
      </c>
      <c r="BJ2" s="876"/>
      <c r="BK2" s="876"/>
      <c r="BL2" s="876"/>
      <c r="BM2" s="876"/>
      <c r="BN2" s="876"/>
      <c r="BO2" s="876"/>
      <c r="BP2" s="876"/>
      <c r="BQ2" s="876"/>
      <c r="BR2" s="878" t="s">
        <v>105</v>
      </c>
      <c r="BS2" s="878"/>
      <c r="BT2" s="878"/>
      <c r="BU2" s="878"/>
      <c r="BV2" s="878"/>
      <c r="BW2" s="878"/>
      <c r="BX2" s="878"/>
      <c r="BY2" s="878"/>
      <c r="BZ2" s="878"/>
      <c r="CA2" s="876" t="s">
        <v>848</v>
      </c>
      <c r="CB2" s="876"/>
      <c r="CC2" s="876"/>
      <c r="CD2" s="876"/>
      <c r="CE2" s="876"/>
      <c r="CF2" s="876"/>
      <c r="CG2" s="876"/>
      <c r="CH2" s="876"/>
      <c r="CI2" s="876"/>
      <c r="CJ2" s="878" t="s">
        <v>102</v>
      </c>
      <c r="CK2" s="878"/>
      <c r="CL2" s="878"/>
      <c r="CM2" s="878"/>
      <c r="CN2" s="878"/>
      <c r="CO2" s="878"/>
      <c r="CP2" s="878"/>
      <c r="CQ2" s="878"/>
      <c r="CR2" s="878"/>
      <c r="CS2" s="876" t="s">
        <v>103</v>
      </c>
      <c r="CT2" s="876"/>
      <c r="CU2" s="876"/>
      <c r="CV2" s="876"/>
      <c r="CW2" s="876"/>
      <c r="CX2" s="876"/>
      <c r="CY2" s="876"/>
      <c r="CZ2" s="876"/>
      <c r="DA2" s="876"/>
      <c r="DB2" s="878" t="s">
        <v>104</v>
      </c>
      <c r="DC2" s="878"/>
      <c r="DD2" s="878"/>
      <c r="DE2" s="878"/>
      <c r="DF2" s="878"/>
      <c r="DG2" s="878"/>
      <c r="DH2" s="878"/>
      <c r="DI2" s="878"/>
      <c r="DJ2" s="878"/>
      <c r="DK2" s="876" t="s">
        <v>105</v>
      </c>
      <c r="DL2" s="876"/>
      <c r="DM2" s="876"/>
      <c r="DN2" s="876"/>
      <c r="DO2" s="876"/>
      <c r="DP2" s="876"/>
      <c r="DQ2" s="876"/>
      <c r="DR2" s="876"/>
      <c r="DS2" s="876"/>
      <c r="DT2" s="878" t="s">
        <v>141</v>
      </c>
      <c r="DU2" s="878"/>
      <c r="DV2" s="878"/>
      <c r="DW2" s="878"/>
      <c r="DX2" s="878"/>
      <c r="DY2" s="878"/>
      <c r="DZ2" s="878"/>
      <c r="EA2" s="878"/>
      <c r="EB2" s="878"/>
      <c r="EC2" s="876" t="s">
        <v>102</v>
      </c>
      <c r="ED2" s="876"/>
      <c r="EE2" s="876"/>
      <c r="EF2" s="876"/>
      <c r="EG2" s="876"/>
      <c r="EH2" s="876"/>
      <c r="EI2" s="876"/>
      <c r="EJ2" s="876"/>
      <c r="EK2" s="876"/>
      <c r="EL2" s="878" t="s">
        <v>103</v>
      </c>
      <c r="EM2" s="878"/>
      <c r="EN2" s="878"/>
      <c r="EO2" s="878"/>
      <c r="EP2" s="878"/>
      <c r="EQ2" s="878"/>
      <c r="ER2" s="878"/>
      <c r="ES2" s="878"/>
      <c r="ET2" s="878"/>
      <c r="EU2" s="876" t="s">
        <v>104</v>
      </c>
      <c r="EV2" s="876"/>
      <c r="EW2" s="876"/>
      <c r="EX2" s="876"/>
      <c r="EY2" s="876"/>
      <c r="EZ2" s="876"/>
      <c r="FA2" s="876"/>
      <c r="FB2" s="876"/>
      <c r="FC2" s="876"/>
      <c r="FD2" s="878" t="s">
        <v>105</v>
      </c>
      <c r="FE2" s="878"/>
      <c r="FF2" s="878"/>
      <c r="FG2" s="878"/>
      <c r="FH2" s="878"/>
      <c r="FI2" s="878"/>
      <c r="FJ2" s="878"/>
      <c r="FK2" s="878"/>
      <c r="FL2" s="878"/>
      <c r="FM2" s="876" t="s">
        <v>849</v>
      </c>
      <c r="FN2" s="876"/>
      <c r="FO2" s="876"/>
      <c r="FP2" s="876"/>
      <c r="FQ2" s="876"/>
      <c r="FR2" s="876"/>
      <c r="FS2" s="876"/>
      <c r="FT2" s="876"/>
      <c r="FU2" s="876"/>
      <c r="FV2" s="878" t="s">
        <v>102</v>
      </c>
      <c r="FW2" s="878"/>
      <c r="FX2" s="878"/>
      <c r="FY2" s="878"/>
      <c r="FZ2" s="878"/>
      <c r="GA2" s="878"/>
      <c r="GB2" s="878"/>
      <c r="GC2" s="878"/>
      <c r="GD2" s="878"/>
      <c r="GE2" s="876" t="s">
        <v>103</v>
      </c>
      <c r="GF2" s="876"/>
      <c r="GG2" s="876"/>
      <c r="GH2" s="876"/>
      <c r="GI2" s="876"/>
      <c r="GJ2" s="876"/>
      <c r="GK2" s="876"/>
      <c r="GL2" s="876"/>
      <c r="GM2" s="876"/>
      <c r="GN2" s="878" t="s">
        <v>104</v>
      </c>
      <c r="GO2" s="878"/>
      <c r="GP2" s="878"/>
      <c r="GQ2" s="878"/>
      <c r="GR2" s="878"/>
      <c r="GS2" s="878"/>
      <c r="GT2" s="878"/>
      <c r="GU2" s="878"/>
      <c r="GV2" s="878"/>
      <c r="GW2" s="876" t="s">
        <v>105</v>
      </c>
      <c r="GX2" s="876"/>
      <c r="GY2" s="876"/>
      <c r="GZ2" s="876"/>
      <c r="HA2" s="876"/>
      <c r="HB2" s="876"/>
      <c r="HC2" s="876"/>
      <c r="HD2" s="876"/>
      <c r="HE2" s="876"/>
      <c r="HF2" s="878" t="s">
        <v>141</v>
      </c>
      <c r="HG2" s="878"/>
      <c r="HH2" s="878"/>
      <c r="HI2" s="878"/>
      <c r="HJ2" s="878"/>
      <c r="HK2" s="878"/>
      <c r="HL2" s="878"/>
      <c r="HM2" s="878"/>
      <c r="HN2" s="878"/>
      <c r="HO2" s="876" t="s">
        <v>850</v>
      </c>
      <c r="HP2" s="876"/>
      <c r="HQ2" s="876"/>
      <c r="HR2" s="876"/>
      <c r="HS2" s="876"/>
      <c r="HT2" s="876"/>
      <c r="HU2" s="876"/>
      <c r="HV2" s="876"/>
      <c r="HW2" s="876"/>
      <c r="HX2" s="878" t="s">
        <v>112</v>
      </c>
      <c r="HY2" s="878"/>
      <c r="HZ2" s="878"/>
      <c r="IA2" s="878"/>
      <c r="IB2" s="878"/>
      <c r="IC2" s="878"/>
      <c r="ID2" s="878"/>
      <c r="IE2" s="878"/>
      <c r="IF2" s="878"/>
      <c r="IG2" s="876" t="s">
        <v>113</v>
      </c>
      <c r="IH2" s="876"/>
      <c r="II2" s="876"/>
      <c r="IJ2" s="876"/>
      <c r="IK2" s="876"/>
      <c r="IL2" s="876"/>
      <c r="IM2" s="876"/>
      <c r="IN2" s="876"/>
      <c r="IO2" s="876"/>
      <c r="IP2" s="878" t="s">
        <v>151</v>
      </c>
      <c r="IQ2" s="878"/>
      <c r="IR2" s="878"/>
      <c r="IS2" s="878"/>
      <c r="IT2" s="878"/>
      <c r="IU2" s="878"/>
      <c r="IV2" s="878"/>
      <c r="IW2" s="878"/>
      <c r="IX2" s="878"/>
      <c r="IY2" s="876" t="s">
        <v>146</v>
      </c>
      <c r="IZ2" s="876"/>
      <c r="JA2" s="876"/>
      <c r="JB2" s="876"/>
      <c r="JC2" s="876"/>
      <c r="JD2" s="876"/>
      <c r="JE2" s="876"/>
      <c r="JF2" s="876"/>
      <c r="JG2" s="876"/>
      <c r="JH2" s="878" t="s">
        <v>851</v>
      </c>
      <c r="JI2" s="878"/>
      <c r="JJ2" s="878"/>
      <c r="JK2" s="878"/>
      <c r="JL2" s="878"/>
      <c r="JM2" s="878"/>
      <c r="JN2" s="878"/>
      <c r="JO2" s="878"/>
      <c r="JP2" s="878"/>
      <c r="JQ2" s="876" t="s">
        <v>115</v>
      </c>
      <c r="JR2" s="876"/>
      <c r="JS2" s="876"/>
      <c r="JT2" s="876"/>
      <c r="JU2" s="876"/>
      <c r="JV2" s="876"/>
      <c r="JW2" s="876"/>
      <c r="JX2" s="876"/>
      <c r="JY2" s="876"/>
      <c r="JZ2" s="878" t="s">
        <v>116</v>
      </c>
      <c r="KA2" s="878"/>
      <c r="KB2" s="878"/>
      <c r="KC2" s="878"/>
      <c r="KD2" s="878"/>
      <c r="KE2" s="878"/>
      <c r="KF2" s="878"/>
      <c r="KG2" s="878"/>
      <c r="KH2" s="878"/>
      <c r="KI2" s="876" t="s">
        <v>149</v>
      </c>
      <c r="KJ2" s="876"/>
      <c r="KK2" s="876"/>
      <c r="KL2" s="876"/>
      <c r="KM2" s="876"/>
      <c r="KN2" s="876"/>
      <c r="KO2" s="876"/>
      <c r="KP2" s="876"/>
      <c r="KQ2" s="876"/>
      <c r="KR2" s="878" t="s">
        <v>34</v>
      </c>
      <c r="KS2" s="878"/>
      <c r="KT2" s="878"/>
      <c r="KU2" s="878"/>
      <c r="KV2" s="878"/>
      <c r="KW2" s="878"/>
      <c r="KX2" s="878"/>
      <c r="KY2" s="878"/>
      <c r="KZ2" s="878"/>
      <c r="LA2" s="876" t="s">
        <v>35</v>
      </c>
      <c r="LB2" s="876"/>
      <c r="LC2" s="876"/>
      <c r="LD2" s="876"/>
      <c r="LE2" s="876"/>
      <c r="LF2" s="876"/>
      <c r="LG2" s="876"/>
      <c r="LH2" s="876"/>
      <c r="LI2" s="876"/>
      <c r="LJ2" s="878" t="s">
        <v>120</v>
      </c>
      <c r="LK2" s="878"/>
      <c r="LL2" s="878"/>
      <c r="LM2" s="878"/>
      <c r="LN2" s="878"/>
      <c r="LO2" s="878"/>
      <c r="LP2" s="878"/>
      <c r="LQ2" s="878"/>
      <c r="LR2" s="878"/>
      <c r="LS2" s="876" t="s">
        <v>113</v>
      </c>
      <c r="LT2" s="876"/>
      <c r="LU2" s="876"/>
      <c r="LV2" s="876"/>
      <c r="LW2" s="876"/>
      <c r="LX2" s="876"/>
      <c r="LY2" s="876"/>
      <c r="LZ2" s="876"/>
      <c r="MA2" s="876"/>
      <c r="MB2" s="878" t="s">
        <v>36</v>
      </c>
      <c r="MC2" s="878"/>
      <c r="MD2" s="878"/>
      <c r="ME2" s="878"/>
      <c r="MF2" s="878"/>
      <c r="MG2" s="878"/>
      <c r="MH2" s="878"/>
      <c r="MI2" s="878"/>
      <c r="MJ2" s="878"/>
      <c r="MK2" s="876" t="s">
        <v>37</v>
      </c>
      <c r="ML2" s="876"/>
      <c r="MM2" s="876"/>
      <c r="MN2" s="876"/>
      <c r="MO2" s="876"/>
      <c r="MP2" s="876"/>
      <c r="MQ2" s="876"/>
      <c r="MR2" s="876"/>
      <c r="MS2" s="876"/>
      <c r="MT2" s="878" t="s">
        <v>38</v>
      </c>
      <c r="MU2" s="878"/>
      <c r="MV2" s="878"/>
      <c r="MW2" s="878"/>
      <c r="MX2" s="878"/>
      <c r="MY2" s="878"/>
      <c r="MZ2" s="878"/>
      <c r="NA2" s="878"/>
      <c r="NB2" s="878"/>
      <c r="NC2" s="876" t="s">
        <v>121</v>
      </c>
      <c r="ND2" s="876"/>
      <c r="NE2" s="876"/>
      <c r="NF2" s="876"/>
      <c r="NG2" s="876"/>
      <c r="NH2" s="876"/>
      <c r="NI2" s="876"/>
      <c r="NJ2" s="876"/>
      <c r="NK2" s="876"/>
      <c r="NL2" s="878" t="s">
        <v>122</v>
      </c>
      <c r="NM2" s="878"/>
      <c r="NN2" s="878"/>
      <c r="NO2" s="878"/>
      <c r="NP2" s="878"/>
      <c r="NQ2" s="878"/>
      <c r="NR2" s="878"/>
      <c r="NS2" s="878"/>
      <c r="NT2" s="878"/>
      <c r="NU2" s="876" t="s">
        <v>152</v>
      </c>
      <c r="NV2" s="876"/>
      <c r="NW2" s="876"/>
      <c r="NX2" s="876"/>
      <c r="NY2" s="876"/>
      <c r="NZ2" s="876"/>
      <c r="OA2" s="876"/>
      <c r="OB2" s="876"/>
      <c r="OC2" s="876"/>
      <c r="OD2" s="878" t="s">
        <v>123</v>
      </c>
      <c r="OE2" s="878"/>
      <c r="OF2" s="878"/>
      <c r="OG2" s="878"/>
      <c r="OH2" s="878"/>
      <c r="OI2" s="878"/>
      <c r="OJ2" s="878"/>
      <c r="OK2" s="878"/>
      <c r="OL2" s="878"/>
      <c r="OM2" s="876" t="s">
        <v>155</v>
      </c>
      <c r="ON2" s="876"/>
      <c r="OO2" s="876"/>
      <c r="OP2" s="876"/>
      <c r="OQ2" s="876"/>
      <c r="OR2" s="876"/>
      <c r="OS2" s="876"/>
      <c r="OT2" s="876"/>
      <c r="OU2" s="876"/>
      <c r="OV2" s="878" t="s">
        <v>125</v>
      </c>
      <c r="OW2" s="878"/>
      <c r="OX2" s="878"/>
      <c r="OY2" s="878"/>
      <c r="OZ2" s="878"/>
      <c r="PA2" s="878"/>
      <c r="PB2" s="878"/>
      <c r="PC2" s="878"/>
      <c r="PD2" s="878"/>
      <c r="PE2" s="876" t="s">
        <v>156</v>
      </c>
      <c r="PF2" s="876"/>
      <c r="PG2" s="876"/>
      <c r="PH2" s="876"/>
      <c r="PI2" s="876"/>
      <c r="PJ2" s="876"/>
      <c r="PK2" s="876"/>
      <c r="PL2" s="876"/>
      <c r="PM2" s="876"/>
      <c r="PN2" s="878" t="s">
        <v>157</v>
      </c>
      <c r="PO2" s="878"/>
      <c r="PP2" s="878"/>
      <c r="PQ2" s="878"/>
      <c r="PR2" s="878"/>
      <c r="PS2" s="878"/>
      <c r="PT2" s="878"/>
      <c r="PU2" s="878"/>
      <c r="PV2" s="878"/>
      <c r="PW2" s="876" t="s">
        <v>158</v>
      </c>
      <c r="PX2" s="876"/>
      <c r="PY2" s="876"/>
      <c r="PZ2" s="876"/>
      <c r="QA2" s="876"/>
      <c r="QB2" s="876"/>
      <c r="QC2" s="876"/>
      <c r="QD2" s="876"/>
      <c r="QE2" s="876"/>
      <c r="QF2" s="878" t="s">
        <v>159</v>
      </c>
      <c r="QG2" s="878"/>
      <c r="QH2" s="878"/>
      <c r="QI2" s="878"/>
      <c r="QJ2" s="878"/>
      <c r="QK2" s="878"/>
      <c r="QL2" s="878"/>
      <c r="QM2" s="878"/>
      <c r="QN2" s="878"/>
      <c r="QO2" s="876" t="s">
        <v>160</v>
      </c>
      <c r="QP2" s="876"/>
      <c r="QQ2" s="876"/>
      <c r="QR2" s="876"/>
      <c r="QS2" s="876"/>
      <c r="QT2" s="876"/>
      <c r="QU2" s="876"/>
      <c r="QV2" s="876"/>
      <c r="QW2" s="876"/>
      <c r="QX2" s="878" t="s">
        <v>127</v>
      </c>
      <c r="QY2" s="878"/>
      <c r="QZ2" s="878"/>
      <c r="RA2" s="878"/>
      <c r="RB2" s="878"/>
      <c r="RC2" s="878"/>
      <c r="RD2" s="878"/>
      <c r="RE2" s="878"/>
      <c r="RF2" s="878"/>
      <c r="RG2" s="876" t="s">
        <v>128</v>
      </c>
      <c r="RH2" s="876"/>
      <c r="RI2" s="876"/>
      <c r="RJ2" s="876"/>
      <c r="RK2" s="876"/>
      <c r="RL2" s="876"/>
      <c r="RM2" s="876"/>
      <c r="RN2" s="876"/>
      <c r="RO2" s="876"/>
      <c r="RP2" s="878" t="s">
        <v>129</v>
      </c>
      <c r="RQ2" s="878"/>
      <c r="RR2" s="878"/>
      <c r="RS2" s="878"/>
      <c r="RT2" s="878"/>
      <c r="RU2" s="878"/>
      <c r="RV2" s="878"/>
      <c r="RW2" s="878"/>
      <c r="RX2" s="878"/>
      <c r="RY2" s="876" t="s">
        <v>130</v>
      </c>
      <c r="RZ2" s="876"/>
      <c r="SA2" s="876"/>
      <c r="SB2" s="876"/>
      <c r="SC2" s="876"/>
      <c r="SD2" s="876"/>
      <c r="SE2" s="876"/>
      <c r="SF2" s="876"/>
      <c r="SG2" s="876"/>
      <c r="SH2" s="878" t="s">
        <v>131</v>
      </c>
      <c r="SI2" s="878"/>
      <c r="SJ2" s="878"/>
      <c r="SK2" s="878"/>
      <c r="SL2" s="878"/>
      <c r="SM2" s="878"/>
      <c r="SN2" s="878"/>
      <c r="SO2" s="878"/>
      <c r="SP2" s="878"/>
      <c r="SQ2" s="876" t="s">
        <v>132</v>
      </c>
      <c r="SR2" s="876"/>
      <c r="SS2" s="876"/>
      <c r="ST2" s="876"/>
      <c r="SU2" s="876"/>
      <c r="SV2" s="876"/>
      <c r="SW2" s="876"/>
      <c r="SX2" s="876"/>
      <c r="SY2" s="876"/>
      <c r="SZ2" s="879"/>
      <c r="TA2" s="879"/>
      <c r="TB2" s="879"/>
      <c r="TC2" s="880" t="s">
        <v>1412</v>
      </c>
      <c r="TD2" s="880"/>
      <c r="TE2" s="880"/>
      <c r="TF2" s="880"/>
      <c r="TG2" s="880"/>
      <c r="TH2" s="880"/>
      <c r="TI2" s="880"/>
      <c r="TJ2" s="880"/>
      <c r="TK2" s="880"/>
      <c r="TL2" s="880"/>
      <c r="TM2" s="880"/>
      <c r="TN2" s="878" t="s">
        <v>1413</v>
      </c>
      <c r="TO2" s="878"/>
      <c r="TP2" s="878"/>
      <c r="TQ2" s="878"/>
      <c r="TR2" s="878"/>
      <c r="TS2" s="878"/>
      <c r="TT2" s="878"/>
      <c r="TU2" s="878"/>
      <c r="TV2" s="878"/>
      <c r="TW2" s="878"/>
      <c r="TX2" s="878"/>
      <c r="TY2" s="878"/>
      <c r="TZ2" s="878"/>
      <c r="UA2" s="878"/>
      <c r="UB2" s="878"/>
      <c r="UC2" s="878"/>
      <c r="UD2" s="878"/>
      <c r="UE2" s="878"/>
      <c r="UF2" s="878"/>
      <c r="UG2" s="878"/>
      <c r="UH2" s="876" t="s">
        <v>150</v>
      </c>
      <c r="UI2" s="876"/>
      <c r="UJ2" s="876"/>
      <c r="UK2" s="876"/>
      <c r="UL2" s="876"/>
      <c r="UM2" s="876"/>
      <c r="UN2" s="876"/>
      <c r="UO2" s="876"/>
      <c r="UP2" s="876"/>
      <c r="UQ2" s="876"/>
      <c r="UR2" s="323"/>
      <c r="US2" s="323"/>
      <c r="UT2" s="323"/>
      <c r="UU2" s="323"/>
      <c r="UV2" s="323"/>
      <c r="UW2" s="323"/>
      <c r="UX2" s="323"/>
      <c r="UY2" s="877" t="s">
        <v>1640</v>
      </c>
      <c r="UZ2" s="877"/>
      <c r="VA2" s="877"/>
      <c r="VB2" s="323"/>
      <c r="VC2" s="323"/>
      <c r="VD2" s="324" t="s">
        <v>1878</v>
      </c>
      <c r="VE2" s="324" t="s">
        <v>1878</v>
      </c>
      <c r="VF2" s="324" t="s">
        <v>1878</v>
      </c>
      <c r="VG2" s="324" t="s">
        <v>1878</v>
      </c>
      <c r="VH2" s="324" t="s">
        <v>1878</v>
      </c>
      <c r="VI2" s="324" t="s">
        <v>1878</v>
      </c>
      <c r="VJ2" s="324" t="s">
        <v>1878</v>
      </c>
      <c r="VK2" s="324" t="s">
        <v>1878</v>
      </c>
      <c r="VL2" s="324" t="s">
        <v>1878</v>
      </c>
      <c r="VM2" s="324" t="s">
        <v>1878</v>
      </c>
      <c r="VN2" s="324" t="s">
        <v>1878</v>
      </c>
      <c r="VO2" s="324" t="s">
        <v>1878</v>
      </c>
      <c r="VP2" s="324" t="s">
        <v>1878</v>
      </c>
      <c r="VQ2" s="324" t="s">
        <v>1878</v>
      </c>
      <c r="VR2" s="324" t="s">
        <v>1878</v>
      </c>
      <c r="VS2" s="324" t="s">
        <v>1878</v>
      </c>
    </row>
    <row r="3" spans="1:591" s="326" customFormat="1" ht="24" customHeight="1" x14ac:dyDescent="0.55000000000000004">
      <c r="A3" s="320" t="s">
        <v>1647</v>
      </c>
      <c r="B3" s="324"/>
      <c r="C3" s="324"/>
      <c r="D3" s="324"/>
      <c r="E3" s="324"/>
      <c r="F3" s="324"/>
      <c r="G3" s="324" t="s">
        <v>852</v>
      </c>
      <c r="H3" s="324" t="s">
        <v>853</v>
      </c>
      <c r="I3" s="324" t="s">
        <v>854</v>
      </c>
      <c r="J3" s="324" t="s">
        <v>855</v>
      </c>
      <c r="K3" s="324" t="s">
        <v>856</v>
      </c>
      <c r="L3" s="324" t="s">
        <v>857</v>
      </c>
      <c r="M3" s="324" t="s">
        <v>858</v>
      </c>
      <c r="N3" s="324" t="s">
        <v>859</v>
      </c>
      <c r="O3" s="324" t="s">
        <v>860</v>
      </c>
      <c r="P3" s="324" t="s">
        <v>861</v>
      </c>
      <c r="Q3" s="324" t="s">
        <v>862</v>
      </c>
      <c r="R3" s="324" t="s">
        <v>863</v>
      </c>
      <c r="S3" s="324" t="s">
        <v>864</v>
      </c>
      <c r="T3" s="324" t="s">
        <v>865</v>
      </c>
      <c r="U3" s="324" t="s">
        <v>866</v>
      </c>
      <c r="V3" s="324" t="s">
        <v>867</v>
      </c>
      <c r="W3" s="324" t="s">
        <v>868</v>
      </c>
      <c r="X3" s="324" t="s">
        <v>869</v>
      </c>
      <c r="Y3" s="324" t="s">
        <v>870</v>
      </c>
      <c r="Z3" s="324" t="s">
        <v>871</v>
      </c>
      <c r="AA3" s="324" t="s">
        <v>872</v>
      </c>
      <c r="AB3" s="324" t="s">
        <v>873</v>
      </c>
      <c r="AC3" s="324" t="s">
        <v>874</v>
      </c>
      <c r="AD3" s="324" t="s">
        <v>875</v>
      </c>
      <c r="AE3" s="324" t="s">
        <v>876</v>
      </c>
      <c r="AF3" s="324" t="s">
        <v>877</v>
      </c>
      <c r="AG3" s="324" t="s">
        <v>878</v>
      </c>
      <c r="AH3" s="324" t="s">
        <v>879</v>
      </c>
      <c r="AI3" s="324" t="s">
        <v>880</v>
      </c>
      <c r="AJ3" s="324" t="s">
        <v>881</v>
      </c>
      <c r="AK3" s="324" t="s">
        <v>882</v>
      </c>
      <c r="AL3" s="324" t="s">
        <v>883</v>
      </c>
      <c r="AM3" s="324" t="s">
        <v>884</v>
      </c>
      <c r="AN3" s="324" t="s">
        <v>885</v>
      </c>
      <c r="AO3" s="324" t="s">
        <v>886</v>
      </c>
      <c r="AP3" s="324" t="s">
        <v>887</v>
      </c>
      <c r="AQ3" s="324" t="s">
        <v>888</v>
      </c>
      <c r="AR3" s="324" t="s">
        <v>889</v>
      </c>
      <c r="AS3" s="324" t="s">
        <v>890</v>
      </c>
      <c r="AT3" s="324" t="s">
        <v>891</v>
      </c>
      <c r="AU3" s="324" t="s">
        <v>892</v>
      </c>
      <c r="AV3" s="324" t="s">
        <v>893</v>
      </c>
      <c r="AW3" s="324" t="s">
        <v>894</v>
      </c>
      <c r="AX3" s="324" t="s">
        <v>895</v>
      </c>
      <c r="AY3" s="324" t="s">
        <v>896</v>
      </c>
      <c r="AZ3" s="324" t="s">
        <v>897</v>
      </c>
      <c r="BA3" s="324" t="s">
        <v>898</v>
      </c>
      <c r="BB3" s="324" t="s">
        <v>899</v>
      </c>
      <c r="BC3" s="324" t="s">
        <v>900</v>
      </c>
      <c r="BD3" s="324" t="s">
        <v>901</v>
      </c>
      <c r="BE3" s="324" t="s">
        <v>902</v>
      </c>
      <c r="BF3" s="324" t="s">
        <v>903</v>
      </c>
      <c r="BG3" s="324" t="s">
        <v>904</v>
      </c>
      <c r="BH3" s="324" t="s">
        <v>905</v>
      </c>
      <c r="BI3" s="324" t="s">
        <v>906</v>
      </c>
      <c r="BJ3" s="324" t="s">
        <v>907</v>
      </c>
      <c r="BK3" s="324" t="s">
        <v>908</v>
      </c>
      <c r="BL3" s="324" t="s">
        <v>909</v>
      </c>
      <c r="BM3" s="324" t="s">
        <v>910</v>
      </c>
      <c r="BN3" s="324" t="s">
        <v>911</v>
      </c>
      <c r="BO3" s="324" t="s">
        <v>912</v>
      </c>
      <c r="BP3" s="324" t="s">
        <v>913</v>
      </c>
      <c r="BQ3" s="324" t="s">
        <v>914</v>
      </c>
      <c r="BR3" s="324" t="s">
        <v>915</v>
      </c>
      <c r="BS3" s="324" t="s">
        <v>916</v>
      </c>
      <c r="BT3" s="324" t="s">
        <v>917</v>
      </c>
      <c r="BU3" s="324" t="s">
        <v>918</v>
      </c>
      <c r="BV3" s="324" t="s">
        <v>919</v>
      </c>
      <c r="BW3" s="324" t="s">
        <v>920</v>
      </c>
      <c r="BX3" s="324" t="s">
        <v>921</v>
      </c>
      <c r="BY3" s="324" t="s">
        <v>922</v>
      </c>
      <c r="BZ3" s="324" t="s">
        <v>923</v>
      </c>
      <c r="CA3" s="324" t="s">
        <v>924</v>
      </c>
      <c r="CB3" s="324" t="s">
        <v>925</v>
      </c>
      <c r="CC3" s="324" t="s">
        <v>926</v>
      </c>
      <c r="CD3" s="324" t="s">
        <v>927</v>
      </c>
      <c r="CE3" s="324" t="s">
        <v>928</v>
      </c>
      <c r="CF3" s="324" t="s">
        <v>929</v>
      </c>
      <c r="CG3" s="324" t="s">
        <v>930</v>
      </c>
      <c r="CH3" s="324" t="s">
        <v>931</v>
      </c>
      <c r="CI3" s="324" t="s">
        <v>932</v>
      </c>
      <c r="CJ3" s="324" t="s">
        <v>933</v>
      </c>
      <c r="CK3" s="324" t="s">
        <v>934</v>
      </c>
      <c r="CL3" s="324" t="s">
        <v>935</v>
      </c>
      <c r="CM3" s="324" t="s">
        <v>936</v>
      </c>
      <c r="CN3" s="324" t="s">
        <v>937</v>
      </c>
      <c r="CO3" s="324" t="s">
        <v>938</v>
      </c>
      <c r="CP3" s="324" t="s">
        <v>939</v>
      </c>
      <c r="CQ3" s="324" t="s">
        <v>940</v>
      </c>
      <c r="CR3" s="324" t="s">
        <v>941</v>
      </c>
      <c r="CS3" s="324" t="s">
        <v>942</v>
      </c>
      <c r="CT3" s="324" t="s">
        <v>943</v>
      </c>
      <c r="CU3" s="324" t="s">
        <v>944</v>
      </c>
      <c r="CV3" s="324" t="s">
        <v>945</v>
      </c>
      <c r="CW3" s="324" t="s">
        <v>946</v>
      </c>
      <c r="CX3" s="324" t="s">
        <v>947</v>
      </c>
      <c r="CY3" s="324" t="s">
        <v>948</v>
      </c>
      <c r="CZ3" s="324" t="s">
        <v>949</v>
      </c>
      <c r="DA3" s="324" t="s">
        <v>950</v>
      </c>
      <c r="DB3" s="324" t="s">
        <v>951</v>
      </c>
      <c r="DC3" s="324" t="s">
        <v>952</v>
      </c>
      <c r="DD3" s="324" t="s">
        <v>953</v>
      </c>
      <c r="DE3" s="324" t="s">
        <v>954</v>
      </c>
      <c r="DF3" s="324" t="s">
        <v>955</v>
      </c>
      <c r="DG3" s="324" t="s">
        <v>956</v>
      </c>
      <c r="DH3" s="324" t="s">
        <v>957</v>
      </c>
      <c r="DI3" s="324" t="s">
        <v>958</v>
      </c>
      <c r="DJ3" s="324" t="s">
        <v>959</v>
      </c>
      <c r="DK3" s="324" t="s">
        <v>960</v>
      </c>
      <c r="DL3" s="324" t="s">
        <v>961</v>
      </c>
      <c r="DM3" s="324" t="s">
        <v>962</v>
      </c>
      <c r="DN3" s="324" t="s">
        <v>963</v>
      </c>
      <c r="DO3" s="324" t="s">
        <v>964</v>
      </c>
      <c r="DP3" s="324" t="s">
        <v>965</v>
      </c>
      <c r="DQ3" s="324" t="s">
        <v>966</v>
      </c>
      <c r="DR3" s="324" t="s">
        <v>967</v>
      </c>
      <c r="DS3" s="324" t="s">
        <v>968</v>
      </c>
      <c r="DT3" s="324" t="s">
        <v>969</v>
      </c>
      <c r="DU3" s="324" t="s">
        <v>970</v>
      </c>
      <c r="DV3" s="324" t="s">
        <v>971</v>
      </c>
      <c r="DW3" s="324" t="s">
        <v>972</v>
      </c>
      <c r="DX3" s="324" t="s">
        <v>973</v>
      </c>
      <c r="DY3" s="324" t="s">
        <v>974</v>
      </c>
      <c r="DZ3" s="324" t="s">
        <v>975</v>
      </c>
      <c r="EA3" s="324" t="s">
        <v>976</v>
      </c>
      <c r="EB3" s="324" t="s">
        <v>977</v>
      </c>
      <c r="EC3" s="324" t="s">
        <v>978</v>
      </c>
      <c r="ED3" s="324" t="s">
        <v>979</v>
      </c>
      <c r="EE3" s="324" t="s">
        <v>980</v>
      </c>
      <c r="EF3" s="324" t="s">
        <v>981</v>
      </c>
      <c r="EG3" s="324" t="s">
        <v>982</v>
      </c>
      <c r="EH3" s="324" t="s">
        <v>983</v>
      </c>
      <c r="EI3" s="324" t="s">
        <v>984</v>
      </c>
      <c r="EJ3" s="324" t="s">
        <v>985</v>
      </c>
      <c r="EK3" s="324" t="s">
        <v>986</v>
      </c>
      <c r="EL3" s="324" t="s">
        <v>987</v>
      </c>
      <c r="EM3" s="324" t="s">
        <v>988</v>
      </c>
      <c r="EN3" s="324" t="s">
        <v>989</v>
      </c>
      <c r="EO3" s="324" t="s">
        <v>990</v>
      </c>
      <c r="EP3" s="324" t="s">
        <v>991</v>
      </c>
      <c r="EQ3" s="324" t="s">
        <v>992</v>
      </c>
      <c r="ER3" s="324" t="s">
        <v>993</v>
      </c>
      <c r="ES3" s="324" t="s">
        <v>994</v>
      </c>
      <c r="ET3" s="324" t="s">
        <v>995</v>
      </c>
      <c r="EU3" s="324" t="s">
        <v>996</v>
      </c>
      <c r="EV3" s="324" t="s">
        <v>997</v>
      </c>
      <c r="EW3" s="324" t="s">
        <v>998</v>
      </c>
      <c r="EX3" s="324" t="s">
        <v>999</v>
      </c>
      <c r="EY3" s="324" t="s">
        <v>1000</v>
      </c>
      <c r="EZ3" s="324" t="s">
        <v>1001</v>
      </c>
      <c r="FA3" s="324" t="s">
        <v>1002</v>
      </c>
      <c r="FB3" s="324" t="s">
        <v>1003</v>
      </c>
      <c r="FC3" s="324" t="s">
        <v>1004</v>
      </c>
      <c r="FD3" s="324" t="s">
        <v>1005</v>
      </c>
      <c r="FE3" s="324" t="s">
        <v>1006</v>
      </c>
      <c r="FF3" s="324" t="s">
        <v>1007</v>
      </c>
      <c r="FG3" s="324" t="s">
        <v>1008</v>
      </c>
      <c r="FH3" s="324" t="s">
        <v>1009</v>
      </c>
      <c r="FI3" s="324" t="s">
        <v>1010</v>
      </c>
      <c r="FJ3" s="324" t="s">
        <v>1011</v>
      </c>
      <c r="FK3" s="324" t="s">
        <v>1012</v>
      </c>
      <c r="FL3" s="324" t="s">
        <v>1013</v>
      </c>
      <c r="FM3" s="324" t="s">
        <v>1014</v>
      </c>
      <c r="FN3" s="324" t="s">
        <v>1015</v>
      </c>
      <c r="FO3" s="324" t="s">
        <v>1016</v>
      </c>
      <c r="FP3" s="324" t="s">
        <v>1017</v>
      </c>
      <c r="FQ3" s="324" t="s">
        <v>1018</v>
      </c>
      <c r="FR3" s="324" t="s">
        <v>1019</v>
      </c>
      <c r="FS3" s="324" t="s">
        <v>1020</v>
      </c>
      <c r="FT3" s="324" t="s">
        <v>1021</v>
      </c>
      <c r="FU3" s="324" t="s">
        <v>1022</v>
      </c>
      <c r="FV3" s="324" t="s">
        <v>1023</v>
      </c>
      <c r="FW3" s="324" t="s">
        <v>1024</v>
      </c>
      <c r="FX3" s="324" t="s">
        <v>1025</v>
      </c>
      <c r="FY3" s="324" t="s">
        <v>1026</v>
      </c>
      <c r="FZ3" s="324" t="s">
        <v>1027</v>
      </c>
      <c r="GA3" s="324" t="s">
        <v>1028</v>
      </c>
      <c r="GB3" s="324" t="s">
        <v>1029</v>
      </c>
      <c r="GC3" s="324" t="s">
        <v>1030</v>
      </c>
      <c r="GD3" s="324" t="s">
        <v>1031</v>
      </c>
      <c r="GE3" s="324" t="s">
        <v>1032</v>
      </c>
      <c r="GF3" s="324" t="s">
        <v>1033</v>
      </c>
      <c r="GG3" s="324" t="s">
        <v>1034</v>
      </c>
      <c r="GH3" s="324" t="s">
        <v>1035</v>
      </c>
      <c r="GI3" s="324" t="s">
        <v>1036</v>
      </c>
      <c r="GJ3" s="324" t="s">
        <v>1037</v>
      </c>
      <c r="GK3" s="324" t="s">
        <v>1038</v>
      </c>
      <c r="GL3" s="324" t="s">
        <v>1039</v>
      </c>
      <c r="GM3" s="324" t="s">
        <v>1040</v>
      </c>
      <c r="GN3" s="324" t="s">
        <v>1041</v>
      </c>
      <c r="GO3" s="324" t="s">
        <v>1042</v>
      </c>
      <c r="GP3" s="324" t="s">
        <v>1043</v>
      </c>
      <c r="GQ3" s="324" t="s">
        <v>1044</v>
      </c>
      <c r="GR3" s="324" t="s">
        <v>1045</v>
      </c>
      <c r="GS3" s="324" t="s">
        <v>1046</v>
      </c>
      <c r="GT3" s="324" t="s">
        <v>1047</v>
      </c>
      <c r="GU3" s="324" t="s">
        <v>1048</v>
      </c>
      <c r="GV3" s="324" t="s">
        <v>1049</v>
      </c>
      <c r="GW3" s="324" t="s">
        <v>1050</v>
      </c>
      <c r="GX3" s="324" t="s">
        <v>1051</v>
      </c>
      <c r="GY3" s="324" t="s">
        <v>1052</v>
      </c>
      <c r="GZ3" s="324" t="s">
        <v>1053</v>
      </c>
      <c r="HA3" s="324" t="s">
        <v>1054</v>
      </c>
      <c r="HB3" s="324" t="s">
        <v>1055</v>
      </c>
      <c r="HC3" s="324" t="s">
        <v>1056</v>
      </c>
      <c r="HD3" s="324" t="s">
        <v>1057</v>
      </c>
      <c r="HE3" s="324" t="s">
        <v>1058</v>
      </c>
      <c r="HF3" s="324" t="s">
        <v>1059</v>
      </c>
      <c r="HG3" s="324" t="s">
        <v>1060</v>
      </c>
      <c r="HH3" s="324" t="s">
        <v>1061</v>
      </c>
      <c r="HI3" s="324" t="s">
        <v>1062</v>
      </c>
      <c r="HJ3" s="324" t="s">
        <v>1063</v>
      </c>
      <c r="HK3" s="324" t="s">
        <v>1064</v>
      </c>
      <c r="HL3" s="324" t="s">
        <v>1065</v>
      </c>
      <c r="HM3" s="324" t="s">
        <v>1066</v>
      </c>
      <c r="HN3" s="324" t="s">
        <v>1067</v>
      </c>
      <c r="HO3" s="324" t="s">
        <v>1068</v>
      </c>
      <c r="HP3" s="324" t="s">
        <v>1069</v>
      </c>
      <c r="HQ3" s="324" t="s">
        <v>1070</v>
      </c>
      <c r="HR3" s="324" t="s">
        <v>1071</v>
      </c>
      <c r="HS3" s="324" t="s">
        <v>1072</v>
      </c>
      <c r="HT3" s="324" t="s">
        <v>1073</v>
      </c>
      <c r="HU3" s="324" t="s">
        <v>1074</v>
      </c>
      <c r="HV3" s="324" t="s">
        <v>1075</v>
      </c>
      <c r="HW3" s="324" t="s">
        <v>1076</v>
      </c>
      <c r="HX3" s="324" t="s">
        <v>1077</v>
      </c>
      <c r="HY3" s="324" t="s">
        <v>1078</v>
      </c>
      <c r="HZ3" s="324" t="s">
        <v>1079</v>
      </c>
      <c r="IA3" s="324" t="s">
        <v>1080</v>
      </c>
      <c r="IB3" s="324" t="s">
        <v>1081</v>
      </c>
      <c r="IC3" s="324" t="s">
        <v>1082</v>
      </c>
      <c r="ID3" s="324" t="s">
        <v>1083</v>
      </c>
      <c r="IE3" s="324" t="s">
        <v>1084</v>
      </c>
      <c r="IF3" s="324" t="s">
        <v>1085</v>
      </c>
      <c r="IG3" s="324" t="s">
        <v>1086</v>
      </c>
      <c r="IH3" s="324" t="s">
        <v>1087</v>
      </c>
      <c r="II3" s="324" t="s">
        <v>1088</v>
      </c>
      <c r="IJ3" s="324" t="s">
        <v>1089</v>
      </c>
      <c r="IK3" s="324" t="s">
        <v>1090</v>
      </c>
      <c r="IL3" s="324" t="s">
        <v>1091</v>
      </c>
      <c r="IM3" s="324" t="s">
        <v>1092</v>
      </c>
      <c r="IN3" s="324" t="s">
        <v>1093</v>
      </c>
      <c r="IO3" s="324" t="s">
        <v>1094</v>
      </c>
      <c r="IP3" s="324" t="s">
        <v>1095</v>
      </c>
      <c r="IQ3" s="324" t="s">
        <v>1096</v>
      </c>
      <c r="IR3" s="324" t="s">
        <v>1097</v>
      </c>
      <c r="IS3" s="324" t="s">
        <v>1098</v>
      </c>
      <c r="IT3" s="324" t="s">
        <v>1099</v>
      </c>
      <c r="IU3" s="324" t="s">
        <v>1100</v>
      </c>
      <c r="IV3" s="324" t="s">
        <v>1101</v>
      </c>
      <c r="IW3" s="324" t="s">
        <v>1102</v>
      </c>
      <c r="IX3" s="324" t="s">
        <v>1103</v>
      </c>
      <c r="IY3" s="324" t="s">
        <v>1104</v>
      </c>
      <c r="IZ3" s="324" t="s">
        <v>1105</v>
      </c>
      <c r="JA3" s="324" t="s">
        <v>1106</v>
      </c>
      <c r="JB3" s="324" t="s">
        <v>1107</v>
      </c>
      <c r="JC3" s="324" t="s">
        <v>1108</v>
      </c>
      <c r="JD3" s="324" t="s">
        <v>1109</v>
      </c>
      <c r="JE3" s="324" t="s">
        <v>1110</v>
      </c>
      <c r="JF3" s="324" t="s">
        <v>1111</v>
      </c>
      <c r="JG3" s="324" t="s">
        <v>1112</v>
      </c>
      <c r="JH3" s="324" t="s">
        <v>1113</v>
      </c>
      <c r="JI3" s="324" t="s">
        <v>1114</v>
      </c>
      <c r="JJ3" s="324" t="s">
        <v>1115</v>
      </c>
      <c r="JK3" s="324" t="s">
        <v>1116</v>
      </c>
      <c r="JL3" s="324" t="s">
        <v>1117</v>
      </c>
      <c r="JM3" s="324" t="s">
        <v>1118</v>
      </c>
      <c r="JN3" s="324" t="s">
        <v>1119</v>
      </c>
      <c r="JO3" s="324" t="s">
        <v>1120</v>
      </c>
      <c r="JP3" s="324" t="s">
        <v>1121</v>
      </c>
      <c r="JQ3" s="324" t="s">
        <v>1122</v>
      </c>
      <c r="JR3" s="324" t="s">
        <v>1123</v>
      </c>
      <c r="JS3" s="324" t="s">
        <v>1124</v>
      </c>
      <c r="JT3" s="324" t="s">
        <v>1125</v>
      </c>
      <c r="JU3" s="324" t="s">
        <v>1126</v>
      </c>
      <c r="JV3" s="324" t="s">
        <v>1127</v>
      </c>
      <c r="JW3" s="324" t="s">
        <v>1128</v>
      </c>
      <c r="JX3" s="324" t="s">
        <v>1129</v>
      </c>
      <c r="JY3" s="324" t="s">
        <v>1130</v>
      </c>
      <c r="JZ3" s="324" t="s">
        <v>1131</v>
      </c>
      <c r="KA3" s="324" t="s">
        <v>1132</v>
      </c>
      <c r="KB3" s="324" t="s">
        <v>1133</v>
      </c>
      <c r="KC3" s="324" t="s">
        <v>1134</v>
      </c>
      <c r="KD3" s="324" t="s">
        <v>1135</v>
      </c>
      <c r="KE3" s="324" t="s">
        <v>1136</v>
      </c>
      <c r="KF3" s="324" t="s">
        <v>1137</v>
      </c>
      <c r="KG3" s="324" t="s">
        <v>1138</v>
      </c>
      <c r="KH3" s="324" t="s">
        <v>1139</v>
      </c>
      <c r="KI3" s="324" t="s">
        <v>1140</v>
      </c>
      <c r="KJ3" s="324" t="s">
        <v>1141</v>
      </c>
      <c r="KK3" s="324" t="s">
        <v>1142</v>
      </c>
      <c r="KL3" s="324" t="s">
        <v>1143</v>
      </c>
      <c r="KM3" s="324" t="s">
        <v>1144</v>
      </c>
      <c r="KN3" s="324" t="s">
        <v>1145</v>
      </c>
      <c r="KO3" s="324" t="s">
        <v>1146</v>
      </c>
      <c r="KP3" s="324" t="s">
        <v>1147</v>
      </c>
      <c r="KQ3" s="324" t="s">
        <v>1148</v>
      </c>
      <c r="KR3" s="324" t="s">
        <v>1149</v>
      </c>
      <c r="KS3" s="324" t="s">
        <v>1150</v>
      </c>
      <c r="KT3" s="324" t="s">
        <v>1151</v>
      </c>
      <c r="KU3" s="324" t="s">
        <v>1152</v>
      </c>
      <c r="KV3" s="324" t="s">
        <v>1153</v>
      </c>
      <c r="KW3" s="324" t="s">
        <v>1154</v>
      </c>
      <c r="KX3" s="324" t="s">
        <v>1155</v>
      </c>
      <c r="KY3" s="324" t="s">
        <v>1156</v>
      </c>
      <c r="KZ3" s="324" t="s">
        <v>1157</v>
      </c>
      <c r="LA3" s="324" t="s">
        <v>1158</v>
      </c>
      <c r="LB3" s="324" t="s">
        <v>1159</v>
      </c>
      <c r="LC3" s="324" t="s">
        <v>1160</v>
      </c>
      <c r="LD3" s="324" t="s">
        <v>1161</v>
      </c>
      <c r="LE3" s="324" t="s">
        <v>1162</v>
      </c>
      <c r="LF3" s="324" t="s">
        <v>1163</v>
      </c>
      <c r="LG3" s="324" t="s">
        <v>1164</v>
      </c>
      <c r="LH3" s="324" t="s">
        <v>1165</v>
      </c>
      <c r="LI3" s="324" t="s">
        <v>1166</v>
      </c>
      <c r="LJ3" s="324" t="s">
        <v>1167</v>
      </c>
      <c r="LK3" s="324" t="s">
        <v>1168</v>
      </c>
      <c r="LL3" s="324" t="s">
        <v>1169</v>
      </c>
      <c r="LM3" s="324" t="s">
        <v>1170</v>
      </c>
      <c r="LN3" s="324" t="s">
        <v>1171</v>
      </c>
      <c r="LO3" s="324" t="s">
        <v>1172</v>
      </c>
      <c r="LP3" s="324" t="s">
        <v>1173</v>
      </c>
      <c r="LQ3" s="324" t="s">
        <v>1174</v>
      </c>
      <c r="LR3" s="324" t="s">
        <v>1175</v>
      </c>
      <c r="LS3" s="324" t="s">
        <v>1176</v>
      </c>
      <c r="LT3" s="324" t="s">
        <v>1177</v>
      </c>
      <c r="LU3" s="324" t="s">
        <v>1178</v>
      </c>
      <c r="LV3" s="324" t="s">
        <v>1179</v>
      </c>
      <c r="LW3" s="324" t="s">
        <v>1180</v>
      </c>
      <c r="LX3" s="324" t="s">
        <v>1181</v>
      </c>
      <c r="LY3" s="324" t="s">
        <v>1182</v>
      </c>
      <c r="LZ3" s="324" t="s">
        <v>1183</v>
      </c>
      <c r="MA3" s="324" t="s">
        <v>1184</v>
      </c>
      <c r="MB3" s="324" t="s">
        <v>1185</v>
      </c>
      <c r="MC3" s="324" t="s">
        <v>1186</v>
      </c>
      <c r="MD3" s="324" t="s">
        <v>1187</v>
      </c>
      <c r="ME3" s="324" t="s">
        <v>1188</v>
      </c>
      <c r="MF3" s="324" t="s">
        <v>1189</v>
      </c>
      <c r="MG3" s="324" t="s">
        <v>1190</v>
      </c>
      <c r="MH3" s="324" t="s">
        <v>1191</v>
      </c>
      <c r="MI3" s="324" t="s">
        <v>1192</v>
      </c>
      <c r="MJ3" s="324" t="s">
        <v>1193</v>
      </c>
      <c r="MK3" s="324" t="s">
        <v>1194</v>
      </c>
      <c r="ML3" s="324" t="s">
        <v>1195</v>
      </c>
      <c r="MM3" s="324" t="s">
        <v>1196</v>
      </c>
      <c r="MN3" s="324" t="s">
        <v>1197</v>
      </c>
      <c r="MO3" s="324" t="s">
        <v>1198</v>
      </c>
      <c r="MP3" s="324" t="s">
        <v>1199</v>
      </c>
      <c r="MQ3" s="324" t="s">
        <v>1200</v>
      </c>
      <c r="MR3" s="324" t="s">
        <v>1201</v>
      </c>
      <c r="MS3" s="324" t="s">
        <v>1202</v>
      </c>
      <c r="MT3" s="324" t="s">
        <v>1203</v>
      </c>
      <c r="MU3" s="324" t="s">
        <v>1204</v>
      </c>
      <c r="MV3" s="324" t="s">
        <v>1205</v>
      </c>
      <c r="MW3" s="324" t="s">
        <v>1206</v>
      </c>
      <c r="MX3" s="324" t="s">
        <v>1207</v>
      </c>
      <c r="MY3" s="324" t="s">
        <v>1208</v>
      </c>
      <c r="MZ3" s="324" t="s">
        <v>1209</v>
      </c>
      <c r="NA3" s="324" t="s">
        <v>1210</v>
      </c>
      <c r="NB3" s="324" t="s">
        <v>1211</v>
      </c>
      <c r="NC3" s="324" t="s">
        <v>1212</v>
      </c>
      <c r="ND3" s="324" t="s">
        <v>1213</v>
      </c>
      <c r="NE3" s="324" t="s">
        <v>1214</v>
      </c>
      <c r="NF3" s="324" t="s">
        <v>1215</v>
      </c>
      <c r="NG3" s="324" t="s">
        <v>1216</v>
      </c>
      <c r="NH3" s="324" t="s">
        <v>1217</v>
      </c>
      <c r="NI3" s="324" t="s">
        <v>1218</v>
      </c>
      <c r="NJ3" s="324" t="s">
        <v>1219</v>
      </c>
      <c r="NK3" s="324" t="s">
        <v>1220</v>
      </c>
      <c r="NL3" s="324" t="s">
        <v>1221</v>
      </c>
      <c r="NM3" s="324" t="s">
        <v>1222</v>
      </c>
      <c r="NN3" s="324" t="s">
        <v>1223</v>
      </c>
      <c r="NO3" s="324" t="s">
        <v>1224</v>
      </c>
      <c r="NP3" s="324" t="s">
        <v>1225</v>
      </c>
      <c r="NQ3" s="324" t="s">
        <v>1226</v>
      </c>
      <c r="NR3" s="324" t="s">
        <v>1227</v>
      </c>
      <c r="NS3" s="324" t="s">
        <v>1228</v>
      </c>
      <c r="NT3" s="324" t="s">
        <v>1229</v>
      </c>
      <c r="NU3" s="324" t="s">
        <v>1230</v>
      </c>
      <c r="NV3" s="324" t="s">
        <v>1231</v>
      </c>
      <c r="NW3" s="324" t="s">
        <v>1232</v>
      </c>
      <c r="NX3" s="324" t="s">
        <v>1233</v>
      </c>
      <c r="NY3" s="324" t="s">
        <v>1234</v>
      </c>
      <c r="NZ3" s="324" t="s">
        <v>1235</v>
      </c>
      <c r="OA3" s="324" t="s">
        <v>1236</v>
      </c>
      <c r="OB3" s="324" t="s">
        <v>1237</v>
      </c>
      <c r="OC3" s="324" t="s">
        <v>1238</v>
      </c>
      <c r="OD3" s="324" t="s">
        <v>1239</v>
      </c>
      <c r="OE3" s="324" t="s">
        <v>1240</v>
      </c>
      <c r="OF3" s="324" t="s">
        <v>1241</v>
      </c>
      <c r="OG3" s="324" t="s">
        <v>1242</v>
      </c>
      <c r="OH3" s="324" t="s">
        <v>1243</v>
      </c>
      <c r="OI3" s="324" t="s">
        <v>1244</v>
      </c>
      <c r="OJ3" s="324" t="s">
        <v>1245</v>
      </c>
      <c r="OK3" s="324" t="s">
        <v>1246</v>
      </c>
      <c r="OL3" s="324" t="s">
        <v>1247</v>
      </c>
      <c r="OM3" s="324" t="s">
        <v>1248</v>
      </c>
      <c r="ON3" s="324" t="s">
        <v>1249</v>
      </c>
      <c r="OO3" s="324" t="s">
        <v>1250</v>
      </c>
      <c r="OP3" s="324" t="s">
        <v>1251</v>
      </c>
      <c r="OQ3" s="324" t="s">
        <v>1252</v>
      </c>
      <c r="OR3" s="324" t="s">
        <v>1253</v>
      </c>
      <c r="OS3" s="324" t="s">
        <v>1254</v>
      </c>
      <c r="OT3" s="324" t="s">
        <v>1255</v>
      </c>
      <c r="OU3" s="324" t="s">
        <v>1256</v>
      </c>
      <c r="OV3" s="324" t="s">
        <v>1257</v>
      </c>
      <c r="OW3" s="324" t="s">
        <v>1258</v>
      </c>
      <c r="OX3" s="324" t="s">
        <v>1259</v>
      </c>
      <c r="OY3" s="324" t="s">
        <v>1260</v>
      </c>
      <c r="OZ3" s="324" t="s">
        <v>1261</v>
      </c>
      <c r="PA3" s="324" t="s">
        <v>1262</v>
      </c>
      <c r="PB3" s="324" t="s">
        <v>1263</v>
      </c>
      <c r="PC3" s="324" t="s">
        <v>1264</v>
      </c>
      <c r="PD3" s="324" t="s">
        <v>1265</v>
      </c>
      <c r="PE3" s="324" t="s">
        <v>1266</v>
      </c>
      <c r="PF3" s="324" t="s">
        <v>1267</v>
      </c>
      <c r="PG3" s="324" t="s">
        <v>1268</v>
      </c>
      <c r="PH3" s="324" t="s">
        <v>1269</v>
      </c>
      <c r="PI3" s="324" t="s">
        <v>1270</v>
      </c>
      <c r="PJ3" s="324" t="s">
        <v>1271</v>
      </c>
      <c r="PK3" s="324" t="s">
        <v>1272</v>
      </c>
      <c r="PL3" s="324" t="s">
        <v>1273</v>
      </c>
      <c r="PM3" s="324" t="s">
        <v>1274</v>
      </c>
      <c r="PN3" s="324" t="s">
        <v>1275</v>
      </c>
      <c r="PO3" s="324" t="s">
        <v>1276</v>
      </c>
      <c r="PP3" s="324" t="s">
        <v>1277</v>
      </c>
      <c r="PQ3" s="324" t="s">
        <v>1278</v>
      </c>
      <c r="PR3" s="324" t="s">
        <v>1279</v>
      </c>
      <c r="PS3" s="324" t="s">
        <v>1280</v>
      </c>
      <c r="PT3" s="324" t="s">
        <v>1281</v>
      </c>
      <c r="PU3" s="324" t="s">
        <v>1282</v>
      </c>
      <c r="PV3" s="324" t="s">
        <v>1283</v>
      </c>
      <c r="PW3" s="324" t="s">
        <v>1284</v>
      </c>
      <c r="PX3" s="324" t="s">
        <v>1285</v>
      </c>
      <c r="PY3" s="324" t="s">
        <v>1286</v>
      </c>
      <c r="PZ3" s="324" t="s">
        <v>1287</v>
      </c>
      <c r="QA3" s="324" t="s">
        <v>1288</v>
      </c>
      <c r="QB3" s="324" t="s">
        <v>1289</v>
      </c>
      <c r="QC3" s="324" t="s">
        <v>1290</v>
      </c>
      <c r="QD3" s="324" t="s">
        <v>1291</v>
      </c>
      <c r="QE3" s="324" t="s">
        <v>1292</v>
      </c>
      <c r="QF3" s="324" t="s">
        <v>1293</v>
      </c>
      <c r="QG3" s="324" t="s">
        <v>1294</v>
      </c>
      <c r="QH3" s="324" t="s">
        <v>1295</v>
      </c>
      <c r="QI3" s="324" t="s">
        <v>1296</v>
      </c>
      <c r="QJ3" s="324" t="s">
        <v>1297</v>
      </c>
      <c r="QK3" s="324" t="s">
        <v>1298</v>
      </c>
      <c r="QL3" s="324" t="s">
        <v>1299</v>
      </c>
      <c r="QM3" s="324" t="s">
        <v>1300</v>
      </c>
      <c r="QN3" s="324" t="s">
        <v>1301</v>
      </c>
      <c r="QO3" s="324" t="s">
        <v>1302</v>
      </c>
      <c r="QP3" s="324" t="s">
        <v>1303</v>
      </c>
      <c r="QQ3" s="324" t="s">
        <v>1304</v>
      </c>
      <c r="QR3" s="324" t="s">
        <v>1305</v>
      </c>
      <c r="QS3" s="324" t="s">
        <v>1306</v>
      </c>
      <c r="QT3" s="324" t="s">
        <v>1307</v>
      </c>
      <c r="QU3" s="324" t="s">
        <v>1308</v>
      </c>
      <c r="QV3" s="324" t="s">
        <v>1309</v>
      </c>
      <c r="QW3" s="324" t="s">
        <v>1310</v>
      </c>
      <c r="QX3" s="324" t="s">
        <v>1311</v>
      </c>
      <c r="QY3" s="324" t="s">
        <v>1312</v>
      </c>
      <c r="QZ3" s="324" t="s">
        <v>1313</v>
      </c>
      <c r="RA3" s="324" t="s">
        <v>1314</v>
      </c>
      <c r="RB3" s="324" t="s">
        <v>1315</v>
      </c>
      <c r="RC3" s="324" t="s">
        <v>1316</v>
      </c>
      <c r="RD3" s="324" t="s">
        <v>1317</v>
      </c>
      <c r="RE3" s="324" t="s">
        <v>1318</v>
      </c>
      <c r="RF3" s="324" t="s">
        <v>1319</v>
      </c>
      <c r="RG3" s="324" t="s">
        <v>1320</v>
      </c>
      <c r="RH3" s="324" t="s">
        <v>1321</v>
      </c>
      <c r="RI3" s="324" t="s">
        <v>1322</v>
      </c>
      <c r="RJ3" s="324" t="s">
        <v>1323</v>
      </c>
      <c r="RK3" s="324" t="s">
        <v>1324</v>
      </c>
      <c r="RL3" s="324" t="s">
        <v>1325</v>
      </c>
      <c r="RM3" s="324" t="s">
        <v>1326</v>
      </c>
      <c r="RN3" s="324" t="s">
        <v>1327</v>
      </c>
      <c r="RO3" s="324" t="s">
        <v>1328</v>
      </c>
      <c r="RP3" s="324" t="s">
        <v>1329</v>
      </c>
      <c r="RQ3" s="324" t="s">
        <v>1330</v>
      </c>
      <c r="RR3" s="324" t="s">
        <v>1331</v>
      </c>
      <c r="RS3" s="324" t="s">
        <v>1332</v>
      </c>
      <c r="RT3" s="324" t="s">
        <v>1333</v>
      </c>
      <c r="RU3" s="324" t="s">
        <v>1334</v>
      </c>
      <c r="RV3" s="324" t="s">
        <v>1335</v>
      </c>
      <c r="RW3" s="324" t="s">
        <v>1336</v>
      </c>
      <c r="RX3" s="324" t="s">
        <v>1337</v>
      </c>
      <c r="RY3" s="324" t="s">
        <v>1338</v>
      </c>
      <c r="RZ3" s="324" t="s">
        <v>1339</v>
      </c>
      <c r="SA3" s="324" t="s">
        <v>1340</v>
      </c>
      <c r="SB3" s="324" t="s">
        <v>1341</v>
      </c>
      <c r="SC3" s="324" t="s">
        <v>1342</v>
      </c>
      <c r="SD3" s="324" t="s">
        <v>1343</v>
      </c>
      <c r="SE3" s="324" t="s">
        <v>1344</v>
      </c>
      <c r="SF3" s="324" t="s">
        <v>1345</v>
      </c>
      <c r="SG3" s="324" t="s">
        <v>1346</v>
      </c>
      <c r="SH3" s="324" t="s">
        <v>1347</v>
      </c>
      <c r="SI3" s="324" t="s">
        <v>1348</v>
      </c>
      <c r="SJ3" s="324" t="s">
        <v>1349</v>
      </c>
      <c r="SK3" s="324" t="s">
        <v>1350</v>
      </c>
      <c r="SL3" s="324" t="s">
        <v>1351</v>
      </c>
      <c r="SM3" s="324" t="s">
        <v>1352</v>
      </c>
      <c r="SN3" s="324" t="s">
        <v>1353</v>
      </c>
      <c r="SO3" s="324" t="s">
        <v>1354</v>
      </c>
      <c r="SP3" s="324" t="s">
        <v>1355</v>
      </c>
      <c r="SQ3" s="324" t="s">
        <v>1356</v>
      </c>
      <c r="SR3" s="324" t="s">
        <v>1357</v>
      </c>
      <c r="SS3" s="324" t="s">
        <v>1358</v>
      </c>
      <c r="ST3" s="324" t="s">
        <v>1359</v>
      </c>
      <c r="SU3" s="324" t="s">
        <v>1360</v>
      </c>
      <c r="SV3" s="324" t="s">
        <v>1361</v>
      </c>
      <c r="SW3" s="324" t="s">
        <v>1362</v>
      </c>
      <c r="SX3" s="324" t="s">
        <v>1363</v>
      </c>
      <c r="SY3" s="324" t="s">
        <v>1364</v>
      </c>
      <c r="SZ3" s="324"/>
      <c r="TA3" s="324"/>
      <c r="TB3" s="324"/>
      <c r="TC3" s="324" t="s">
        <v>1365</v>
      </c>
      <c r="TD3" s="324" t="s">
        <v>1366</v>
      </c>
      <c r="TE3" s="324" t="s">
        <v>1367</v>
      </c>
      <c r="TF3" s="324" t="s">
        <v>1368</v>
      </c>
      <c r="TG3" s="324" t="s">
        <v>1369</v>
      </c>
      <c r="TH3" s="324" t="s">
        <v>1370</v>
      </c>
      <c r="TI3" s="324" t="s">
        <v>1371</v>
      </c>
      <c r="TJ3" s="324" t="s">
        <v>1372</v>
      </c>
      <c r="TK3" s="324" t="s">
        <v>1373</v>
      </c>
      <c r="TL3" s="324" t="s">
        <v>1374</v>
      </c>
      <c r="TM3" s="324" t="s">
        <v>1375</v>
      </c>
      <c r="TN3" s="324" t="s">
        <v>1376</v>
      </c>
      <c r="TO3" s="324" t="s">
        <v>1377</v>
      </c>
      <c r="TP3" s="324" t="s">
        <v>1378</v>
      </c>
      <c r="TQ3" s="324" t="s">
        <v>1379</v>
      </c>
      <c r="TR3" s="324" t="s">
        <v>1380</v>
      </c>
      <c r="TS3" s="324" t="s">
        <v>1381</v>
      </c>
      <c r="TT3" s="324" t="s">
        <v>1382</v>
      </c>
      <c r="TU3" s="324" t="s">
        <v>1383</v>
      </c>
      <c r="TV3" s="324" t="s">
        <v>1384</v>
      </c>
      <c r="TW3" s="324" t="s">
        <v>1385</v>
      </c>
      <c r="TX3" s="324" t="s">
        <v>1386</v>
      </c>
      <c r="TY3" s="324" t="s">
        <v>1387</v>
      </c>
      <c r="TZ3" s="324" t="s">
        <v>1388</v>
      </c>
      <c r="UA3" s="324" t="s">
        <v>1389</v>
      </c>
      <c r="UB3" s="324" t="s">
        <v>1390</v>
      </c>
      <c r="UC3" s="324" t="s">
        <v>1391</v>
      </c>
      <c r="UD3" s="324" t="s">
        <v>1392</v>
      </c>
      <c r="UE3" s="324" t="s">
        <v>1393</v>
      </c>
      <c r="UF3" s="324" t="s">
        <v>1394</v>
      </c>
      <c r="UG3" s="324" t="s">
        <v>1395</v>
      </c>
      <c r="UH3" s="324" t="s">
        <v>1396</v>
      </c>
      <c r="UI3" s="324" t="s">
        <v>1397</v>
      </c>
      <c r="UJ3" s="324" t="s">
        <v>1398</v>
      </c>
      <c r="UK3" s="324" t="s">
        <v>1399</v>
      </c>
      <c r="UL3" s="324" t="s">
        <v>1400</v>
      </c>
      <c r="UM3" s="324" t="s">
        <v>1401</v>
      </c>
      <c r="UN3" s="324" t="s">
        <v>1402</v>
      </c>
      <c r="UO3" s="324" t="s">
        <v>1403</v>
      </c>
      <c r="UP3" s="324" t="s">
        <v>1404</v>
      </c>
      <c r="UQ3" s="324" t="s">
        <v>1405</v>
      </c>
      <c r="UR3" s="324" t="s">
        <v>1414</v>
      </c>
      <c r="US3" s="324" t="s">
        <v>1414</v>
      </c>
      <c r="UT3" s="324" t="s">
        <v>1415</v>
      </c>
      <c r="UU3" s="324" t="s">
        <v>1416</v>
      </c>
      <c r="UV3" s="324" t="s">
        <v>1406</v>
      </c>
      <c r="UW3" s="324" t="s">
        <v>1407</v>
      </c>
      <c r="UX3" s="324" t="s">
        <v>1408</v>
      </c>
      <c r="UY3" s="324" t="s">
        <v>1409</v>
      </c>
      <c r="UZ3" s="324" t="s">
        <v>1410</v>
      </c>
      <c r="VA3" s="324" t="s">
        <v>1411</v>
      </c>
      <c r="VB3" s="324" t="s">
        <v>1414</v>
      </c>
      <c r="VC3" s="324" t="s">
        <v>1414</v>
      </c>
      <c r="VD3" s="324" t="s">
        <v>1414</v>
      </c>
      <c r="VE3" s="324" t="s">
        <v>1414</v>
      </c>
      <c r="VF3" s="324" t="s">
        <v>1414</v>
      </c>
      <c r="VG3" s="324" t="s">
        <v>1414</v>
      </c>
      <c r="VH3" s="324" t="s">
        <v>1414</v>
      </c>
      <c r="VI3" s="324" t="s">
        <v>1414</v>
      </c>
      <c r="VJ3" s="324" t="s">
        <v>1414</v>
      </c>
      <c r="VK3" s="324" t="s">
        <v>1414</v>
      </c>
      <c r="VL3" s="324" t="s">
        <v>1414</v>
      </c>
      <c r="VM3" s="324" t="s">
        <v>1414</v>
      </c>
      <c r="VN3" s="324" t="s">
        <v>1414</v>
      </c>
      <c r="VO3" s="324" t="s">
        <v>1414</v>
      </c>
      <c r="VP3" s="324" t="s">
        <v>1414</v>
      </c>
      <c r="VQ3" s="324" t="s">
        <v>1414</v>
      </c>
      <c r="VR3" s="324" t="s">
        <v>1414</v>
      </c>
      <c r="VS3" s="324" t="s">
        <v>1414</v>
      </c>
    </row>
    <row r="4" spans="1:591" s="332" customFormat="1" ht="45" customHeight="1" x14ac:dyDescent="0.55000000000000004">
      <c r="A4" s="327" t="s">
        <v>31</v>
      </c>
      <c r="B4" s="328" t="s">
        <v>694</v>
      </c>
      <c r="C4" s="328" t="s">
        <v>182</v>
      </c>
      <c r="D4" s="328" t="s">
        <v>32</v>
      </c>
      <c r="E4" s="328" t="s">
        <v>183</v>
      </c>
      <c r="F4" s="328" t="s">
        <v>33</v>
      </c>
      <c r="G4" s="328" t="s">
        <v>184</v>
      </c>
      <c r="H4" s="328" t="s">
        <v>185</v>
      </c>
      <c r="I4" s="328" t="s">
        <v>186</v>
      </c>
      <c r="J4" s="328" t="s">
        <v>187</v>
      </c>
      <c r="K4" s="328" t="s">
        <v>188</v>
      </c>
      <c r="L4" s="328" t="s">
        <v>189</v>
      </c>
      <c r="M4" s="328" t="s">
        <v>190</v>
      </c>
      <c r="N4" s="328" t="s">
        <v>191</v>
      </c>
      <c r="O4" s="328" t="s">
        <v>192</v>
      </c>
      <c r="P4" s="329" t="s">
        <v>1729</v>
      </c>
      <c r="Q4" s="328" t="s">
        <v>1730</v>
      </c>
      <c r="R4" s="328" t="s">
        <v>1731</v>
      </c>
      <c r="S4" s="328" t="s">
        <v>1732</v>
      </c>
      <c r="T4" s="328" t="s">
        <v>1733</v>
      </c>
      <c r="U4" s="328" t="s">
        <v>1734</v>
      </c>
      <c r="V4" s="328" t="s">
        <v>1735</v>
      </c>
      <c r="W4" s="328" t="s">
        <v>1736</v>
      </c>
      <c r="X4" s="328" t="s">
        <v>1737</v>
      </c>
      <c r="Y4" s="328" t="s">
        <v>193</v>
      </c>
      <c r="Z4" s="328" t="s">
        <v>194</v>
      </c>
      <c r="AA4" s="328" t="s">
        <v>195</v>
      </c>
      <c r="AB4" s="328" t="s">
        <v>196</v>
      </c>
      <c r="AC4" s="328" t="s">
        <v>197</v>
      </c>
      <c r="AD4" s="328" t="s">
        <v>198</v>
      </c>
      <c r="AE4" s="328" t="s">
        <v>199</v>
      </c>
      <c r="AF4" s="328" t="s">
        <v>200</v>
      </c>
      <c r="AG4" s="328" t="s">
        <v>201</v>
      </c>
      <c r="AH4" s="328" t="s">
        <v>202</v>
      </c>
      <c r="AI4" s="328" t="s">
        <v>203</v>
      </c>
      <c r="AJ4" s="328" t="s">
        <v>204</v>
      </c>
      <c r="AK4" s="328" t="s">
        <v>205</v>
      </c>
      <c r="AL4" s="328" t="s">
        <v>206</v>
      </c>
      <c r="AM4" s="328" t="s">
        <v>207</v>
      </c>
      <c r="AN4" s="328" t="s">
        <v>208</v>
      </c>
      <c r="AO4" s="328" t="s">
        <v>209</v>
      </c>
      <c r="AP4" s="328" t="s">
        <v>210</v>
      </c>
      <c r="AQ4" s="328" t="s">
        <v>211</v>
      </c>
      <c r="AR4" s="328" t="s">
        <v>212</v>
      </c>
      <c r="AS4" s="328" t="s">
        <v>213</v>
      </c>
      <c r="AT4" s="328" t="s">
        <v>214</v>
      </c>
      <c r="AU4" s="328" t="s">
        <v>215</v>
      </c>
      <c r="AV4" s="328" t="s">
        <v>216</v>
      </c>
      <c r="AW4" s="328" t="s">
        <v>217</v>
      </c>
      <c r="AX4" s="328" t="s">
        <v>218</v>
      </c>
      <c r="AY4" s="328" t="s">
        <v>219</v>
      </c>
      <c r="AZ4" s="328" t="s">
        <v>220</v>
      </c>
      <c r="BA4" s="328" t="s">
        <v>221</v>
      </c>
      <c r="BB4" s="328" t="s">
        <v>222</v>
      </c>
      <c r="BC4" s="328" t="s">
        <v>223</v>
      </c>
      <c r="BD4" s="328" t="s">
        <v>224</v>
      </c>
      <c r="BE4" s="328" t="s">
        <v>225</v>
      </c>
      <c r="BF4" s="328" t="s">
        <v>226</v>
      </c>
      <c r="BG4" s="328" t="s">
        <v>227</v>
      </c>
      <c r="BH4" s="328" t="s">
        <v>228</v>
      </c>
      <c r="BI4" s="328" t="s">
        <v>229</v>
      </c>
      <c r="BJ4" s="328" t="s">
        <v>230</v>
      </c>
      <c r="BK4" s="328" t="s">
        <v>231</v>
      </c>
      <c r="BL4" s="328" t="s">
        <v>232</v>
      </c>
      <c r="BM4" s="328" t="s">
        <v>233</v>
      </c>
      <c r="BN4" s="328" t="s">
        <v>234</v>
      </c>
      <c r="BO4" s="328" t="s">
        <v>235</v>
      </c>
      <c r="BP4" s="328" t="s">
        <v>236</v>
      </c>
      <c r="BQ4" s="328" t="s">
        <v>237</v>
      </c>
      <c r="BR4" s="328" t="s">
        <v>238</v>
      </c>
      <c r="BS4" s="328" t="s">
        <v>239</v>
      </c>
      <c r="BT4" s="328" t="s">
        <v>240</v>
      </c>
      <c r="BU4" s="328" t="s">
        <v>241</v>
      </c>
      <c r="BV4" s="328" t="s">
        <v>242</v>
      </c>
      <c r="BW4" s="328" t="s">
        <v>243</v>
      </c>
      <c r="BX4" s="328" t="s">
        <v>244</v>
      </c>
      <c r="BY4" s="328" t="s">
        <v>245</v>
      </c>
      <c r="BZ4" s="328" t="s">
        <v>246</v>
      </c>
      <c r="CA4" s="328" t="s">
        <v>247</v>
      </c>
      <c r="CB4" s="328" t="s">
        <v>248</v>
      </c>
      <c r="CC4" s="328" t="s">
        <v>249</v>
      </c>
      <c r="CD4" s="328" t="s">
        <v>250</v>
      </c>
      <c r="CE4" s="328" t="s">
        <v>251</v>
      </c>
      <c r="CF4" s="328" t="s">
        <v>252</v>
      </c>
      <c r="CG4" s="328" t="s">
        <v>253</v>
      </c>
      <c r="CH4" s="328" t="s">
        <v>254</v>
      </c>
      <c r="CI4" s="328" t="s">
        <v>255</v>
      </c>
      <c r="CJ4" s="328" t="s">
        <v>256</v>
      </c>
      <c r="CK4" s="328" t="s">
        <v>257</v>
      </c>
      <c r="CL4" s="328" t="s">
        <v>258</v>
      </c>
      <c r="CM4" s="328" t="s">
        <v>259</v>
      </c>
      <c r="CN4" s="328" t="s">
        <v>260</v>
      </c>
      <c r="CO4" s="328" t="s">
        <v>261</v>
      </c>
      <c r="CP4" s="328" t="s">
        <v>262</v>
      </c>
      <c r="CQ4" s="328" t="s">
        <v>263</v>
      </c>
      <c r="CR4" s="328" t="s">
        <v>264</v>
      </c>
      <c r="CS4" s="328" t="s">
        <v>265</v>
      </c>
      <c r="CT4" s="328" t="s">
        <v>266</v>
      </c>
      <c r="CU4" s="328" t="s">
        <v>267</v>
      </c>
      <c r="CV4" s="328" t="s">
        <v>268</v>
      </c>
      <c r="CW4" s="328" t="s">
        <v>269</v>
      </c>
      <c r="CX4" s="328" t="s">
        <v>270</v>
      </c>
      <c r="CY4" s="328" t="s">
        <v>271</v>
      </c>
      <c r="CZ4" s="328" t="s">
        <v>272</v>
      </c>
      <c r="DA4" s="328" t="s">
        <v>273</v>
      </c>
      <c r="DB4" s="328" t="s">
        <v>274</v>
      </c>
      <c r="DC4" s="328" t="s">
        <v>275</v>
      </c>
      <c r="DD4" s="328" t="s">
        <v>276</v>
      </c>
      <c r="DE4" s="328" t="s">
        <v>277</v>
      </c>
      <c r="DF4" s="328" t="s">
        <v>278</v>
      </c>
      <c r="DG4" s="328" t="s">
        <v>279</v>
      </c>
      <c r="DH4" s="328" t="s">
        <v>280</v>
      </c>
      <c r="DI4" s="328" t="s">
        <v>281</v>
      </c>
      <c r="DJ4" s="328" t="s">
        <v>282</v>
      </c>
      <c r="DK4" s="328" t="s">
        <v>283</v>
      </c>
      <c r="DL4" s="328" t="s">
        <v>284</v>
      </c>
      <c r="DM4" s="328" t="s">
        <v>285</v>
      </c>
      <c r="DN4" s="328" t="s">
        <v>286</v>
      </c>
      <c r="DO4" s="328" t="s">
        <v>287</v>
      </c>
      <c r="DP4" s="328" t="s">
        <v>288</v>
      </c>
      <c r="DQ4" s="328" t="s">
        <v>289</v>
      </c>
      <c r="DR4" s="328" t="s">
        <v>290</v>
      </c>
      <c r="DS4" s="328" t="s">
        <v>291</v>
      </c>
      <c r="DT4" s="328" t="s">
        <v>292</v>
      </c>
      <c r="DU4" s="328" t="s">
        <v>293</v>
      </c>
      <c r="DV4" s="328" t="s">
        <v>294</v>
      </c>
      <c r="DW4" s="328" t="s">
        <v>295</v>
      </c>
      <c r="DX4" s="328" t="s">
        <v>296</v>
      </c>
      <c r="DY4" s="328" t="s">
        <v>297</v>
      </c>
      <c r="DZ4" s="328" t="s">
        <v>298</v>
      </c>
      <c r="EA4" s="328" t="s">
        <v>299</v>
      </c>
      <c r="EB4" s="328" t="s">
        <v>300</v>
      </c>
      <c r="EC4" s="328" t="s">
        <v>301</v>
      </c>
      <c r="ED4" s="328" t="s">
        <v>302</v>
      </c>
      <c r="EE4" s="328" t="s">
        <v>303</v>
      </c>
      <c r="EF4" s="328" t="s">
        <v>304</v>
      </c>
      <c r="EG4" s="328" t="s">
        <v>305</v>
      </c>
      <c r="EH4" s="328" t="s">
        <v>306</v>
      </c>
      <c r="EI4" s="328" t="s">
        <v>307</v>
      </c>
      <c r="EJ4" s="328" t="s">
        <v>308</v>
      </c>
      <c r="EK4" s="328" t="s">
        <v>309</v>
      </c>
      <c r="EL4" s="328" t="s">
        <v>310</v>
      </c>
      <c r="EM4" s="328" t="s">
        <v>311</v>
      </c>
      <c r="EN4" s="328" t="s">
        <v>312</v>
      </c>
      <c r="EO4" s="328" t="s">
        <v>313</v>
      </c>
      <c r="EP4" s="328" t="s">
        <v>314</v>
      </c>
      <c r="EQ4" s="328" t="s">
        <v>315</v>
      </c>
      <c r="ER4" s="328" t="s">
        <v>316</v>
      </c>
      <c r="ES4" s="328" t="s">
        <v>317</v>
      </c>
      <c r="ET4" s="328" t="s">
        <v>318</v>
      </c>
      <c r="EU4" s="328" t="s">
        <v>319</v>
      </c>
      <c r="EV4" s="328" t="s">
        <v>320</v>
      </c>
      <c r="EW4" s="328" t="s">
        <v>321</v>
      </c>
      <c r="EX4" s="328" t="s">
        <v>322</v>
      </c>
      <c r="EY4" s="328" t="s">
        <v>323</v>
      </c>
      <c r="EZ4" s="328" t="s">
        <v>324</v>
      </c>
      <c r="FA4" s="328" t="s">
        <v>325</v>
      </c>
      <c r="FB4" s="328" t="s">
        <v>326</v>
      </c>
      <c r="FC4" s="328" t="s">
        <v>327</v>
      </c>
      <c r="FD4" s="328" t="s">
        <v>328</v>
      </c>
      <c r="FE4" s="328" t="s">
        <v>329</v>
      </c>
      <c r="FF4" s="328" t="s">
        <v>330</v>
      </c>
      <c r="FG4" s="328" t="s">
        <v>331</v>
      </c>
      <c r="FH4" s="328" t="s">
        <v>332</v>
      </c>
      <c r="FI4" s="328" t="s">
        <v>333</v>
      </c>
      <c r="FJ4" s="328" t="s">
        <v>334</v>
      </c>
      <c r="FK4" s="328" t="s">
        <v>335</v>
      </c>
      <c r="FL4" s="328" t="s">
        <v>336</v>
      </c>
      <c r="FM4" s="328" t="s">
        <v>337</v>
      </c>
      <c r="FN4" s="328" t="s">
        <v>338</v>
      </c>
      <c r="FO4" s="328" t="s">
        <v>339</v>
      </c>
      <c r="FP4" s="328" t="s">
        <v>340</v>
      </c>
      <c r="FQ4" s="328" t="s">
        <v>341</v>
      </c>
      <c r="FR4" s="328" t="s">
        <v>342</v>
      </c>
      <c r="FS4" s="328" t="s">
        <v>343</v>
      </c>
      <c r="FT4" s="328" t="s">
        <v>344</v>
      </c>
      <c r="FU4" s="328" t="s">
        <v>345</v>
      </c>
      <c r="FV4" s="328" t="s">
        <v>346</v>
      </c>
      <c r="FW4" s="328" t="s">
        <v>347</v>
      </c>
      <c r="FX4" s="328" t="s">
        <v>348</v>
      </c>
      <c r="FY4" s="328" t="s">
        <v>349</v>
      </c>
      <c r="FZ4" s="328" t="s">
        <v>350</v>
      </c>
      <c r="GA4" s="328" t="s">
        <v>351</v>
      </c>
      <c r="GB4" s="328" t="s">
        <v>352</v>
      </c>
      <c r="GC4" s="328" t="s">
        <v>353</v>
      </c>
      <c r="GD4" s="328" t="s">
        <v>354</v>
      </c>
      <c r="GE4" s="328" t="s">
        <v>355</v>
      </c>
      <c r="GF4" s="328" t="s">
        <v>356</v>
      </c>
      <c r="GG4" s="328" t="s">
        <v>357</v>
      </c>
      <c r="GH4" s="328" t="s">
        <v>358</v>
      </c>
      <c r="GI4" s="328" t="s">
        <v>359</v>
      </c>
      <c r="GJ4" s="328" t="s">
        <v>360</v>
      </c>
      <c r="GK4" s="328" t="s">
        <v>361</v>
      </c>
      <c r="GL4" s="328" t="s">
        <v>362</v>
      </c>
      <c r="GM4" s="328" t="s">
        <v>363</v>
      </c>
      <c r="GN4" s="328" t="s">
        <v>364</v>
      </c>
      <c r="GO4" s="328" t="s">
        <v>365</v>
      </c>
      <c r="GP4" s="328" t="s">
        <v>366</v>
      </c>
      <c r="GQ4" s="328" t="s">
        <v>367</v>
      </c>
      <c r="GR4" s="328" t="s">
        <v>368</v>
      </c>
      <c r="GS4" s="328" t="s">
        <v>369</v>
      </c>
      <c r="GT4" s="328" t="s">
        <v>370</v>
      </c>
      <c r="GU4" s="328" t="s">
        <v>371</v>
      </c>
      <c r="GV4" s="328" t="s">
        <v>372</v>
      </c>
      <c r="GW4" s="328" t="s">
        <v>373</v>
      </c>
      <c r="GX4" s="328" t="s">
        <v>374</v>
      </c>
      <c r="GY4" s="328" t="s">
        <v>375</v>
      </c>
      <c r="GZ4" s="328" t="s">
        <v>376</v>
      </c>
      <c r="HA4" s="328" t="s">
        <v>377</v>
      </c>
      <c r="HB4" s="328" t="s">
        <v>378</v>
      </c>
      <c r="HC4" s="328" t="s">
        <v>379</v>
      </c>
      <c r="HD4" s="328" t="s">
        <v>380</v>
      </c>
      <c r="HE4" s="328" t="s">
        <v>381</v>
      </c>
      <c r="HF4" s="328" t="s">
        <v>382</v>
      </c>
      <c r="HG4" s="328" t="s">
        <v>383</v>
      </c>
      <c r="HH4" s="328" t="s">
        <v>384</v>
      </c>
      <c r="HI4" s="328" t="s">
        <v>385</v>
      </c>
      <c r="HJ4" s="328" t="s">
        <v>386</v>
      </c>
      <c r="HK4" s="328" t="s">
        <v>387</v>
      </c>
      <c r="HL4" s="328" t="s">
        <v>388</v>
      </c>
      <c r="HM4" s="328" t="s">
        <v>389</v>
      </c>
      <c r="HN4" s="328" t="s">
        <v>390</v>
      </c>
      <c r="HO4" s="329" t="s">
        <v>1738</v>
      </c>
      <c r="HP4" s="328" t="s">
        <v>1739</v>
      </c>
      <c r="HQ4" s="328" t="s">
        <v>1740</v>
      </c>
      <c r="HR4" s="328" t="s">
        <v>1741</v>
      </c>
      <c r="HS4" s="328" t="s">
        <v>1742</v>
      </c>
      <c r="HT4" s="328" t="s">
        <v>1743</v>
      </c>
      <c r="HU4" s="328" t="s">
        <v>1744</v>
      </c>
      <c r="HV4" s="328" t="s">
        <v>1745</v>
      </c>
      <c r="HW4" s="328" t="s">
        <v>1746</v>
      </c>
      <c r="HX4" s="329" t="s">
        <v>1765</v>
      </c>
      <c r="HY4" s="328" t="s">
        <v>1766</v>
      </c>
      <c r="HZ4" s="328" t="s">
        <v>1767</v>
      </c>
      <c r="IA4" s="328" t="s">
        <v>1768</v>
      </c>
      <c r="IB4" s="328" t="s">
        <v>1769</v>
      </c>
      <c r="IC4" s="328" t="s">
        <v>1770</v>
      </c>
      <c r="ID4" s="328" t="s">
        <v>1771</v>
      </c>
      <c r="IE4" s="328" t="s">
        <v>1772</v>
      </c>
      <c r="IF4" s="328" t="s">
        <v>1773</v>
      </c>
      <c r="IG4" s="329" t="s">
        <v>1774</v>
      </c>
      <c r="IH4" s="329" t="s">
        <v>1775</v>
      </c>
      <c r="II4" s="329" t="s">
        <v>1776</v>
      </c>
      <c r="IJ4" s="329" t="s">
        <v>1777</v>
      </c>
      <c r="IK4" s="329" t="s">
        <v>1778</v>
      </c>
      <c r="IL4" s="329" t="s">
        <v>1779</v>
      </c>
      <c r="IM4" s="329" t="s">
        <v>1780</v>
      </c>
      <c r="IN4" s="329" t="s">
        <v>1781</v>
      </c>
      <c r="IO4" s="329" t="s">
        <v>1782</v>
      </c>
      <c r="IP4" s="328" t="s">
        <v>391</v>
      </c>
      <c r="IQ4" s="328" t="s">
        <v>392</v>
      </c>
      <c r="IR4" s="328" t="s">
        <v>393</v>
      </c>
      <c r="IS4" s="328" t="s">
        <v>394</v>
      </c>
      <c r="IT4" s="328" t="s">
        <v>395</v>
      </c>
      <c r="IU4" s="328" t="s">
        <v>396</v>
      </c>
      <c r="IV4" s="328" t="s">
        <v>397</v>
      </c>
      <c r="IW4" s="328" t="s">
        <v>398</v>
      </c>
      <c r="IX4" s="328" t="s">
        <v>399</v>
      </c>
      <c r="IY4" s="329" t="s">
        <v>1747</v>
      </c>
      <c r="IZ4" s="328" t="s">
        <v>1748</v>
      </c>
      <c r="JA4" s="328" t="s">
        <v>1749</v>
      </c>
      <c r="JB4" s="328" t="s">
        <v>1750</v>
      </c>
      <c r="JC4" s="328" t="s">
        <v>1751</v>
      </c>
      <c r="JD4" s="328" t="s">
        <v>1752</v>
      </c>
      <c r="JE4" s="328" t="s">
        <v>1753</v>
      </c>
      <c r="JF4" s="328" t="s">
        <v>1754</v>
      </c>
      <c r="JG4" s="328" t="s">
        <v>1755</v>
      </c>
      <c r="JH4" s="329" t="s">
        <v>1756</v>
      </c>
      <c r="JI4" s="328" t="s">
        <v>1757</v>
      </c>
      <c r="JJ4" s="328" t="s">
        <v>1758</v>
      </c>
      <c r="JK4" s="328" t="s">
        <v>1759</v>
      </c>
      <c r="JL4" s="328" t="s">
        <v>1760</v>
      </c>
      <c r="JM4" s="328" t="s">
        <v>1761</v>
      </c>
      <c r="JN4" s="328" t="s">
        <v>1762</v>
      </c>
      <c r="JO4" s="328" t="s">
        <v>1763</v>
      </c>
      <c r="JP4" s="328" t="s">
        <v>1764</v>
      </c>
      <c r="JQ4" s="328" t="s">
        <v>400</v>
      </c>
      <c r="JR4" s="328" t="s">
        <v>401</v>
      </c>
      <c r="JS4" s="328" t="s">
        <v>402</v>
      </c>
      <c r="JT4" s="328" t="s">
        <v>403</v>
      </c>
      <c r="JU4" s="328" t="s">
        <v>404</v>
      </c>
      <c r="JV4" s="328" t="s">
        <v>405</v>
      </c>
      <c r="JW4" s="328" t="s">
        <v>406</v>
      </c>
      <c r="JX4" s="328" t="s">
        <v>407</v>
      </c>
      <c r="JY4" s="328" t="s">
        <v>408</v>
      </c>
      <c r="JZ4" s="328" t="s">
        <v>409</v>
      </c>
      <c r="KA4" s="328" t="s">
        <v>410</v>
      </c>
      <c r="KB4" s="328" t="s">
        <v>411</v>
      </c>
      <c r="KC4" s="328" t="s">
        <v>412</v>
      </c>
      <c r="KD4" s="328" t="s">
        <v>413</v>
      </c>
      <c r="KE4" s="328" t="s">
        <v>414</v>
      </c>
      <c r="KF4" s="328" t="s">
        <v>415</v>
      </c>
      <c r="KG4" s="328" t="s">
        <v>416</v>
      </c>
      <c r="KH4" s="328" t="s">
        <v>417</v>
      </c>
      <c r="KI4" s="328" t="s">
        <v>418</v>
      </c>
      <c r="KJ4" s="328" t="s">
        <v>419</v>
      </c>
      <c r="KK4" s="328" t="s">
        <v>420</v>
      </c>
      <c r="KL4" s="328" t="s">
        <v>421</v>
      </c>
      <c r="KM4" s="328" t="s">
        <v>422</v>
      </c>
      <c r="KN4" s="328" t="s">
        <v>423</v>
      </c>
      <c r="KO4" s="328" t="s">
        <v>424</v>
      </c>
      <c r="KP4" s="328" t="s">
        <v>425</v>
      </c>
      <c r="KQ4" s="328" t="s">
        <v>426</v>
      </c>
      <c r="KR4" s="328" t="s">
        <v>427</v>
      </c>
      <c r="KS4" s="328" t="s">
        <v>428</v>
      </c>
      <c r="KT4" s="328" t="s">
        <v>429</v>
      </c>
      <c r="KU4" s="328" t="s">
        <v>430</v>
      </c>
      <c r="KV4" s="328" t="s">
        <v>431</v>
      </c>
      <c r="KW4" s="328" t="s">
        <v>432</v>
      </c>
      <c r="KX4" s="328" t="s">
        <v>433</v>
      </c>
      <c r="KY4" s="328" t="s">
        <v>434</v>
      </c>
      <c r="KZ4" s="328" t="s">
        <v>435</v>
      </c>
      <c r="LA4" s="328" t="s">
        <v>436</v>
      </c>
      <c r="LB4" s="328" t="s">
        <v>437</v>
      </c>
      <c r="LC4" s="328" t="s">
        <v>438</v>
      </c>
      <c r="LD4" s="328" t="s">
        <v>439</v>
      </c>
      <c r="LE4" s="328" t="s">
        <v>440</v>
      </c>
      <c r="LF4" s="328" t="s">
        <v>441</v>
      </c>
      <c r="LG4" s="328" t="s">
        <v>442</v>
      </c>
      <c r="LH4" s="328" t="s">
        <v>443</v>
      </c>
      <c r="LI4" s="328" t="s">
        <v>444</v>
      </c>
      <c r="LJ4" s="328" t="s">
        <v>445</v>
      </c>
      <c r="LK4" s="328" t="s">
        <v>446</v>
      </c>
      <c r="LL4" s="328" t="s">
        <v>447</v>
      </c>
      <c r="LM4" s="328" t="s">
        <v>448</v>
      </c>
      <c r="LN4" s="328" t="s">
        <v>449</v>
      </c>
      <c r="LO4" s="328" t="s">
        <v>450</v>
      </c>
      <c r="LP4" s="328" t="s">
        <v>451</v>
      </c>
      <c r="LQ4" s="328" t="s">
        <v>452</v>
      </c>
      <c r="LR4" s="328" t="s">
        <v>453</v>
      </c>
      <c r="LS4" s="328" t="s">
        <v>454</v>
      </c>
      <c r="LT4" s="328" t="s">
        <v>455</v>
      </c>
      <c r="LU4" s="328" t="s">
        <v>456</v>
      </c>
      <c r="LV4" s="328" t="s">
        <v>457</v>
      </c>
      <c r="LW4" s="328" t="s">
        <v>458</v>
      </c>
      <c r="LX4" s="328" t="s">
        <v>459</v>
      </c>
      <c r="LY4" s="328" t="s">
        <v>460</v>
      </c>
      <c r="LZ4" s="328" t="s">
        <v>461</v>
      </c>
      <c r="MA4" s="328" t="s">
        <v>462</v>
      </c>
      <c r="MB4" s="328" t="s">
        <v>463</v>
      </c>
      <c r="MC4" s="328" t="s">
        <v>464</v>
      </c>
      <c r="MD4" s="328" t="s">
        <v>465</v>
      </c>
      <c r="ME4" s="328" t="s">
        <v>466</v>
      </c>
      <c r="MF4" s="328" t="s">
        <v>467</v>
      </c>
      <c r="MG4" s="328" t="s">
        <v>468</v>
      </c>
      <c r="MH4" s="328" t="s">
        <v>469</v>
      </c>
      <c r="MI4" s="328" t="s">
        <v>470</v>
      </c>
      <c r="MJ4" s="328" t="s">
        <v>471</v>
      </c>
      <c r="MK4" s="328" t="s">
        <v>472</v>
      </c>
      <c r="ML4" s="328" t="s">
        <v>473</v>
      </c>
      <c r="MM4" s="328" t="s">
        <v>474</v>
      </c>
      <c r="MN4" s="328" t="s">
        <v>475</v>
      </c>
      <c r="MO4" s="328" t="s">
        <v>476</v>
      </c>
      <c r="MP4" s="328" t="s">
        <v>477</v>
      </c>
      <c r="MQ4" s="328" t="s">
        <v>478</v>
      </c>
      <c r="MR4" s="328" t="s">
        <v>479</v>
      </c>
      <c r="MS4" s="328" t="s">
        <v>480</v>
      </c>
      <c r="MT4" s="328" t="s">
        <v>481</v>
      </c>
      <c r="MU4" s="328" t="s">
        <v>482</v>
      </c>
      <c r="MV4" s="328" t="s">
        <v>483</v>
      </c>
      <c r="MW4" s="328" t="s">
        <v>484</v>
      </c>
      <c r="MX4" s="328" t="s">
        <v>485</v>
      </c>
      <c r="MY4" s="328" t="s">
        <v>486</v>
      </c>
      <c r="MZ4" s="328" t="s">
        <v>487</v>
      </c>
      <c r="NA4" s="328" t="s">
        <v>488</v>
      </c>
      <c r="NB4" s="328" t="s">
        <v>489</v>
      </c>
      <c r="NC4" s="328" t="s">
        <v>490</v>
      </c>
      <c r="ND4" s="328" t="s">
        <v>491</v>
      </c>
      <c r="NE4" s="328" t="s">
        <v>492</v>
      </c>
      <c r="NF4" s="328" t="s">
        <v>493</v>
      </c>
      <c r="NG4" s="328" t="s">
        <v>494</v>
      </c>
      <c r="NH4" s="328" t="s">
        <v>495</v>
      </c>
      <c r="NI4" s="328" t="s">
        <v>496</v>
      </c>
      <c r="NJ4" s="328" t="s">
        <v>497</v>
      </c>
      <c r="NK4" s="328" t="s">
        <v>498</v>
      </c>
      <c r="NL4" s="328" t="s">
        <v>499</v>
      </c>
      <c r="NM4" s="328" t="s">
        <v>500</v>
      </c>
      <c r="NN4" s="328" t="s">
        <v>501</v>
      </c>
      <c r="NO4" s="328" t="s">
        <v>502</v>
      </c>
      <c r="NP4" s="328" t="s">
        <v>503</v>
      </c>
      <c r="NQ4" s="328" t="s">
        <v>504</v>
      </c>
      <c r="NR4" s="328" t="s">
        <v>505</v>
      </c>
      <c r="NS4" s="328" t="s">
        <v>506</v>
      </c>
      <c r="NT4" s="328" t="s">
        <v>507</v>
      </c>
      <c r="NU4" s="328" t="s">
        <v>508</v>
      </c>
      <c r="NV4" s="328" t="s">
        <v>509</v>
      </c>
      <c r="NW4" s="328" t="s">
        <v>510</v>
      </c>
      <c r="NX4" s="328" t="s">
        <v>511</v>
      </c>
      <c r="NY4" s="328" t="s">
        <v>512</v>
      </c>
      <c r="NZ4" s="328" t="s">
        <v>513</v>
      </c>
      <c r="OA4" s="328" t="s">
        <v>514</v>
      </c>
      <c r="OB4" s="328" t="s">
        <v>515</v>
      </c>
      <c r="OC4" s="328" t="s">
        <v>516</v>
      </c>
      <c r="OD4" s="328" t="s">
        <v>517</v>
      </c>
      <c r="OE4" s="328" t="s">
        <v>518</v>
      </c>
      <c r="OF4" s="328" t="s">
        <v>519</v>
      </c>
      <c r="OG4" s="328" t="s">
        <v>520</v>
      </c>
      <c r="OH4" s="328" t="s">
        <v>521</v>
      </c>
      <c r="OI4" s="328" t="s">
        <v>522</v>
      </c>
      <c r="OJ4" s="328" t="s">
        <v>523</v>
      </c>
      <c r="OK4" s="328" t="s">
        <v>524</v>
      </c>
      <c r="OL4" s="328" t="s">
        <v>525</v>
      </c>
      <c r="OM4" s="328" t="s">
        <v>526</v>
      </c>
      <c r="ON4" s="328" t="s">
        <v>527</v>
      </c>
      <c r="OO4" s="328" t="s">
        <v>528</v>
      </c>
      <c r="OP4" s="328" t="s">
        <v>529</v>
      </c>
      <c r="OQ4" s="328" t="s">
        <v>530</v>
      </c>
      <c r="OR4" s="328" t="s">
        <v>531</v>
      </c>
      <c r="OS4" s="328" t="s">
        <v>532</v>
      </c>
      <c r="OT4" s="328" t="s">
        <v>533</v>
      </c>
      <c r="OU4" s="328" t="s">
        <v>534</v>
      </c>
      <c r="OV4" s="328" t="s">
        <v>535</v>
      </c>
      <c r="OW4" s="328" t="s">
        <v>536</v>
      </c>
      <c r="OX4" s="328" t="s">
        <v>537</v>
      </c>
      <c r="OY4" s="328" t="s">
        <v>538</v>
      </c>
      <c r="OZ4" s="328" t="s">
        <v>539</v>
      </c>
      <c r="PA4" s="328" t="s">
        <v>540</v>
      </c>
      <c r="PB4" s="328" t="s">
        <v>541</v>
      </c>
      <c r="PC4" s="328" t="s">
        <v>542</v>
      </c>
      <c r="PD4" s="328" t="s">
        <v>543</v>
      </c>
      <c r="PE4" s="328" t="s">
        <v>544</v>
      </c>
      <c r="PF4" s="328" t="s">
        <v>545</v>
      </c>
      <c r="PG4" s="328" t="s">
        <v>546</v>
      </c>
      <c r="PH4" s="328" t="s">
        <v>547</v>
      </c>
      <c r="PI4" s="328" t="s">
        <v>548</v>
      </c>
      <c r="PJ4" s="328" t="s">
        <v>549</v>
      </c>
      <c r="PK4" s="328" t="s">
        <v>550</v>
      </c>
      <c r="PL4" s="328" t="s">
        <v>551</v>
      </c>
      <c r="PM4" s="328" t="s">
        <v>552</v>
      </c>
      <c r="PN4" s="328" t="s">
        <v>553</v>
      </c>
      <c r="PO4" s="328" t="s">
        <v>554</v>
      </c>
      <c r="PP4" s="328" t="s">
        <v>555</v>
      </c>
      <c r="PQ4" s="328" t="s">
        <v>556</v>
      </c>
      <c r="PR4" s="328" t="s">
        <v>557</v>
      </c>
      <c r="PS4" s="328" t="s">
        <v>558</v>
      </c>
      <c r="PT4" s="328" t="s">
        <v>559</v>
      </c>
      <c r="PU4" s="328" t="s">
        <v>560</v>
      </c>
      <c r="PV4" s="328" t="s">
        <v>561</v>
      </c>
      <c r="PW4" s="328" t="s">
        <v>562</v>
      </c>
      <c r="PX4" s="328" t="s">
        <v>563</v>
      </c>
      <c r="PY4" s="328" t="s">
        <v>564</v>
      </c>
      <c r="PZ4" s="328" t="s">
        <v>565</v>
      </c>
      <c r="QA4" s="328" t="s">
        <v>566</v>
      </c>
      <c r="QB4" s="328" t="s">
        <v>567</v>
      </c>
      <c r="QC4" s="328" t="s">
        <v>568</v>
      </c>
      <c r="QD4" s="328" t="s">
        <v>569</v>
      </c>
      <c r="QE4" s="328" t="s">
        <v>570</v>
      </c>
      <c r="QF4" s="328" t="s">
        <v>571</v>
      </c>
      <c r="QG4" s="328" t="s">
        <v>572</v>
      </c>
      <c r="QH4" s="328" t="s">
        <v>573</v>
      </c>
      <c r="QI4" s="328" t="s">
        <v>574</v>
      </c>
      <c r="QJ4" s="328" t="s">
        <v>575</v>
      </c>
      <c r="QK4" s="328" t="s">
        <v>576</v>
      </c>
      <c r="QL4" s="328" t="s">
        <v>577</v>
      </c>
      <c r="QM4" s="328" t="s">
        <v>578</v>
      </c>
      <c r="QN4" s="328" t="s">
        <v>579</v>
      </c>
      <c r="QO4" s="328" t="s">
        <v>580</v>
      </c>
      <c r="QP4" s="328" t="s">
        <v>581</v>
      </c>
      <c r="QQ4" s="328" t="s">
        <v>582</v>
      </c>
      <c r="QR4" s="328" t="s">
        <v>583</v>
      </c>
      <c r="QS4" s="328" t="s">
        <v>584</v>
      </c>
      <c r="QT4" s="328" t="s">
        <v>585</v>
      </c>
      <c r="QU4" s="328" t="s">
        <v>586</v>
      </c>
      <c r="QV4" s="328" t="s">
        <v>587</v>
      </c>
      <c r="QW4" s="328" t="s">
        <v>588</v>
      </c>
      <c r="QX4" s="328" t="s">
        <v>589</v>
      </c>
      <c r="QY4" s="328" t="s">
        <v>590</v>
      </c>
      <c r="QZ4" s="328" t="s">
        <v>591</v>
      </c>
      <c r="RA4" s="328" t="s">
        <v>592</v>
      </c>
      <c r="RB4" s="328" t="s">
        <v>593</v>
      </c>
      <c r="RC4" s="328" t="s">
        <v>594</v>
      </c>
      <c r="RD4" s="328" t="s">
        <v>595</v>
      </c>
      <c r="RE4" s="328" t="s">
        <v>596</v>
      </c>
      <c r="RF4" s="328" t="s">
        <v>597</v>
      </c>
      <c r="RG4" s="328" t="s">
        <v>598</v>
      </c>
      <c r="RH4" s="328" t="s">
        <v>599</v>
      </c>
      <c r="RI4" s="328" t="s">
        <v>600</v>
      </c>
      <c r="RJ4" s="328" t="s">
        <v>601</v>
      </c>
      <c r="RK4" s="328" t="s">
        <v>602</v>
      </c>
      <c r="RL4" s="328" t="s">
        <v>603</v>
      </c>
      <c r="RM4" s="328" t="s">
        <v>604</v>
      </c>
      <c r="RN4" s="328" t="s">
        <v>605</v>
      </c>
      <c r="RO4" s="328" t="s">
        <v>606</v>
      </c>
      <c r="RP4" s="328" t="s">
        <v>607</v>
      </c>
      <c r="RQ4" s="328" t="s">
        <v>608</v>
      </c>
      <c r="RR4" s="328" t="s">
        <v>609</v>
      </c>
      <c r="RS4" s="328" t="s">
        <v>610</v>
      </c>
      <c r="RT4" s="328" t="s">
        <v>611</v>
      </c>
      <c r="RU4" s="328" t="s">
        <v>612</v>
      </c>
      <c r="RV4" s="328" t="s">
        <v>613</v>
      </c>
      <c r="RW4" s="328" t="s">
        <v>614</v>
      </c>
      <c r="RX4" s="328" t="s">
        <v>615</v>
      </c>
      <c r="RY4" s="328" t="s">
        <v>616</v>
      </c>
      <c r="RZ4" s="328" t="s">
        <v>617</v>
      </c>
      <c r="SA4" s="328" t="s">
        <v>618</v>
      </c>
      <c r="SB4" s="328" t="s">
        <v>619</v>
      </c>
      <c r="SC4" s="328" t="s">
        <v>620</v>
      </c>
      <c r="SD4" s="328" t="s">
        <v>621</v>
      </c>
      <c r="SE4" s="328" t="s">
        <v>622</v>
      </c>
      <c r="SF4" s="328" t="s">
        <v>623</v>
      </c>
      <c r="SG4" s="328" t="s">
        <v>624</v>
      </c>
      <c r="SH4" s="328" t="s">
        <v>625</v>
      </c>
      <c r="SI4" s="328" t="s">
        <v>626</v>
      </c>
      <c r="SJ4" s="328" t="s">
        <v>627</v>
      </c>
      <c r="SK4" s="328" t="s">
        <v>628</v>
      </c>
      <c r="SL4" s="328" t="s">
        <v>629</v>
      </c>
      <c r="SM4" s="328" t="s">
        <v>630</v>
      </c>
      <c r="SN4" s="328" t="s">
        <v>631</v>
      </c>
      <c r="SO4" s="328" t="s">
        <v>632</v>
      </c>
      <c r="SP4" s="328" t="s">
        <v>633</v>
      </c>
      <c r="SQ4" s="328" t="s">
        <v>634</v>
      </c>
      <c r="SR4" s="328" t="s">
        <v>635</v>
      </c>
      <c r="SS4" s="328" t="s">
        <v>636</v>
      </c>
      <c r="ST4" s="328" t="s">
        <v>637</v>
      </c>
      <c r="SU4" s="328" t="s">
        <v>638</v>
      </c>
      <c r="SV4" s="328" t="s">
        <v>639</v>
      </c>
      <c r="SW4" s="328" t="s">
        <v>640</v>
      </c>
      <c r="SX4" s="328" t="s">
        <v>641</v>
      </c>
      <c r="SY4" s="328" t="s">
        <v>642</v>
      </c>
      <c r="SZ4" s="328" t="s">
        <v>643</v>
      </c>
      <c r="TA4" s="328" t="s">
        <v>644</v>
      </c>
      <c r="TB4" s="328" t="s">
        <v>645</v>
      </c>
      <c r="TC4" s="328" t="s">
        <v>646</v>
      </c>
      <c r="TD4" s="328" t="s">
        <v>647</v>
      </c>
      <c r="TE4" s="328" t="s">
        <v>648</v>
      </c>
      <c r="TF4" s="328" t="s">
        <v>843</v>
      </c>
      <c r="TG4" s="328" t="s">
        <v>649</v>
      </c>
      <c r="TH4" s="328" t="s">
        <v>650</v>
      </c>
      <c r="TI4" s="328" t="s">
        <v>651</v>
      </c>
      <c r="TJ4" s="328" t="s">
        <v>652</v>
      </c>
      <c r="TK4" s="328" t="s">
        <v>653</v>
      </c>
      <c r="TL4" s="328" t="s">
        <v>654</v>
      </c>
      <c r="TM4" s="328" t="s">
        <v>655</v>
      </c>
      <c r="TN4" s="328" t="s">
        <v>656</v>
      </c>
      <c r="TO4" s="328" t="s">
        <v>657</v>
      </c>
      <c r="TP4" s="328" t="s">
        <v>658</v>
      </c>
      <c r="TQ4" s="328" t="s">
        <v>659</v>
      </c>
      <c r="TR4" s="328" t="s">
        <v>660</v>
      </c>
      <c r="TS4" s="328" t="s">
        <v>661</v>
      </c>
      <c r="TT4" s="328" t="s">
        <v>662</v>
      </c>
      <c r="TU4" s="328" t="s">
        <v>663</v>
      </c>
      <c r="TV4" s="328" t="s">
        <v>664</v>
      </c>
      <c r="TW4" s="328" t="s">
        <v>665</v>
      </c>
      <c r="TX4" s="328" t="s">
        <v>666</v>
      </c>
      <c r="TY4" s="328" t="s">
        <v>667</v>
      </c>
      <c r="TZ4" s="328" t="s">
        <v>668</v>
      </c>
      <c r="UA4" s="328" t="s">
        <v>669</v>
      </c>
      <c r="UB4" s="328" t="s">
        <v>670</v>
      </c>
      <c r="UC4" s="328" t="s">
        <v>671</v>
      </c>
      <c r="UD4" s="328" t="s">
        <v>672</v>
      </c>
      <c r="UE4" s="328" t="s">
        <v>673</v>
      </c>
      <c r="UF4" s="328" t="s">
        <v>674</v>
      </c>
      <c r="UG4" s="328" t="s">
        <v>675</v>
      </c>
      <c r="UH4" s="328" t="s">
        <v>676</v>
      </c>
      <c r="UI4" s="328" t="s">
        <v>677</v>
      </c>
      <c r="UJ4" s="328" t="s">
        <v>678</v>
      </c>
      <c r="UK4" s="328" t="s">
        <v>679</v>
      </c>
      <c r="UL4" s="328" t="s">
        <v>680</v>
      </c>
      <c r="UM4" s="328" t="s">
        <v>681</v>
      </c>
      <c r="UN4" s="328" t="s">
        <v>682</v>
      </c>
      <c r="UO4" s="328" t="s">
        <v>683</v>
      </c>
      <c r="UP4" s="328" t="s">
        <v>684</v>
      </c>
      <c r="UQ4" s="328" t="s">
        <v>685</v>
      </c>
      <c r="UR4" s="328" t="s">
        <v>748</v>
      </c>
      <c r="US4" s="328" t="s">
        <v>749</v>
      </c>
      <c r="UT4" s="328" t="s">
        <v>686</v>
      </c>
      <c r="UU4" s="328" t="s">
        <v>687</v>
      </c>
      <c r="UV4" s="328" t="s">
        <v>688</v>
      </c>
      <c r="UW4" s="328" t="s">
        <v>689</v>
      </c>
      <c r="UX4" s="328" t="s">
        <v>690</v>
      </c>
      <c r="UY4" s="328" t="s">
        <v>842</v>
      </c>
      <c r="UZ4" s="328" t="s">
        <v>840</v>
      </c>
      <c r="VA4" s="328" t="s">
        <v>841</v>
      </c>
      <c r="VB4" s="330" t="s">
        <v>133</v>
      </c>
      <c r="VC4" s="330" t="s">
        <v>803</v>
      </c>
      <c r="VD4" s="330" t="s">
        <v>176</v>
      </c>
      <c r="VE4" s="330" t="s">
        <v>740</v>
      </c>
      <c r="VF4" s="330" t="s">
        <v>177</v>
      </c>
      <c r="VG4" s="330" t="s">
        <v>178</v>
      </c>
      <c r="VH4" s="331" t="s">
        <v>1866</v>
      </c>
      <c r="VI4" s="331" t="s">
        <v>1867</v>
      </c>
      <c r="VJ4" s="331" t="s">
        <v>1868</v>
      </c>
      <c r="VK4" s="331" t="s">
        <v>1869</v>
      </c>
      <c r="VL4" s="331" t="s">
        <v>1870</v>
      </c>
      <c r="VM4" s="331" t="s">
        <v>1871</v>
      </c>
      <c r="VN4" s="331" t="s">
        <v>1872</v>
      </c>
      <c r="VO4" s="331" t="s">
        <v>1873</v>
      </c>
      <c r="VP4" s="331" t="s">
        <v>1874</v>
      </c>
      <c r="VQ4" s="331" t="s">
        <v>1875</v>
      </c>
      <c r="VR4" s="331" t="s">
        <v>1876</v>
      </c>
      <c r="VS4" s="331" t="s">
        <v>1877</v>
      </c>
    </row>
    <row r="5" spans="1:591" s="344" customFormat="1" ht="27" customHeight="1" x14ac:dyDescent="0.55000000000000004">
      <c r="A5" s="333" t="s">
        <v>86</v>
      </c>
      <c r="B5" s="334" t="s">
        <v>833</v>
      </c>
      <c r="C5" s="334" t="s">
        <v>21</v>
      </c>
      <c r="D5" s="334">
        <v>320</v>
      </c>
      <c r="E5" s="334" t="s">
        <v>1623</v>
      </c>
      <c r="F5" s="335">
        <v>3541</v>
      </c>
      <c r="G5" s="336">
        <v>44783182</v>
      </c>
      <c r="H5" s="336">
        <v>0</v>
      </c>
      <c r="I5" s="336">
        <v>0</v>
      </c>
      <c r="J5" s="336">
        <v>0</v>
      </c>
      <c r="K5" s="336">
        <v>0</v>
      </c>
      <c r="L5" s="336">
        <v>0</v>
      </c>
      <c r="M5" s="336">
        <v>0</v>
      </c>
      <c r="N5" s="336">
        <v>0</v>
      </c>
      <c r="O5" s="336">
        <v>0</v>
      </c>
      <c r="P5" s="336">
        <v>7519256</v>
      </c>
      <c r="Q5" s="336">
        <v>0</v>
      </c>
      <c r="R5" s="336">
        <v>0</v>
      </c>
      <c r="S5" s="336">
        <v>877292</v>
      </c>
      <c r="T5" s="336">
        <v>0</v>
      </c>
      <c r="U5" s="336">
        <v>0</v>
      </c>
      <c r="V5" s="336">
        <v>0</v>
      </c>
      <c r="W5" s="336">
        <v>0</v>
      </c>
      <c r="X5" s="336">
        <v>0</v>
      </c>
      <c r="Y5" s="336">
        <v>6997943</v>
      </c>
      <c r="Z5" s="336">
        <v>0</v>
      </c>
      <c r="AA5" s="336">
        <v>0</v>
      </c>
      <c r="AB5" s="336">
        <v>0</v>
      </c>
      <c r="AC5" s="336">
        <v>0</v>
      </c>
      <c r="AD5" s="336">
        <v>0</v>
      </c>
      <c r="AE5" s="336">
        <v>0</v>
      </c>
      <c r="AF5" s="336">
        <v>0</v>
      </c>
      <c r="AG5" s="336">
        <v>0</v>
      </c>
      <c r="AH5" s="336">
        <v>0</v>
      </c>
      <c r="AI5" s="336">
        <v>0</v>
      </c>
      <c r="AJ5" s="336">
        <v>0</v>
      </c>
      <c r="AK5" s="336">
        <v>0</v>
      </c>
      <c r="AL5" s="336">
        <v>0</v>
      </c>
      <c r="AM5" s="336">
        <v>0</v>
      </c>
      <c r="AN5" s="336">
        <v>0</v>
      </c>
      <c r="AO5" s="336">
        <v>0</v>
      </c>
      <c r="AP5" s="336">
        <v>0</v>
      </c>
      <c r="AQ5" s="336">
        <v>-3322620</v>
      </c>
      <c r="AR5" s="336">
        <v>0</v>
      </c>
      <c r="AS5" s="336">
        <v>0</v>
      </c>
      <c r="AT5" s="336">
        <v>0</v>
      </c>
      <c r="AU5" s="336">
        <v>0</v>
      </c>
      <c r="AV5" s="336">
        <v>0</v>
      </c>
      <c r="AW5" s="336">
        <v>0</v>
      </c>
      <c r="AX5" s="336">
        <v>0</v>
      </c>
      <c r="AY5" s="336">
        <v>0</v>
      </c>
      <c r="AZ5" s="336">
        <v>-1954680</v>
      </c>
      <c r="BA5" s="336">
        <v>0</v>
      </c>
      <c r="BB5" s="336">
        <v>0</v>
      </c>
      <c r="BC5" s="336">
        <v>0</v>
      </c>
      <c r="BD5" s="336">
        <v>0</v>
      </c>
      <c r="BE5" s="336">
        <v>0</v>
      </c>
      <c r="BF5" s="336">
        <v>0</v>
      </c>
      <c r="BG5" s="336">
        <v>0</v>
      </c>
      <c r="BH5" s="336">
        <v>0</v>
      </c>
      <c r="BI5" s="336">
        <v>0</v>
      </c>
      <c r="BJ5" s="336">
        <v>0</v>
      </c>
      <c r="BK5" s="336">
        <v>0</v>
      </c>
      <c r="BL5" s="336">
        <v>0</v>
      </c>
      <c r="BM5" s="336">
        <v>0</v>
      </c>
      <c r="BN5" s="336">
        <v>0</v>
      </c>
      <c r="BO5" s="336">
        <v>0</v>
      </c>
      <c r="BP5" s="336">
        <v>0</v>
      </c>
      <c r="BQ5" s="336">
        <v>0</v>
      </c>
      <c r="BR5" s="336">
        <v>0</v>
      </c>
      <c r="BS5" s="336">
        <v>0</v>
      </c>
      <c r="BT5" s="336">
        <v>0</v>
      </c>
      <c r="BU5" s="336">
        <v>0</v>
      </c>
      <c r="BV5" s="336">
        <v>0</v>
      </c>
      <c r="BW5" s="336">
        <v>0</v>
      </c>
      <c r="BX5" s="336">
        <v>0</v>
      </c>
      <c r="BY5" s="336">
        <v>0</v>
      </c>
      <c r="BZ5" s="336">
        <v>0</v>
      </c>
      <c r="CA5" s="336">
        <v>14413866</v>
      </c>
      <c r="CB5" s="336">
        <v>32430034</v>
      </c>
      <c r="CC5" s="336">
        <v>0</v>
      </c>
      <c r="CD5" s="336">
        <v>0</v>
      </c>
      <c r="CE5" s="336">
        <v>0</v>
      </c>
      <c r="CF5" s="336">
        <v>0</v>
      </c>
      <c r="CG5" s="336">
        <v>0</v>
      </c>
      <c r="CH5" s="336">
        <v>0</v>
      </c>
      <c r="CI5" s="336">
        <v>0</v>
      </c>
      <c r="CJ5" s="336">
        <v>0</v>
      </c>
      <c r="CK5" s="336">
        <v>0</v>
      </c>
      <c r="CL5" s="336">
        <v>0</v>
      </c>
      <c r="CM5" s="336">
        <v>0</v>
      </c>
      <c r="CN5" s="336">
        <v>0</v>
      </c>
      <c r="CO5" s="336">
        <v>0</v>
      </c>
      <c r="CP5" s="336">
        <v>0</v>
      </c>
      <c r="CQ5" s="336">
        <v>0</v>
      </c>
      <c r="CR5" s="336">
        <v>0</v>
      </c>
      <c r="CS5" s="336">
        <v>0</v>
      </c>
      <c r="CT5" s="336">
        <v>0</v>
      </c>
      <c r="CU5" s="336">
        <v>0</v>
      </c>
      <c r="CV5" s="336">
        <v>0</v>
      </c>
      <c r="CW5" s="336">
        <v>0</v>
      </c>
      <c r="CX5" s="336">
        <v>0</v>
      </c>
      <c r="CY5" s="336">
        <v>0</v>
      </c>
      <c r="CZ5" s="336">
        <v>0</v>
      </c>
      <c r="DA5" s="336">
        <v>0</v>
      </c>
      <c r="DB5" s="336">
        <v>-873567</v>
      </c>
      <c r="DC5" s="336">
        <v>-7156328</v>
      </c>
      <c r="DD5" s="336">
        <v>0</v>
      </c>
      <c r="DE5" s="336">
        <v>0</v>
      </c>
      <c r="DF5" s="336">
        <v>0</v>
      </c>
      <c r="DG5" s="336">
        <v>0</v>
      </c>
      <c r="DH5" s="336">
        <v>0</v>
      </c>
      <c r="DI5" s="336">
        <v>0</v>
      </c>
      <c r="DJ5" s="336">
        <v>0</v>
      </c>
      <c r="DK5" s="336">
        <v>-217150</v>
      </c>
      <c r="DL5" s="336">
        <v>-69967</v>
      </c>
      <c r="DM5" s="336">
        <v>0</v>
      </c>
      <c r="DN5" s="336">
        <v>0</v>
      </c>
      <c r="DO5" s="336">
        <v>0</v>
      </c>
      <c r="DP5" s="336">
        <v>0</v>
      </c>
      <c r="DQ5" s="336">
        <v>0</v>
      </c>
      <c r="DR5" s="336">
        <v>0</v>
      </c>
      <c r="DS5" s="336">
        <v>0</v>
      </c>
      <c r="DT5" s="336">
        <v>-4432134</v>
      </c>
      <c r="DU5" s="336">
        <v>-8384380</v>
      </c>
      <c r="DV5" s="336">
        <v>0</v>
      </c>
      <c r="DW5" s="336">
        <v>0</v>
      </c>
      <c r="DX5" s="336">
        <v>0</v>
      </c>
      <c r="DY5" s="336">
        <v>0</v>
      </c>
      <c r="DZ5" s="336">
        <v>0</v>
      </c>
      <c r="EA5" s="336">
        <v>0</v>
      </c>
      <c r="EB5" s="336">
        <v>0</v>
      </c>
      <c r="EC5" s="336">
        <v>0</v>
      </c>
      <c r="ED5" s="336">
        <v>0</v>
      </c>
      <c r="EE5" s="336">
        <v>0</v>
      </c>
      <c r="EF5" s="336">
        <v>0</v>
      </c>
      <c r="EG5" s="336">
        <v>0</v>
      </c>
      <c r="EH5" s="336">
        <v>0</v>
      </c>
      <c r="EI5" s="336">
        <v>0</v>
      </c>
      <c r="EJ5" s="336">
        <v>0</v>
      </c>
      <c r="EK5" s="336">
        <v>0</v>
      </c>
      <c r="EL5" s="336">
        <v>0</v>
      </c>
      <c r="EM5" s="336">
        <v>0</v>
      </c>
      <c r="EN5" s="336">
        <v>0</v>
      </c>
      <c r="EO5" s="336">
        <v>0</v>
      </c>
      <c r="EP5" s="336">
        <v>0</v>
      </c>
      <c r="EQ5" s="336">
        <v>0</v>
      </c>
      <c r="ER5" s="336">
        <v>0</v>
      </c>
      <c r="ES5" s="336">
        <v>0</v>
      </c>
      <c r="ET5" s="336">
        <v>0</v>
      </c>
      <c r="EU5" s="336">
        <v>0</v>
      </c>
      <c r="EV5" s="336">
        <v>0</v>
      </c>
      <c r="EW5" s="336">
        <v>0</v>
      </c>
      <c r="EX5" s="336">
        <v>0</v>
      </c>
      <c r="EY5" s="336">
        <v>0</v>
      </c>
      <c r="EZ5" s="336">
        <v>0</v>
      </c>
      <c r="FA5" s="336">
        <v>0</v>
      </c>
      <c r="FB5" s="336">
        <v>0</v>
      </c>
      <c r="FC5" s="336">
        <v>0</v>
      </c>
      <c r="FD5" s="336">
        <v>0</v>
      </c>
      <c r="FE5" s="336">
        <v>0</v>
      </c>
      <c r="FF5" s="336">
        <v>0</v>
      </c>
      <c r="FG5" s="336">
        <v>0</v>
      </c>
      <c r="FH5" s="336">
        <v>0</v>
      </c>
      <c r="FI5" s="336">
        <v>0</v>
      </c>
      <c r="FJ5" s="336">
        <v>0</v>
      </c>
      <c r="FK5" s="336">
        <v>0</v>
      </c>
      <c r="FL5" s="336">
        <v>0</v>
      </c>
      <c r="FM5" s="336">
        <v>0</v>
      </c>
      <c r="FN5" s="336">
        <v>27132822</v>
      </c>
      <c r="FO5" s="336">
        <v>11922091</v>
      </c>
      <c r="FP5" s="336">
        <v>0</v>
      </c>
      <c r="FQ5" s="336">
        <v>0</v>
      </c>
      <c r="FR5" s="336">
        <v>0</v>
      </c>
      <c r="FS5" s="336">
        <v>0</v>
      </c>
      <c r="FT5" s="336">
        <v>0</v>
      </c>
      <c r="FU5" s="336">
        <v>0</v>
      </c>
      <c r="FV5" s="336">
        <v>0</v>
      </c>
      <c r="FW5" s="336">
        <v>0</v>
      </c>
      <c r="FX5" s="336">
        <v>0</v>
      </c>
      <c r="FY5" s="336">
        <v>0</v>
      </c>
      <c r="FZ5" s="336">
        <v>0</v>
      </c>
      <c r="GA5" s="336">
        <v>0</v>
      </c>
      <c r="GB5" s="336">
        <v>0</v>
      </c>
      <c r="GC5" s="336">
        <v>0</v>
      </c>
      <c r="GD5" s="336">
        <v>0</v>
      </c>
      <c r="GE5" s="336">
        <v>0</v>
      </c>
      <c r="GF5" s="336">
        <v>0</v>
      </c>
      <c r="GG5" s="336">
        <v>0</v>
      </c>
      <c r="GH5" s="336">
        <v>0</v>
      </c>
      <c r="GI5" s="336">
        <v>0</v>
      </c>
      <c r="GJ5" s="336">
        <v>0</v>
      </c>
      <c r="GK5" s="336">
        <v>0</v>
      </c>
      <c r="GL5" s="336">
        <v>0</v>
      </c>
      <c r="GM5" s="336">
        <v>0</v>
      </c>
      <c r="GN5" s="336">
        <v>0</v>
      </c>
      <c r="GO5" s="336">
        <v>-5398757</v>
      </c>
      <c r="GP5" s="336">
        <v>-1535784</v>
      </c>
      <c r="GQ5" s="336">
        <v>0</v>
      </c>
      <c r="GR5" s="336">
        <v>0</v>
      </c>
      <c r="GS5" s="336">
        <v>0</v>
      </c>
      <c r="GT5" s="336">
        <v>0</v>
      </c>
      <c r="GU5" s="336">
        <v>0</v>
      </c>
      <c r="GV5" s="336">
        <v>0</v>
      </c>
      <c r="GW5" s="336">
        <v>0</v>
      </c>
      <c r="GX5" s="336">
        <v>-37993</v>
      </c>
      <c r="GY5" s="336">
        <v>-32496</v>
      </c>
      <c r="GZ5" s="336">
        <v>0</v>
      </c>
      <c r="HA5" s="336">
        <v>0</v>
      </c>
      <c r="HB5" s="336">
        <v>0</v>
      </c>
      <c r="HC5" s="336">
        <v>0</v>
      </c>
      <c r="HD5" s="336">
        <v>0</v>
      </c>
      <c r="HE5" s="336">
        <v>0</v>
      </c>
      <c r="HF5" s="336">
        <v>0</v>
      </c>
      <c r="HG5" s="336">
        <v>-7217505</v>
      </c>
      <c r="HH5" s="336">
        <v>-3444342</v>
      </c>
      <c r="HI5" s="336">
        <v>0</v>
      </c>
      <c r="HJ5" s="336">
        <v>0</v>
      </c>
      <c r="HK5" s="336">
        <v>0</v>
      </c>
      <c r="HL5" s="336">
        <v>0</v>
      </c>
      <c r="HM5" s="336">
        <v>0</v>
      </c>
      <c r="HN5" s="336">
        <v>0</v>
      </c>
      <c r="HO5" s="336">
        <v>0</v>
      </c>
      <c r="HP5" s="336">
        <v>0</v>
      </c>
      <c r="HQ5" s="336">
        <v>0</v>
      </c>
      <c r="HR5" s="336">
        <v>19022141</v>
      </c>
      <c r="HS5" s="336">
        <v>0</v>
      </c>
      <c r="HT5" s="336">
        <v>0</v>
      </c>
      <c r="HU5" s="336">
        <v>0</v>
      </c>
      <c r="HV5" s="336">
        <v>0</v>
      </c>
      <c r="HW5" s="336">
        <v>0</v>
      </c>
      <c r="HX5" s="336">
        <v>0</v>
      </c>
      <c r="HY5" s="336">
        <v>0</v>
      </c>
      <c r="HZ5" s="336">
        <v>0</v>
      </c>
      <c r="IA5" s="336">
        <v>0</v>
      </c>
      <c r="IB5" s="336">
        <v>0</v>
      </c>
      <c r="IC5" s="336">
        <v>0</v>
      </c>
      <c r="ID5" s="336">
        <v>0</v>
      </c>
      <c r="IE5" s="336">
        <v>0</v>
      </c>
      <c r="IF5" s="336">
        <v>0</v>
      </c>
      <c r="IG5" s="336">
        <v>0</v>
      </c>
      <c r="IH5" s="336">
        <v>0</v>
      </c>
      <c r="II5" s="336">
        <v>0</v>
      </c>
      <c r="IJ5" s="336">
        <v>0</v>
      </c>
      <c r="IK5" s="336">
        <v>0</v>
      </c>
      <c r="IL5" s="336">
        <v>0</v>
      </c>
      <c r="IM5" s="336">
        <v>0</v>
      </c>
      <c r="IN5" s="336">
        <v>0</v>
      </c>
      <c r="IO5" s="336">
        <v>0</v>
      </c>
      <c r="IP5" s="336">
        <v>416781</v>
      </c>
      <c r="IQ5" s="336">
        <v>1552186</v>
      </c>
      <c r="IR5" s="336">
        <v>15509</v>
      </c>
      <c r="IS5" s="336">
        <v>14020664</v>
      </c>
      <c r="IT5" s="336">
        <v>10447</v>
      </c>
      <c r="IU5" s="336">
        <v>-116632</v>
      </c>
      <c r="IV5" s="336">
        <v>0</v>
      </c>
      <c r="IW5" s="336">
        <v>0</v>
      </c>
      <c r="IX5" s="336">
        <v>0</v>
      </c>
      <c r="IY5" s="336">
        <v>0</v>
      </c>
      <c r="IZ5" s="336">
        <v>0</v>
      </c>
      <c r="JA5" s="336">
        <v>0</v>
      </c>
      <c r="JB5" s="336">
        <v>0</v>
      </c>
      <c r="JC5" s="336">
        <v>0</v>
      </c>
      <c r="JD5" s="336">
        <v>0</v>
      </c>
      <c r="JE5" s="336">
        <v>0</v>
      </c>
      <c r="JF5" s="336">
        <v>0</v>
      </c>
      <c r="JG5" s="336">
        <v>0</v>
      </c>
      <c r="JH5" s="336">
        <v>0</v>
      </c>
      <c r="JI5" s="336">
        <v>20765</v>
      </c>
      <c r="JJ5" s="336">
        <v>0</v>
      </c>
      <c r="JK5" s="336">
        <v>14481437</v>
      </c>
      <c r="JL5" s="336">
        <v>0</v>
      </c>
      <c r="JM5" s="336">
        <v>4093916</v>
      </c>
      <c r="JN5" s="336">
        <v>59900</v>
      </c>
      <c r="JO5" s="336">
        <v>0</v>
      </c>
      <c r="JP5" s="336">
        <v>0</v>
      </c>
      <c r="JQ5" s="336">
        <v>157776</v>
      </c>
      <c r="JR5" s="336">
        <v>930910</v>
      </c>
      <c r="JS5" s="336">
        <v>0</v>
      </c>
      <c r="JT5" s="336">
        <v>23164</v>
      </c>
      <c r="JU5" s="336">
        <v>0</v>
      </c>
      <c r="JV5" s="336">
        <v>0</v>
      </c>
      <c r="JW5" s="336">
        <v>0</v>
      </c>
      <c r="JX5" s="336">
        <v>0</v>
      </c>
      <c r="JY5" s="336">
        <v>0</v>
      </c>
      <c r="JZ5" s="336">
        <v>0</v>
      </c>
      <c r="KA5" s="336">
        <v>0</v>
      </c>
      <c r="KB5" s="336">
        <v>12403749</v>
      </c>
      <c r="KC5" s="336">
        <v>0</v>
      </c>
      <c r="KD5" s="336">
        <v>0</v>
      </c>
      <c r="KE5" s="336">
        <v>0</v>
      </c>
      <c r="KF5" s="336">
        <v>0</v>
      </c>
      <c r="KG5" s="336">
        <v>0</v>
      </c>
      <c r="KH5" s="336">
        <v>0</v>
      </c>
      <c r="KI5" s="336">
        <v>1648484</v>
      </c>
      <c r="KJ5" s="336">
        <v>1028593</v>
      </c>
      <c r="KK5" s="336">
        <v>673854</v>
      </c>
      <c r="KL5" s="336">
        <v>9868410</v>
      </c>
      <c r="KM5" s="336">
        <v>5670</v>
      </c>
      <c r="KN5" s="336">
        <v>1000000</v>
      </c>
      <c r="KO5" s="336">
        <v>0</v>
      </c>
      <c r="KP5" s="336">
        <v>0</v>
      </c>
      <c r="KQ5" s="336">
        <v>972574</v>
      </c>
      <c r="KR5" s="336">
        <v>36134479</v>
      </c>
      <c r="KS5" s="336">
        <v>14552483</v>
      </c>
      <c r="KT5" s="336">
        <v>0</v>
      </c>
      <c r="KU5" s="336">
        <v>2940335</v>
      </c>
      <c r="KV5" s="336">
        <v>0</v>
      </c>
      <c r="KW5" s="336">
        <v>0</v>
      </c>
      <c r="KX5" s="336">
        <v>0</v>
      </c>
      <c r="KY5" s="336">
        <v>0</v>
      </c>
      <c r="KZ5" s="336">
        <v>0</v>
      </c>
      <c r="LA5" s="336">
        <v>414993</v>
      </c>
      <c r="LB5" s="336">
        <v>92952</v>
      </c>
      <c r="LC5" s="336">
        <v>0</v>
      </c>
      <c r="LD5" s="336">
        <v>460523</v>
      </c>
      <c r="LE5" s="336">
        <v>0</v>
      </c>
      <c r="LF5" s="336">
        <v>0</v>
      </c>
      <c r="LG5" s="336">
        <v>0</v>
      </c>
      <c r="LH5" s="336">
        <v>0</v>
      </c>
      <c r="LI5" s="336">
        <v>0</v>
      </c>
      <c r="LJ5" s="336">
        <v>178030</v>
      </c>
      <c r="LK5" s="336">
        <v>532640</v>
      </c>
      <c r="LL5" s="336">
        <v>0</v>
      </c>
      <c r="LM5" s="336">
        <v>6137303</v>
      </c>
      <c r="LN5" s="336">
        <v>0</v>
      </c>
      <c r="LO5" s="336">
        <v>0</v>
      </c>
      <c r="LP5" s="336">
        <v>0</v>
      </c>
      <c r="LQ5" s="336">
        <v>0</v>
      </c>
      <c r="LR5" s="336">
        <v>0</v>
      </c>
      <c r="LS5" s="336">
        <v>0</v>
      </c>
      <c r="LT5" s="336">
        <v>0</v>
      </c>
      <c r="LU5" s="336">
        <v>0</v>
      </c>
      <c r="LV5" s="336">
        <v>0</v>
      </c>
      <c r="LW5" s="336">
        <v>0</v>
      </c>
      <c r="LX5" s="336">
        <v>0</v>
      </c>
      <c r="LY5" s="336">
        <v>0</v>
      </c>
      <c r="LZ5" s="336">
        <v>0</v>
      </c>
      <c r="MA5" s="336">
        <v>0</v>
      </c>
      <c r="MB5" s="336">
        <v>4364175</v>
      </c>
      <c r="MC5" s="336">
        <v>3558754</v>
      </c>
      <c r="MD5" s="336">
        <v>0</v>
      </c>
      <c r="ME5" s="336">
        <v>59281</v>
      </c>
      <c r="MF5" s="336">
        <v>0</v>
      </c>
      <c r="MG5" s="336">
        <v>0</v>
      </c>
      <c r="MH5" s="336">
        <v>0</v>
      </c>
      <c r="MI5" s="336">
        <v>0</v>
      </c>
      <c r="MJ5" s="336">
        <v>0</v>
      </c>
      <c r="MK5" s="336">
        <v>2475040</v>
      </c>
      <c r="ML5" s="336">
        <v>7533269</v>
      </c>
      <c r="MM5" s="336">
        <v>0</v>
      </c>
      <c r="MN5" s="336">
        <v>914118</v>
      </c>
      <c r="MO5" s="336">
        <v>0</v>
      </c>
      <c r="MP5" s="336">
        <v>0</v>
      </c>
      <c r="MQ5" s="336">
        <v>0</v>
      </c>
      <c r="MR5" s="336">
        <v>0</v>
      </c>
      <c r="MS5" s="336">
        <v>0</v>
      </c>
      <c r="MT5" s="336">
        <v>6801500</v>
      </c>
      <c r="MU5" s="336">
        <v>11132531</v>
      </c>
      <c r="MV5" s="336">
        <v>0</v>
      </c>
      <c r="MW5" s="336">
        <v>1897048</v>
      </c>
      <c r="MX5" s="336">
        <v>0</v>
      </c>
      <c r="MY5" s="336">
        <v>0</v>
      </c>
      <c r="MZ5" s="336">
        <v>0</v>
      </c>
      <c r="NA5" s="336">
        <v>0</v>
      </c>
      <c r="NB5" s="336">
        <v>0</v>
      </c>
      <c r="NC5" s="336">
        <v>2669172</v>
      </c>
      <c r="ND5" s="336">
        <v>4640068</v>
      </c>
      <c r="NE5" s="336">
        <v>0</v>
      </c>
      <c r="NF5" s="336">
        <v>10489</v>
      </c>
      <c r="NG5" s="336">
        <v>0</v>
      </c>
      <c r="NH5" s="336">
        <v>0</v>
      </c>
      <c r="NI5" s="336">
        <v>0</v>
      </c>
      <c r="NJ5" s="336">
        <v>0</v>
      </c>
      <c r="NK5" s="336">
        <v>0</v>
      </c>
      <c r="NL5" s="336">
        <v>7480041</v>
      </c>
      <c r="NM5" s="336">
        <v>5781552</v>
      </c>
      <c r="NN5" s="336">
        <v>3120054</v>
      </c>
      <c r="NO5" s="336">
        <v>-4148103</v>
      </c>
      <c r="NP5" s="336">
        <v>0</v>
      </c>
      <c r="NQ5" s="336">
        <v>0</v>
      </c>
      <c r="NR5" s="336">
        <v>0</v>
      </c>
      <c r="NS5" s="336">
        <v>0</v>
      </c>
      <c r="NT5" s="336">
        <v>0</v>
      </c>
      <c r="NU5" s="336">
        <v>0</v>
      </c>
      <c r="NV5" s="336">
        <v>0</v>
      </c>
      <c r="NW5" s="336">
        <v>21575056</v>
      </c>
      <c r="NX5" s="336">
        <v>0</v>
      </c>
      <c r="NY5" s="336">
        <v>0</v>
      </c>
      <c r="NZ5" s="336">
        <v>0</v>
      </c>
      <c r="OA5" s="336">
        <v>0</v>
      </c>
      <c r="OB5" s="336">
        <v>0</v>
      </c>
      <c r="OC5" s="336">
        <v>0</v>
      </c>
      <c r="OD5" s="336">
        <v>994865</v>
      </c>
      <c r="OE5" s="336">
        <v>534963</v>
      </c>
      <c r="OF5" s="336">
        <v>229948</v>
      </c>
      <c r="OG5" s="336">
        <v>435865</v>
      </c>
      <c r="OH5" s="336">
        <v>0</v>
      </c>
      <c r="OI5" s="336">
        <v>0</v>
      </c>
      <c r="OJ5" s="336">
        <v>0</v>
      </c>
      <c r="OK5" s="336">
        <v>0</v>
      </c>
      <c r="OL5" s="336">
        <v>0</v>
      </c>
      <c r="OM5" s="336">
        <v>10309</v>
      </c>
      <c r="ON5" s="336">
        <v>424549</v>
      </c>
      <c r="OO5" s="336">
        <v>259886</v>
      </c>
      <c r="OP5" s="336">
        <v>144243</v>
      </c>
      <c r="OQ5" s="336">
        <v>31</v>
      </c>
      <c r="OR5" s="336">
        <v>70945</v>
      </c>
      <c r="OS5" s="336">
        <v>6796726</v>
      </c>
      <c r="OT5" s="336">
        <v>0</v>
      </c>
      <c r="OU5" s="336">
        <v>0</v>
      </c>
      <c r="OV5" s="336">
        <v>0</v>
      </c>
      <c r="OW5" s="336">
        <v>0</v>
      </c>
      <c r="OX5" s="336">
        <v>0</v>
      </c>
      <c r="OY5" s="336">
        <v>0</v>
      </c>
      <c r="OZ5" s="336">
        <v>0</v>
      </c>
      <c r="PA5" s="336">
        <v>0</v>
      </c>
      <c r="PB5" s="336">
        <v>-27193435</v>
      </c>
      <c r="PC5" s="336">
        <v>0</v>
      </c>
      <c r="PD5" s="336">
        <v>0</v>
      </c>
      <c r="PE5" s="336">
        <v>-3502183</v>
      </c>
      <c r="PF5" s="336">
        <v>-341705</v>
      </c>
      <c r="PG5" s="336">
        <v>-5938356</v>
      </c>
      <c r="PH5" s="336">
        <v>292437</v>
      </c>
      <c r="PI5" s="336">
        <v>81331</v>
      </c>
      <c r="PJ5" s="336">
        <v>-886687</v>
      </c>
      <c r="PK5" s="336">
        <v>23485748</v>
      </c>
      <c r="PL5" s="336">
        <v>0</v>
      </c>
      <c r="PM5" s="336">
        <v>0</v>
      </c>
      <c r="PN5" s="336">
        <v>0</v>
      </c>
      <c r="PO5" s="336">
        <v>0</v>
      </c>
      <c r="PP5" s="336">
        <v>0</v>
      </c>
      <c r="PQ5" s="336">
        <v>0</v>
      </c>
      <c r="PR5" s="336">
        <v>0</v>
      </c>
      <c r="PS5" s="336">
        <v>0</v>
      </c>
      <c r="PT5" s="336">
        <v>0</v>
      </c>
      <c r="PU5" s="336">
        <v>0</v>
      </c>
      <c r="PV5" s="336">
        <v>0</v>
      </c>
      <c r="PW5" s="336">
        <v>-5818755</v>
      </c>
      <c r="PX5" s="336">
        <v>-1168092</v>
      </c>
      <c r="PY5" s="336">
        <v>-6681943</v>
      </c>
      <c r="PZ5" s="336">
        <v>-516750</v>
      </c>
      <c r="QA5" s="336">
        <v>0</v>
      </c>
      <c r="QB5" s="336">
        <v>0</v>
      </c>
      <c r="QC5" s="336">
        <v>0</v>
      </c>
      <c r="QD5" s="336">
        <v>0</v>
      </c>
      <c r="QE5" s="336">
        <v>0</v>
      </c>
      <c r="QF5" s="336">
        <v>0</v>
      </c>
      <c r="QG5" s="336">
        <v>3035317</v>
      </c>
      <c r="QH5" s="336">
        <v>1217167</v>
      </c>
      <c r="QI5" s="336">
        <v>756762</v>
      </c>
      <c r="QJ5" s="336">
        <v>0</v>
      </c>
      <c r="QK5" s="336">
        <v>3494863</v>
      </c>
      <c r="QL5" s="336">
        <v>0</v>
      </c>
      <c r="QM5" s="336">
        <v>0</v>
      </c>
      <c r="QN5" s="336">
        <v>0</v>
      </c>
      <c r="QO5" s="336">
        <v>0</v>
      </c>
      <c r="QP5" s="336">
        <v>0</v>
      </c>
      <c r="QQ5" s="336">
        <v>0</v>
      </c>
      <c r="QR5" s="336">
        <v>0</v>
      </c>
      <c r="QS5" s="336">
        <v>0</v>
      </c>
      <c r="QT5" s="336">
        <v>0</v>
      </c>
      <c r="QU5" s="336">
        <v>0</v>
      </c>
      <c r="QV5" s="336">
        <v>0</v>
      </c>
      <c r="QW5" s="336">
        <v>0</v>
      </c>
      <c r="QX5" s="336">
        <v>0</v>
      </c>
      <c r="QY5" s="336">
        <v>0</v>
      </c>
      <c r="QZ5" s="336">
        <v>0</v>
      </c>
      <c r="RA5" s="336">
        <v>0</v>
      </c>
      <c r="RB5" s="336">
        <v>0</v>
      </c>
      <c r="RC5" s="336">
        <v>0</v>
      </c>
      <c r="RD5" s="336">
        <v>0</v>
      </c>
      <c r="RE5" s="336">
        <v>0</v>
      </c>
      <c r="RF5" s="336">
        <v>0</v>
      </c>
      <c r="RG5" s="336">
        <v>0</v>
      </c>
      <c r="RH5" s="336">
        <v>0</v>
      </c>
      <c r="RI5" s="336">
        <v>0</v>
      </c>
      <c r="RJ5" s="336">
        <v>0</v>
      </c>
      <c r="RK5" s="336">
        <v>0</v>
      </c>
      <c r="RL5" s="336">
        <v>0</v>
      </c>
      <c r="RM5" s="336">
        <v>0</v>
      </c>
      <c r="RN5" s="336">
        <v>0</v>
      </c>
      <c r="RO5" s="336">
        <v>-12297693</v>
      </c>
      <c r="RP5" s="336">
        <v>0</v>
      </c>
      <c r="RQ5" s="336">
        <v>0</v>
      </c>
      <c r="RR5" s="336">
        <v>0</v>
      </c>
      <c r="RS5" s="336">
        <v>0</v>
      </c>
      <c r="RT5" s="336">
        <v>0</v>
      </c>
      <c r="RU5" s="336">
        <v>0</v>
      </c>
      <c r="RV5" s="336">
        <v>0</v>
      </c>
      <c r="RW5" s="336">
        <v>0</v>
      </c>
      <c r="RX5" s="336">
        <v>0</v>
      </c>
      <c r="RY5" s="336">
        <v>0</v>
      </c>
      <c r="RZ5" s="336">
        <v>0</v>
      </c>
      <c r="SA5" s="336">
        <v>0</v>
      </c>
      <c r="SB5" s="336">
        <v>0</v>
      </c>
      <c r="SC5" s="336">
        <v>0</v>
      </c>
      <c r="SD5" s="336">
        <v>0</v>
      </c>
      <c r="SE5" s="336">
        <v>0</v>
      </c>
      <c r="SF5" s="336">
        <v>0</v>
      </c>
      <c r="SG5" s="336">
        <v>0</v>
      </c>
      <c r="SH5" s="336">
        <v>0</v>
      </c>
      <c r="SI5" s="336">
        <v>0</v>
      </c>
      <c r="SJ5" s="336">
        <v>0</v>
      </c>
      <c r="SK5" s="336">
        <v>0</v>
      </c>
      <c r="SL5" s="336">
        <v>0</v>
      </c>
      <c r="SM5" s="336">
        <v>0</v>
      </c>
      <c r="SN5" s="336">
        <v>0</v>
      </c>
      <c r="SO5" s="336">
        <v>0</v>
      </c>
      <c r="SP5" s="336">
        <v>0</v>
      </c>
      <c r="SQ5" s="336">
        <v>994865</v>
      </c>
      <c r="SR5" s="336">
        <v>534963</v>
      </c>
      <c r="SS5" s="336">
        <v>229948</v>
      </c>
      <c r="ST5" s="336">
        <v>435865</v>
      </c>
      <c r="SU5" s="336">
        <v>0</v>
      </c>
      <c r="SV5" s="336">
        <v>0</v>
      </c>
      <c r="SW5" s="336">
        <v>27193435</v>
      </c>
      <c r="SX5" s="336">
        <v>0</v>
      </c>
      <c r="SY5" s="336">
        <v>0</v>
      </c>
      <c r="SZ5" s="336" t="s">
        <v>1420</v>
      </c>
      <c r="TA5" s="336" t="s">
        <v>1420</v>
      </c>
      <c r="TB5" s="336" t="s">
        <v>1420</v>
      </c>
      <c r="TC5" s="336">
        <v>694270</v>
      </c>
      <c r="TD5" s="336">
        <v>14618</v>
      </c>
      <c r="TE5" s="336">
        <v>46919</v>
      </c>
      <c r="TF5" s="336">
        <v>0</v>
      </c>
      <c r="TG5" s="336">
        <v>79288</v>
      </c>
      <c r="TH5" s="336">
        <v>357619</v>
      </c>
      <c r="TI5" s="336">
        <v>165091</v>
      </c>
      <c r="TJ5" s="336">
        <v>607888</v>
      </c>
      <c r="TK5" s="336">
        <v>0</v>
      </c>
      <c r="TL5" s="336">
        <v>229948</v>
      </c>
      <c r="TM5" s="336">
        <v>0</v>
      </c>
      <c r="TN5" s="336">
        <v>0</v>
      </c>
      <c r="TO5" s="336">
        <v>0</v>
      </c>
      <c r="TP5" s="336">
        <v>0</v>
      </c>
      <c r="TQ5" s="336">
        <v>0</v>
      </c>
      <c r="TR5" s="336">
        <v>0</v>
      </c>
      <c r="TS5" s="336">
        <v>0</v>
      </c>
      <c r="TT5" s="336">
        <v>0</v>
      </c>
      <c r="TU5" s="336">
        <v>0</v>
      </c>
      <c r="TV5" s="336">
        <v>0</v>
      </c>
      <c r="TW5" s="336">
        <v>0</v>
      </c>
      <c r="TX5" s="336">
        <v>0</v>
      </c>
      <c r="TY5" s="336">
        <v>0</v>
      </c>
      <c r="TZ5" s="336">
        <v>0</v>
      </c>
      <c r="UA5" s="336">
        <v>0</v>
      </c>
      <c r="UB5" s="336">
        <v>0</v>
      </c>
      <c r="UC5" s="336">
        <v>0</v>
      </c>
      <c r="UD5" s="336">
        <v>0</v>
      </c>
      <c r="UE5" s="336">
        <v>0</v>
      </c>
      <c r="UF5" s="336">
        <v>0</v>
      </c>
      <c r="UG5" s="336">
        <v>0</v>
      </c>
      <c r="UH5" s="336">
        <v>53627297</v>
      </c>
      <c r="UI5" s="336">
        <v>968468</v>
      </c>
      <c r="UJ5" s="336">
        <v>6847973</v>
      </c>
      <c r="UK5" s="336">
        <v>0</v>
      </c>
      <c r="UL5" s="336">
        <v>7982210</v>
      </c>
      <c r="UM5" s="336">
        <v>10922427</v>
      </c>
      <c r="UN5" s="336">
        <v>19831079</v>
      </c>
      <c r="UO5" s="336">
        <v>7319729</v>
      </c>
      <c r="UP5" s="336">
        <v>12233544</v>
      </c>
      <c r="UQ5" s="337">
        <v>21575056</v>
      </c>
      <c r="UR5"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2195641</v>
      </c>
      <c r="US5" s="338">
        <f>SUM(Input[[#This Row],[Oth Exp E&amp;G]],Input[[#This Row],[Oth Exp Desg]],Input[[#This Row],[Oth Exp Aux]],Input[[#This Row],[Oth Exp R Exp]],Input[[#This Row],[Oth Exp Loan]],Input[[#This Row],[Oth Exp Annuity]],Input[[#This Row],[Oth Exp Unexp]],Input[[#This Row],[Oth Exp R of Ind]],Input[[#This Row],[Oth Exp Inv in P]])</f>
        <v>7706689</v>
      </c>
      <c r="UT5" s="336">
        <v>10167878</v>
      </c>
      <c r="UU5" s="336">
        <v>8504109</v>
      </c>
      <c r="UV5" s="339" t="s">
        <v>1493</v>
      </c>
      <c r="UW5" s="340">
        <v>3259422014</v>
      </c>
      <c r="UX5" s="339" t="s">
        <v>1494</v>
      </c>
      <c r="UY5" s="339" t="s">
        <v>1495</v>
      </c>
      <c r="UZ5" s="340">
        <v>3259422014</v>
      </c>
      <c r="VA5" s="339" t="s">
        <v>1496</v>
      </c>
      <c r="VB5" s="341" cm="1">
        <f t="array" ref="VB5">IFERROR(_xlfn.IFS(Input[[#This Row],[Type]]="HRI",VLOOKUP(Input[[#This Row],[Institution Name]],FTSEHRI[],9,FALSE),Input[[#This Row],[Type]]="UNIV",VLOOKUP(Input[[#This Row],[Institution Name]],FTSEUNIV[],9,FALSE),OR(Input[[#This Row],[Type]]="TSTC",Input[[#This Row],[Type]]="LSC"),VLOOKUP(Input[[#This Row],[Institution Name]],FTSETSTC[],8,FALSE)),"N/A")</f>
        <v>7610.39</v>
      </c>
      <c r="VC5" s="342" t="str" cm="1">
        <f t="array" ref="VC5">IFERROR(_xlfn.IFS(Input[[#This Row],[Type]]="HRI",VLOOKUP(Input[[#This Row],[Institution Name]],FTSEHRI[],11,FALSE),Input[[#This Row],[Type]]="UNIV",VLOOKUP(Input[[#This Row],[Institution Name]],FTSEUNIV[],11,FALSE),Input[[#This Row],[Type]]="TSTC",VLOOKUP(Input[[#This Row],[Institution Name]],FTSETSTC[],10,FALSE)),"N/A")</f>
        <v>N/A</v>
      </c>
      <c r="VD5"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53179730</v>
      </c>
      <c r="VE5"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6997943</v>
      </c>
      <c r="VF5" s="338">
        <f>SUM(Input[[#This Row],[Fed G&amp;C E&amp;G]],Input[[#This Row],[Fed G&amp;C Desg]],Input[[#This Row],[Fed G&amp;C R Exp]],Input[[#This Row],[Fed G&amp;C Loan]],Input[[#This Row],[Fed G&amp;C Annuity]],Input[[#This Row],[Fed G&amp;C Unexp]],Input[[#This Row],[Fed G&amp;C R of Ind]],Input[[#This Row],[Fed G&amp;C Inv in P]])</f>
        <v>19022141</v>
      </c>
      <c r="VG5"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50175045</v>
      </c>
      <c r="VH5"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25710374</v>
      </c>
      <c r="VI5"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14478567</v>
      </c>
      <c r="VJ5" s="338">
        <f>SUM(Input[[#This Row],[Oth Inc E&amp;G]],Input[[#This Row],[Oth Exp Desg]],Input[[#This Row],[Oth Exp R Exp]],Input[[#This Row],[Oth Exp Loan]],Input[[#This Row],[Oth Exp Annuity]],Input[[#This Row],[Oth Exp Unexp]],Input[[#This Row],[Oth Exp R of Ind]],Input[[#This Row],[Oth Exp Inv in P]])</f>
        <v>9084978</v>
      </c>
      <c r="VK5" s="343">
        <f>SUM(Input[[#This Row],[Instr E&amp;G]],Input[[#This Row],[Instr Desg]],Input[[#This Row],[Instr R Exp]],Input[[#This Row],[Instr Loan]],Input[[#This Row],[Instr Annuity]],Input[[#This Row],[Instr Unexp]],Input[[#This Row],[Instr R of Ind]],Input[[#This Row],[Instr Inv in P]])</f>
        <v>53627297</v>
      </c>
      <c r="VL5" s="343">
        <f>SUM(Input[[#This Row],[Res E&amp;G]],Input[[#This Row],[Res Desg]],Input[[#This Row],[Res R Exp]],Input[[#This Row],[Res Loan]],Input[[#This Row],[Res Annuity]],Input[[#This Row],[Res Unexp]],Input[[#This Row],[Res R of Ind]],Input[[#This Row],[Res Inv in P]])</f>
        <v>968468</v>
      </c>
      <c r="VM5" s="343">
        <f>SUM(Input[[#This Row],[Acad Sup E&amp;G]],Input[[#This Row],[Acad Sup Desg]],Input[[#This Row],[Acad Sup R Exp]],Input[[#This Row],[Acad Sup Loan]],Input[[#This Row],[Acad Sup Annuity]],Input[[#This Row],[Acad Sup Unexp]],Input[[#This Row],[Acad Sup R of Ind]],Input[[#This Row],[Acad Sup Inv in P]])</f>
        <v>7982210</v>
      </c>
      <c r="VN5" s="343">
        <f>SUM(Input[[#This Row],[Stu Svc E&amp;G]],Input[[#This Row],[Stu Svc Desg]],Input[[#This Row],[Stu Svc R Exp]],Input[[#This Row],[Stu Svc Loan]],Input[[#This Row],[Stu Svc Annuity]],Input[[#This Row],[Stu Svc Unexp]],Input[[#This Row],[Stu Svc R of Ind]],Input[[#This Row],[Stu Svc Inv in P]])</f>
        <v>10922427</v>
      </c>
      <c r="VO5" s="343">
        <f>SUM(Input[[#This Row],[Inst. Spt E&amp;G]],Input[[#This Row],[Inst. Spt Desg]],Input[[#This Row],[Inst. Spt R Exp]],Input[[#This Row],[Inst. Spt Loan]],Input[[#This Row],[Inst. Spt Annuity]],Input[[#This Row],[Inst. Spt Unexp]],Input[[#This Row],[Inst. Spt R of Ind]],Input[[#This Row],[Inst. Spt Inv in P]])</f>
        <v>19831079</v>
      </c>
      <c r="VP5" s="343">
        <f>SUM(Input[[#This Row],[M&amp;O Plnt E&amp;G]],Input[[#This Row],[M&amp;O Plnt Desg]],Input[[#This Row],[M&amp;O Plnt R Exp]],Input[[#This Row],[M&amp;O Plnt Loan]],Input[[#This Row],[M&amp;O Plnt Annuity]],Input[[#This Row],[M&amp;O Plnt Unexp]],Input[[#This Row],[M&amp;O Plnt R of Ind]],Input[[#This Row],[M&amp;O Plnt Inv in P]])</f>
        <v>7319729</v>
      </c>
      <c r="VQ5" s="343">
        <f>SUM(Input[[#This Row],[Schl &amp; Fell E&amp;G]],Input[[#This Row],[Schl &amp; Fell Desg]],Input[[#This Row],[Schl &amp; Fell R Exp]],Input[[#This Row],[Schl &amp; Fell Loan]],Input[[#This Row],[Schl &amp; Fell Annuity]],Input[[#This Row],[Schl &amp; Fell Unexp]],Input[[#This Row],[Schl &amp; Fell R of Ind]],Input[[#This Row],[Schl &amp; Fell Inv in P]])</f>
        <v>9113490</v>
      </c>
      <c r="VR5" s="343">
        <f>SUM(Input[[#This Row],[Cap Out fund E&amp;G]],Input[[#This Row],[Cap Out fund Desg]],Input[[#This Row],[Cap Out fund R Exp]],Input[[#This Row],[Cap Out fund Loan]],Input[[#This Row],[Cap Out fund Annuity]],Input[[#This Row],[Cap Out fund Unexp]],Input[[#This Row],[Cap Out fund R of Ind]],Input[[#This Row],[Cap Out fund Inv in P]])</f>
        <v>1965693</v>
      </c>
      <c r="VS5" s="343">
        <f>SUM(Input[[#This Row],[Oth Exp E&amp;G]],Input[[#This Row],[Oth Exp Desg]],Input[[#This Row],[Oth Exp R Exp]],Input[[#This Row],[Oth Exp Loan]],Input[[#This Row],[Oth Exp Annuity]],Input[[#This Row],[Oth Exp Unexp]],Input[[#This Row],[Oth Exp R of Ind]],Input[[#This Row],[Oth Exp Inv in P]],Input[[#This Row],[Oth Exp Inv in P]])</f>
        <v>7446803</v>
      </c>
    </row>
    <row r="6" spans="1:591" s="344" customFormat="1" ht="27" customHeight="1" x14ac:dyDescent="0.55000000000000004">
      <c r="A6" s="339" t="s">
        <v>1788</v>
      </c>
      <c r="B6" s="334" t="s">
        <v>830</v>
      </c>
      <c r="C6" s="334" t="s">
        <v>21</v>
      </c>
      <c r="D6" s="334">
        <v>210</v>
      </c>
      <c r="E6" s="334" t="s">
        <v>1622</v>
      </c>
      <c r="F6" s="335">
        <v>3565</v>
      </c>
      <c r="G6" s="336">
        <v>68107778</v>
      </c>
      <c r="H6" s="336">
        <v>0</v>
      </c>
      <c r="I6" s="336">
        <v>0</v>
      </c>
      <c r="J6" s="336">
        <v>0</v>
      </c>
      <c r="K6" s="336">
        <v>0</v>
      </c>
      <c r="L6" s="336">
        <v>0</v>
      </c>
      <c r="M6" s="336">
        <v>0</v>
      </c>
      <c r="N6" s="336">
        <v>0</v>
      </c>
      <c r="O6" s="336">
        <v>0</v>
      </c>
      <c r="P6" s="336">
        <v>-52552</v>
      </c>
      <c r="Q6" s="336">
        <v>51000</v>
      </c>
      <c r="R6" s="336">
        <v>0</v>
      </c>
      <c r="S6" s="336">
        <v>7861768</v>
      </c>
      <c r="T6" s="336">
        <v>0</v>
      </c>
      <c r="U6" s="336">
        <v>0</v>
      </c>
      <c r="V6" s="336">
        <v>0</v>
      </c>
      <c r="W6" s="336">
        <v>0</v>
      </c>
      <c r="X6" s="336">
        <v>0</v>
      </c>
      <c r="Y6" s="336">
        <v>11459464</v>
      </c>
      <c r="Z6" s="336">
        <v>0</v>
      </c>
      <c r="AA6" s="336">
        <v>0</v>
      </c>
      <c r="AB6" s="336">
        <v>0</v>
      </c>
      <c r="AC6" s="336">
        <v>0</v>
      </c>
      <c r="AD6" s="336">
        <v>0</v>
      </c>
      <c r="AE6" s="336">
        <v>0</v>
      </c>
      <c r="AF6" s="336">
        <v>0</v>
      </c>
      <c r="AG6" s="336">
        <v>0</v>
      </c>
      <c r="AH6" s="336">
        <v>0</v>
      </c>
      <c r="AI6" s="336">
        <v>0</v>
      </c>
      <c r="AJ6" s="336">
        <v>0</v>
      </c>
      <c r="AK6" s="336">
        <v>0</v>
      </c>
      <c r="AL6" s="336">
        <v>0</v>
      </c>
      <c r="AM6" s="336">
        <v>0</v>
      </c>
      <c r="AN6" s="336">
        <v>0</v>
      </c>
      <c r="AO6" s="336">
        <v>0</v>
      </c>
      <c r="AP6" s="336">
        <v>0</v>
      </c>
      <c r="AQ6" s="336">
        <v>-3572273</v>
      </c>
      <c r="AR6" s="336">
        <v>0</v>
      </c>
      <c r="AS6" s="336">
        <v>0</v>
      </c>
      <c r="AT6" s="336">
        <v>0</v>
      </c>
      <c r="AU6" s="336">
        <v>0</v>
      </c>
      <c r="AV6" s="336">
        <v>0</v>
      </c>
      <c r="AW6" s="336">
        <v>0</v>
      </c>
      <c r="AX6" s="336">
        <v>0</v>
      </c>
      <c r="AY6" s="336">
        <v>0</v>
      </c>
      <c r="AZ6" s="336">
        <v>0</v>
      </c>
      <c r="BA6" s="336">
        <v>0</v>
      </c>
      <c r="BB6" s="336">
        <v>0</v>
      </c>
      <c r="BC6" s="336">
        <v>0</v>
      </c>
      <c r="BD6" s="336">
        <v>0</v>
      </c>
      <c r="BE6" s="336">
        <v>0</v>
      </c>
      <c r="BF6" s="336">
        <v>0</v>
      </c>
      <c r="BG6" s="336">
        <v>0</v>
      </c>
      <c r="BH6" s="336">
        <v>0</v>
      </c>
      <c r="BI6" s="336">
        <v>0</v>
      </c>
      <c r="BJ6" s="336">
        <v>0</v>
      </c>
      <c r="BK6" s="336">
        <v>0</v>
      </c>
      <c r="BL6" s="336">
        <v>0</v>
      </c>
      <c r="BM6" s="336">
        <v>0</v>
      </c>
      <c r="BN6" s="336">
        <v>0</v>
      </c>
      <c r="BO6" s="336">
        <v>0</v>
      </c>
      <c r="BP6" s="336">
        <v>0</v>
      </c>
      <c r="BQ6" s="336">
        <v>0</v>
      </c>
      <c r="BR6" s="336">
        <v>0</v>
      </c>
      <c r="BS6" s="336">
        <v>0</v>
      </c>
      <c r="BT6" s="336">
        <v>0</v>
      </c>
      <c r="BU6" s="336">
        <v>0</v>
      </c>
      <c r="BV6" s="336">
        <v>0</v>
      </c>
      <c r="BW6" s="336">
        <v>0</v>
      </c>
      <c r="BX6" s="336">
        <v>0</v>
      </c>
      <c r="BY6" s="336">
        <v>0</v>
      </c>
      <c r="BZ6" s="336">
        <v>0</v>
      </c>
      <c r="CA6" s="336">
        <v>17613027</v>
      </c>
      <c r="CB6" s="336">
        <v>23846115</v>
      </c>
      <c r="CC6" s="336">
        <v>0</v>
      </c>
      <c r="CD6" s="336">
        <v>0</v>
      </c>
      <c r="CE6" s="336">
        <v>0</v>
      </c>
      <c r="CF6" s="336">
        <v>0</v>
      </c>
      <c r="CG6" s="336">
        <v>0</v>
      </c>
      <c r="CH6" s="336">
        <v>0</v>
      </c>
      <c r="CI6" s="336">
        <v>0</v>
      </c>
      <c r="CJ6" s="336">
        <v>0</v>
      </c>
      <c r="CK6" s="336">
        <v>0</v>
      </c>
      <c r="CL6" s="336">
        <v>0</v>
      </c>
      <c r="CM6" s="336">
        <v>0</v>
      </c>
      <c r="CN6" s="336">
        <v>0</v>
      </c>
      <c r="CO6" s="336">
        <v>0</v>
      </c>
      <c r="CP6" s="336">
        <v>0</v>
      </c>
      <c r="CQ6" s="336">
        <v>0</v>
      </c>
      <c r="CR6" s="336">
        <v>0</v>
      </c>
      <c r="CS6" s="336">
        <v>0</v>
      </c>
      <c r="CT6" s="336">
        <v>0</v>
      </c>
      <c r="CU6" s="336">
        <v>0</v>
      </c>
      <c r="CV6" s="336">
        <v>0</v>
      </c>
      <c r="CW6" s="336">
        <v>0</v>
      </c>
      <c r="CX6" s="336">
        <v>0</v>
      </c>
      <c r="CY6" s="336">
        <v>0</v>
      </c>
      <c r="CZ6" s="336">
        <v>0</v>
      </c>
      <c r="DA6" s="336">
        <v>0</v>
      </c>
      <c r="DB6" s="336">
        <v>-824138</v>
      </c>
      <c r="DC6" s="336">
        <v>-1383661</v>
      </c>
      <c r="DD6" s="336">
        <v>0</v>
      </c>
      <c r="DE6" s="336">
        <v>0</v>
      </c>
      <c r="DF6" s="336">
        <v>0</v>
      </c>
      <c r="DG6" s="336">
        <v>0</v>
      </c>
      <c r="DH6" s="336">
        <v>0</v>
      </c>
      <c r="DI6" s="336">
        <v>0</v>
      </c>
      <c r="DJ6" s="336">
        <v>0</v>
      </c>
      <c r="DK6" s="336">
        <v>0</v>
      </c>
      <c r="DL6" s="336">
        <v>0</v>
      </c>
      <c r="DM6" s="336">
        <v>0</v>
      </c>
      <c r="DN6" s="336">
        <v>0</v>
      </c>
      <c r="DO6" s="336">
        <v>0</v>
      </c>
      <c r="DP6" s="336">
        <v>0</v>
      </c>
      <c r="DQ6" s="336">
        <v>0</v>
      </c>
      <c r="DR6" s="336">
        <v>0</v>
      </c>
      <c r="DS6" s="336">
        <v>0</v>
      </c>
      <c r="DT6" s="336">
        <v>-4561613</v>
      </c>
      <c r="DU6" s="336">
        <v>-5623568</v>
      </c>
      <c r="DV6" s="336">
        <v>0</v>
      </c>
      <c r="DW6" s="336">
        <v>0</v>
      </c>
      <c r="DX6" s="336">
        <v>0</v>
      </c>
      <c r="DY6" s="336">
        <v>0</v>
      </c>
      <c r="DZ6" s="336">
        <v>0</v>
      </c>
      <c r="EA6" s="336">
        <v>0</v>
      </c>
      <c r="EB6" s="336">
        <v>0</v>
      </c>
      <c r="EC6" s="336">
        <v>0</v>
      </c>
      <c r="ED6" s="336">
        <v>0</v>
      </c>
      <c r="EE6" s="336">
        <v>0</v>
      </c>
      <c r="EF6" s="336">
        <v>0</v>
      </c>
      <c r="EG6" s="336">
        <v>0</v>
      </c>
      <c r="EH6" s="336">
        <v>0</v>
      </c>
      <c r="EI6" s="336">
        <v>0</v>
      </c>
      <c r="EJ6" s="336">
        <v>0</v>
      </c>
      <c r="EK6" s="336">
        <v>0</v>
      </c>
      <c r="EL6" s="336">
        <v>0</v>
      </c>
      <c r="EM6" s="336">
        <v>0</v>
      </c>
      <c r="EN6" s="336">
        <v>0</v>
      </c>
      <c r="EO6" s="336">
        <v>0</v>
      </c>
      <c r="EP6" s="336">
        <v>0</v>
      </c>
      <c r="EQ6" s="336">
        <v>0</v>
      </c>
      <c r="ER6" s="336">
        <v>0</v>
      </c>
      <c r="ES6" s="336">
        <v>0</v>
      </c>
      <c r="ET6" s="336">
        <v>0</v>
      </c>
      <c r="EU6" s="336">
        <v>0</v>
      </c>
      <c r="EV6" s="336">
        <v>0</v>
      </c>
      <c r="EW6" s="336">
        <v>0</v>
      </c>
      <c r="EX6" s="336">
        <v>0</v>
      </c>
      <c r="EY6" s="336">
        <v>0</v>
      </c>
      <c r="EZ6" s="336">
        <v>0</v>
      </c>
      <c r="FA6" s="336">
        <v>0</v>
      </c>
      <c r="FB6" s="336">
        <v>0</v>
      </c>
      <c r="FC6" s="336">
        <v>0</v>
      </c>
      <c r="FD6" s="336">
        <v>0</v>
      </c>
      <c r="FE6" s="336">
        <v>0</v>
      </c>
      <c r="FF6" s="336">
        <v>0</v>
      </c>
      <c r="FG6" s="336">
        <v>0</v>
      </c>
      <c r="FH6" s="336">
        <v>0</v>
      </c>
      <c r="FI6" s="336">
        <v>0</v>
      </c>
      <c r="FJ6" s="336">
        <v>0</v>
      </c>
      <c r="FK6" s="336">
        <v>0</v>
      </c>
      <c r="FL6" s="336">
        <v>0</v>
      </c>
      <c r="FM6" s="336">
        <v>316119</v>
      </c>
      <c r="FN6" s="336">
        <v>36935629</v>
      </c>
      <c r="FO6" s="336">
        <v>14337038</v>
      </c>
      <c r="FP6" s="336">
        <v>0</v>
      </c>
      <c r="FQ6" s="336">
        <v>0</v>
      </c>
      <c r="FR6" s="336">
        <v>0</v>
      </c>
      <c r="FS6" s="336">
        <v>0</v>
      </c>
      <c r="FT6" s="336">
        <v>0</v>
      </c>
      <c r="FU6" s="336">
        <v>0</v>
      </c>
      <c r="FV6" s="336">
        <v>0</v>
      </c>
      <c r="FW6" s="336">
        <v>0</v>
      </c>
      <c r="FX6" s="336">
        <v>0</v>
      </c>
      <c r="FY6" s="336">
        <v>0</v>
      </c>
      <c r="FZ6" s="336">
        <v>0</v>
      </c>
      <c r="GA6" s="336">
        <v>0</v>
      </c>
      <c r="GB6" s="336">
        <v>0</v>
      </c>
      <c r="GC6" s="336">
        <v>0</v>
      </c>
      <c r="GD6" s="336">
        <v>0</v>
      </c>
      <c r="GE6" s="336">
        <v>0</v>
      </c>
      <c r="GF6" s="336">
        <v>0</v>
      </c>
      <c r="GG6" s="336">
        <v>0</v>
      </c>
      <c r="GH6" s="336">
        <v>0</v>
      </c>
      <c r="GI6" s="336">
        <v>0</v>
      </c>
      <c r="GJ6" s="336">
        <v>0</v>
      </c>
      <c r="GK6" s="336">
        <v>0</v>
      </c>
      <c r="GL6" s="336">
        <v>0</v>
      </c>
      <c r="GM6" s="336">
        <v>0</v>
      </c>
      <c r="GN6" s="336">
        <v>-16819</v>
      </c>
      <c r="GO6" s="336">
        <v>-2569655</v>
      </c>
      <c r="GP6" s="336">
        <v>-712531</v>
      </c>
      <c r="GQ6" s="336">
        <v>0</v>
      </c>
      <c r="GR6" s="336">
        <v>0</v>
      </c>
      <c r="GS6" s="336">
        <v>0</v>
      </c>
      <c r="GT6" s="336">
        <v>0</v>
      </c>
      <c r="GU6" s="336">
        <v>0</v>
      </c>
      <c r="GV6" s="336">
        <v>0</v>
      </c>
      <c r="GW6" s="336">
        <v>0</v>
      </c>
      <c r="GX6" s="336">
        <v>0</v>
      </c>
      <c r="GY6" s="336">
        <v>0</v>
      </c>
      <c r="GZ6" s="336">
        <v>0</v>
      </c>
      <c r="HA6" s="336">
        <v>0</v>
      </c>
      <c r="HB6" s="336">
        <v>0</v>
      </c>
      <c r="HC6" s="336">
        <v>0</v>
      </c>
      <c r="HD6" s="336">
        <v>0</v>
      </c>
      <c r="HE6" s="336">
        <v>0</v>
      </c>
      <c r="HF6" s="336">
        <v>-80254</v>
      </c>
      <c r="HG6" s="336">
        <v>-9014385</v>
      </c>
      <c r="HH6" s="336">
        <v>-3673729</v>
      </c>
      <c r="HI6" s="336">
        <v>0</v>
      </c>
      <c r="HJ6" s="336">
        <v>0</v>
      </c>
      <c r="HK6" s="336">
        <v>0</v>
      </c>
      <c r="HL6" s="336">
        <v>0</v>
      </c>
      <c r="HM6" s="336">
        <v>0</v>
      </c>
      <c r="HN6" s="336">
        <v>0</v>
      </c>
      <c r="HO6" s="336">
        <v>10479</v>
      </c>
      <c r="HP6" s="336">
        <v>425583</v>
      </c>
      <c r="HQ6" s="336">
        <v>0</v>
      </c>
      <c r="HR6" s="336">
        <v>25928748</v>
      </c>
      <c r="HS6" s="336">
        <v>0</v>
      </c>
      <c r="HT6" s="336">
        <v>0</v>
      </c>
      <c r="HU6" s="336">
        <v>0</v>
      </c>
      <c r="HV6" s="336">
        <v>0</v>
      </c>
      <c r="HW6" s="336">
        <v>0</v>
      </c>
      <c r="HX6" s="336">
        <v>0</v>
      </c>
      <c r="HY6" s="336">
        <v>0</v>
      </c>
      <c r="HZ6" s="336">
        <v>0</v>
      </c>
      <c r="IA6" s="336">
        <v>0</v>
      </c>
      <c r="IB6" s="336">
        <v>0</v>
      </c>
      <c r="IC6" s="336">
        <v>0</v>
      </c>
      <c r="ID6" s="336">
        <v>0</v>
      </c>
      <c r="IE6" s="336">
        <v>0</v>
      </c>
      <c r="IF6" s="336">
        <v>0</v>
      </c>
      <c r="IG6" s="336">
        <v>0</v>
      </c>
      <c r="IH6" s="336">
        <v>0</v>
      </c>
      <c r="II6" s="336">
        <v>0</v>
      </c>
      <c r="IJ6" s="336">
        <v>0</v>
      </c>
      <c r="IK6" s="336">
        <v>0</v>
      </c>
      <c r="IL6" s="336">
        <v>0</v>
      </c>
      <c r="IM6" s="336">
        <v>0</v>
      </c>
      <c r="IN6" s="336">
        <v>0</v>
      </c>
      <c r="IO6" s="336">
        <v>0</v>
      </c>
      <c r="IP6" s="336">
        <v>283008</v>
      </c>
      <c r="IQ6" s="336">
        <v>7331919</v>
      </c>
      <c r="IR6" s="336">
        <v>553344</v>
      </c>
      <c r="IS6" s="336">
        <v>308955</v>
      </c>
      <c r="IT6" s="336">
        <v>32953</v>
      </c>
      <c r="IU6" s="336">
        <v>15</v>
      </c>
      <c r="IV6" s="336">
        <v>0</v>
      </c>
      <c r="IW6" s="336">
        <v>0</v>
      </c>
      <c r="IX6" s="336">
        <v>0</v>
      </c>
      <c r="IY6" s="336">
        <v>0</v>
      </c>
      <c r="IZ6" s="336">
        <v>0</v>
      </c>
      <c r="JA6" s="336">
        <v>0</v>
      </c>
      <c r="JB6" s="336">
        <v>0</v>
      </c>
      <c r="JC6" s="336">
        <v>0</v>
      </c>
      <c r="JD6" s="336">
        <v>0</v>
      </c>
      <c r="JE6" s="336">
        <v>0</v>
      </c>
      <c r="JF6" s="336">
        <v>0</v>
      </c>
      <c r="JG6" s="336">
        <v>0</v>
      </c>
      <c r="JH6" s="336">
        <v>0</v>
      </c>
      <c r="JI6" s="336">
        <v>370494</v>
      </c>
      <c r="JJ6" s="336">
        <v>0</v>
      </c>
      <c r="JK6" s="336">
        <v>5267765</v>
      </c>
      <c r="JL6" s="336">
        <v>0</v>
      </c>
      <c r="JM6" s="336">
        <v>0</v>
      </c>
      <c r="JN6" s="336">
        <v>0</v>
      </c>
      <c r="JO6" s="336">
        <v>0</v>
      </c>
      <c r="JP6" s="336">
        <v>0</v>
      </c>
      <c r="JQ6" s="336">
        <v>116205</v>
      </c>
      <c r="JR6" s="336">
        <v>7613428</v>
      </c>
      <c r="JS6" s="336">
        <v>0</v>
      </c>
      <c r="JT6" s="336">
        <v>10817</v>
      </c>
      <c r="JU6" s="336">
        <v>0</v>
      </c>
      <c r="JV6" s="336">
        <v>0</v>
      </c>
      <c r="JW6" s="336">
        <v>0</v>
      </c>
      <c r="JX6" s="336">
        <v>0</v>
      </c>
      <c r="JY6" s="336">
        <v>0</v>
      </c>
      <c r="JZ6" s="336">
        <v>0</v>
      </c>
      <c r="KA6" s="336">
        <v>0</v>
      </c>
      <c r="KB6" s="336">
        <v>20050686</v>
      </c>
      <c r="KC6" s="336">
        <v>0</v>
      </c>
      <c r="KD6" s="336">
        <v>0</v>
      </c>
      <c r="KE6" s="336">
        <v>0</v>
      </c>
      <c r="KF6" s="336">
        <v>0</v>
      </c>
      <c r="KG6" s="336">
        <v>0</v>
      </c>
      <c r="KH6" s="336">
        <v>0</v>
      </c>
      <c r="KI6" s="336">
        <v>2610</v>
      </c>
      <c r="KJ6" s="336">
        <v>3632297</v>
      </c>
      <c r="KK6" s="336">
        <v>599455</v>
      </c>
      <c r="KL6" s="336">
        <v>56481</v>
      </c>
      <c r="KM6" s="336">
        <v>517</v>
      </c>
      <c r="KN6" s="336">
        <v>0</v>
      </c>
      <c r="KO6" s="336">
        <v>0</v>
      </c>
      <c r="KP6" s="336">
        <v>0</v>
      </c>
      <c r="KQ6" s="336">
        <v>0</v>
      </c>
      <c r="KR6" s="336">
        <v>50946417</v>
      </c>
      <c r="KS6" s="336">
        <v>10084034</v>
      </c>
      <c r="KT6" s="336">
        <v>0</v>
      </c>
      <c r="KU6" s="336">
        <v>175913</v>
      </c>
      <c r="KV6" s="336">
        <v>0</v>
      </c>
      <c r="KW6" s="336">
        <v>0</v>
      </c>
      <c r="KX6" s="336">
        <v>0</v>
      </c>
      <c r="KY6" s="336">
        <v>0</v>
      </c>
      <c r="KZ6" s="336">
        <v>0</v>
      </c>
      <c r="LA6" s="336">
        <v>2539463</v>
      </c>
      <c r="LB6" s="336">
        <v>843765</v>
      </c>
      <c r="LC6" s="336">
        <v>0</v>
      </c>
      <c r="LD6" s="336">
        <v>2844233</v>
      </c>
      <c r="LE6" s="336">
        <v>0</v>
      </c>
      <c r="LF6" s="336">
        <v>0</v>
      </c>
      <c r="LG6" s="336">
        <v>0</v>
      </c>
      <c r="LH6" s="336">
        <v>0</v>
      </c>
      <c r="LI6" s="336">
        <v>0</v>
      </c>
      <c r="LJ6" s="336">
        <v>992067</v>
      </c>
      <c r="LK6" s="336">
        <v>654002</v>
      </c>
      <c r="LL6" s="336">
        <v>0</v>
      </c>
      <c r="LM6" s="336">
        <v>550433</v>
      </c>
      <c r="LN6" s="336">
        <v>0</v>
      </c>
      <c r="LO6" s="336">
        <v>0</v>
      </c>
      <c r="LP6" s="336">
        <v>0</v>
      </c>
      <c r="LQ6" s="336">
        <v>0</v>
      </c>
      <c r="LR6" s="336">
        <v>0</v>
      </c>
      <c r="LS6" s="336">
        <v>0</v>
      </c>
      <c r="LT6" s="336">
        <v>0</v>
      </c>
      <c r="LU6" s="336">
        <v>0</v>
      </c>
      <c r="LV6" s="336">
        <v>0</v>
      </c>
      <c r="LW6" s="336">
        <v>0</v>
      </c>
      <c r="LX6" s="336">
        <v>0</v>
      </c>
      <c r="LY6" s="336">
        <v>0</v>
      </c>
      <c r="LZ6" s="336">
        <v>0</v>
      </c>
      <c r="MA6" s="336">
        <v>0</v>
      </c>
      <c r="MB6" s="336">
        <v>10243355</v>
      </c>
      <c r="MC6" s="336">
        <v>7515088</v>
      </c>
      <c r="MD6" s="336">
        <v>0</v>
      </c>
      <c r="ME6" s="336">
        <v>249619</v>
      </c>
      <c r="MF6" s="336">
        <v>0</v>
      </c>
      <c r="MG6" s="336">
        <v>0</v>
      </c>
      <c r="MH6" s="336">
        <v>0</v>
      </c>
      <c r="MI6" s="336">
        <v>0</v>
      </c>
      <c r="MJ6" s="336">
        <v>0</v>
      </c>
      <c r="MK6" s="336">
        <v>7893730</v>
      </c>
      <c r="ML6" s="336">
        <v>11434202</v>
      </c>
      <c r="MM6" s="336">
        <v>0</v>
      </c>
      <c r="MN6" s="336">
        <v>2066860</v>
      </c>
      <c r="MO6" s="336">
        <v>344409</v>
      </c>
      <c r="MP6" s="336">
        <v>0</v>
      </c>
      <c r="MQ6" s="336">
        <v>0</v>
      </c>
      <c r="MR6" s="336">
        <v>0</v>
      </c>
      <c r="MS6" s="336">
        <v>0</v>
      </c>
      <c r="MT6" s="336">
        <v>8687153</v>
      </c>
      <c r="MU6" s="336">
        <v>7104462</v>
      </c>
      <c r="MV6" s="336">
        <v>0</v>
      </c>
      <c r="MW6" s="336">
        <v>781146</v>
      </c>
      <c r="MX6" s="336">
        <v>0</v>
      </c>
      <c r="MY6" s="336">
        <v>0</v>
      </c>
      <c r="MZ6" s="336">
        <v>0</v>
      </c>
      <c r="NA6" s="336">
        <v>0</v>
      </c>
      <c r="NB6" s="336">
        <v>0</v>
      </c>
      <c r="NC6" s="336">
        <v>3763250</v>
      </c>
      <c r="ND6" s="336">
        <v>11344115</v>
      </c>
      <c r="NE6" s="336">
        <v>0</v>
      </c>
      <c r="NF6" s="336">
        <v>49139</v>
      </c>
      <c r="NG6" s="336">
        <v>0</v>
      </c>
      <c r="NH6" s="336">
        <v>0</v>
      </c>
      <c r="NI6" s="336">
        <v>875324</v>
      </c>
      <c r="NJ6" s="336">
        <v>0</v>
      </c>
      <c r="NK6" s="336">
        <v>0</v>
      </c>
      <c r="NL6" s="336">
        <v>1114822</v>
      </c>
      <c r="NM6" s="336">
        <v>6646761</v>
      </c>
      <c r="NN6" s="336">
        <v>0</v>
      </c>
      <c r="NO6" s="336">
        <v>7109163</v>
      </c>
      <c r="NP6" s="336">
        <v>0</v>
      </c>
      <c r="NQ6" s="336">
        <v>0</v>
      </c>
      <c r="NR6" s="336">
        <v>0</v>
      </c>
      <c r="NS6" s="336">
        <v>0</v>
      </c>
      <c r="NT6" s="336">
        <v>0</v>
      </c>
      <c r="NU6" s="336">
        <v>0</v>
      </c>
      <c r="NV6" s="336">
        <v>0</v>
      </c>
      <c r="NW6" s="336">
        <v>37477085</v>
      </c>
      <c r="NX6" s="336">
        <v>0</v>
      </c>
      <c r="NY6" s="336">
        <v>0</v>
      </c>
      <c r="NZ6" s="336">
        <v>0</v>
      </c>
      <c r="OA6" s="336">
        <v>0</v>
      </c>
      <c r="OB6" s="336">
        <v>0</v>
      </c>
      <c r="OC6" s="336">
        <v>0</v>
      </c>
      <c r="OD6" s="336">
        <v>838399</v>
      </c>
      <c r="OE6" s="336">
        <v>1268903</v>
      </c>
      <c r="OF6" s="336">
        <v>284041</v>
      </c>
      <c r="OG6" s="336">
        <v>269592</v>
      </c>
      <c r="OH6" s="336">
        <v>0</v>
      </c>
      <c r="OI6" s="336">
        <v>0</v>
      </c>
      <c r="OJ6" s="336">
        <v>0</v>
      </c>
      <c r="OK6" s="336">
        <v>0</v>
      </c>
      <c r="OL6" s="336">
        <v>0</v>
      </c>
      <c r="OM6" s="336">
        <v>0</v>
      </c>
      <c r="ON6" s="336">
        <v>857865</v>
      </c>
      <c r="OO6" s="336">
        <v>0</v>
      </c>
      <c r="OP6" s="336">
        <v>0</v>
      </c>
      <c r="OQ6" s="336">
        <v>4754</v>
      </c>
      <c r="OR6" s="336">
        <v>0</v>
      </c>
      <c r="OS6" s="336">
        <v>0</v>
      </c>
      <c r="OT6" s="336">
        <v>0</v>
      </c>
      <c r="OU6" s="336">
        <v>0</v>
      </c>
      <c r="OV6" s="336">
        <v>0</v>
      </c>
      <c r="OW6" s="336">
        <v>0</v>
      </c>
      <c r="OX6" s="336">
        <v>0</v>
      </c>
      <c r="OY6" s="336">
        <v>0</v>
      </c>
      <c r="OZ6" s="336">
        <v>0</v>
      </c>
      <c r="PA6" s="336">
        <v>0</v>
      </c>
      <c r="PB6" s="336">
        <v>9467373</v>
      </c>
      <c r="PC6" s="336">
        <v>0</v>
      </c>
      <c r="PD6" s="336">
        <v>0</v>
      </c>
      <c r="PE6" s="336">
        <v>4152042</v>
      </c>
      <c r="PF6" s="336">
        <v>-21467912</v>
      </c>
      <c r="PG6" s="336">
        <v>14936891</v>
      </c>
      <c r="PH6" s="336">
        <v>-23890515</v>
      </c>
      <c r="PI6" s="336">
        <v>166006</v>
      </c>
      <c r="PJ6" s="336">
        <v>-14188</v>
      </c>
      <c r="PK6" s="336">
        <v>20685121</v>
      </c>
      <c r="PL6" s="336">
        <v>0</v>
      </c>
      <c r="PM6" s="336">
        <v>0</v>
      </c>
      <c r="PN6" s="336">
        <v>0</v>
      </c>
      <c r="PO6" s="336">
        <v>0</v>
      </c>
      <c r="PP6" s="336">
        <v>0</v>
      </c>
      <c r="PQ6" s="336">
        <v>0</v>
      </c>
      <c r="PR6" s="336">
        <v>0</v>
      </c>
      <c r="PS6" s="336">
        <v>0</v>
      </c>
      <c r="PT6" s="336">
        <v>0</v>
      </c>
      <c r="PU6" s="336">
        <v>0</v>
      </c>
      <c r="PV6" s="336">
        <v>0</v>
      </c>
      <c r="PW6" s="336">
        <v>-9778048</v>
      </c>
      <c r="PX6" s="336">
        <v>-452012</v>
      </c>
      <c r="PY6" s="336">
        <v>-6871531</v>
      </c>
      <c r="PZ6" s="336">
        <v>0</v>
      </c>
      <c r="QA6" s="336">
        <v>0</v>
      </c>
      <c r="QB6" s="336">
        <v>0</v>
      </c>
      <c r="QC6" s="336">
        <v>0</v>
      </c>
      <c r="QD6" s="336">
        <v>0</v>
      </c>
      <c r="QE6" s="336">
        <v>0</v>
      </c>
      <c r="QF6" s="336">
        <v>1720983</v>
      </c>
      <c r="QG6" s="336">
        <v>6423757</v>
      </c>
      <c r="QH6" s="336">
        <v>2918120</v>
      </c>
      <c r="QI6" s="336">
        <v>850144</v>
      </c>
      <c r="QJ6" s="336">
        <v>295929</v>
      </c>
      <c r="QK6" s="336">
        <v>136853</v>
      </c>
      <c r="QL6" s="336">
        <v>6012954</v>
      </c>
      <c r="QM6" s="336">
        <v>0</v>
      </c>
      <c r="QN6" s="336">
        <v>0</v>
      </c>
      <c r="QO6" s="336">
        <v>0</v>
      </c>
      <c r="QP6" s="336">
        <v>0</v>
      </c>
      <c r="QQ6" s="336">
        <v>0</v>
      </c>
      <c r="QR6" s="336">
        <v>0</v>
      </c>
      <c r="QS6" s="336">
        <v>0</v>
      </c>
      <c r="QT6" s="336">
        <v>625</v>
      </c>
      <c r="QU6" s="336">
        <v>0</v>
      </c>
      <c r="QV6" s="336">
        <v>0</v>
      </c>
      <c r="QW6" s="336">
        <v>0</v>
      </c>
      <c r="QX6" s="336">
        <v>0</v>
      </c>
      <c r="QY6" s="336">
        <v>0</v>
      </c>
      <c r="QZ6" s="336">
        <v>0</v>
      </c>
      <c r="RA6" s="336">
        <v>0</v>
      </c>
      <c r="RB6" s="336">
        <v>0</v>
      </c>
      <c r="RC6" s="336">
        <v>0</v>
      </c>
      <c r="RD6" s="336">
        <v>0</v>
      </c>
      <c r="RE6" s="336">
        <v>0</v>
      </c>
      <c r="RF6" s="336">
        <v>0</v>
      </c>
      <c r="RG6" s="336">
        <v>0</v>
      </c>
      <c r="RH6" s="336">
        <v>0</v>
      </c>
      <c r="RI6" s="336">
        <v>0</v>
      </c>
      <c r="RJ6" s="336">
        <v>0</v>
      </c>
      <c r="RK6" s="336">
        <v>0</v>
      </c>
      <c r="RL6" s="336">
        <v>0</v>
      </c>
      <c r="RM6" s="336">
        <v>0</v>
      </c>
      <c r="RN6" s="336">
        <v>0</v>
      </c>
      <c r="RO6" s="336">
        <v>-14954187</v>
      </c>
      <c r="RP6" s="336">
        <v>0</v>
      </c>
      <c r="RQ6" s="336">
        <v>0</v>
      </c>
      <c r="RR6" s="336">
        <v>0</v>
      </c>
      <c r="RS6" s="336">
        <v>0</v>
      </c>
      <c r="RT6" s="336">
        <v>0</v>
      </c>
      <c r="RU6" s="336">
        <v>0</v>
      </c>
      <c r="RV6" s="336">
        <v>0</v>
      </c>
      <c r="RW6" s="336">
        <v>0</v>
      </c>
      <c r="RX6" s="336">
        <v>-21336</v>
      </c>
      <c r="RY6" s="336">
        <v>0</v>
      </c>
      <c r="RZ6" s="336">
        <v>0</v>
      </c>
      <c r="SA6" s="336">
        <v>0</v>
      </c>
      <c r="SB6" s="336">
        <v>0</v>
      </c>
      <c r="SC6" s="336">
        <v>0</v>
      </c>
      <c r="SD6" s="336">
        <v>0</v>
      </c>
      <c r="SE6" s="336">
        <v>0</v>
      </c>
      <c r="SF6" s="336">
        <v>0</v>
      </c>
      <c r="SG6" s="336">
        <v>0</v>
      </c>
      <c r="SH6" s="336">
        <v>0</v>
      </c>
      <c r="SI6" s="336">
        <v>0</v>
      </c>
      <c r="SJ6" s="336">
        <v>0</v>
      </c>
      <c r="SK6" s="336">
        <v>0</v>
      </c>
      <c r="SL6" s="336">
        <v>0</v>
      </c>
      <c r="SM6" s="336">
        <v>0</v>
      </c>
      <c r="SN6" s="336">
        <v>0</v>
      </c>
      <c r="SO6" s="336">
        <v>0</v>
      </c>
      <c r="SP6" s="336">
        <v>0</v>
      </c>
      <c r="SQ6" s="336">
        <v>838399</v>
      </c>
      <c r="SR6" s="336">
        <v>1268903</v>
      </c>
      <c r="SS6" s="336">
        <v>284041</v>
      </c>
      <c r="ST6" s="336">
        <v>269592</v>
      </c>
      <c r="SU6" s="336">
        <v>0</v>
      </c>
      <c r="SV6" s="336">
        <v>0</v>
      </c>
      <c r="SW6" s="336">
        <v>-9467373</v>
      </c>
      <c r="SX6" s="336">
        <v>0</v>
      </c>
      <c r="SY6" s="336">
        <v>0</v>
      </c>
      <c r="SZ6" s="336" t="s">
        <v>1420</v>
      </c>
      <c r="TA6" s="336" t="s">
        <v>1420</v>
      </c>
      <c r="TB6" s="336" t="s">
        <v>1420</v>
      </c>
      <c r="TC6" s="336">
        <v>224013</v>
      </c>
      <c r="TD6" s="336">
        <v>167076</v>
      </c>
      <c r="TE6" s="336">
        <v>72935</v>
      </c>
      <c r="TF6" s="336">
        <v>0</v>
      </c>
      <c r="TG6" s="336">
        <v>555515</v>
      </c>
      <c r="TH6" s="336">
        <v>8269</v>
      </c>
      <c r="TI6" s="336">
        <v>148866</v>
      </c>
      <c r="TJ6" s="336">
        <v>1200220</v>
      </c>
      <c r="TK6" s="336">
        <v>284041</v>
      </c>
      <c r="TL6" s="336">
        <v>0</v>
      </c>
      <c r="TM6" s="336">
        <v>501487</v>
      </c>
      <c r="TN6" s="336">
        <v>0</v>
      </c>
      <c r="TO6" s="336">
        <v>47134</v>
      </c>
      <c r="TP6" s="336">
        <v>0</v>
      </c>
      <c r="TQ6" s="336">
        <v>0</v>
      </c>
      <c r="TR6" s="336">
        <v>0</v>
      </c>
      <c r="TS6" s="336">
        <v>0</v>
      </c>
      <c r="TT6" s="336">
        <v>0</v>
      </c>
      <c r="TU6" s="336">
        <v>0</v>
      </c>
      <c r="TV6" s="336">
        <v>0</v>
      </c>
      <c r="TW6" s="336">
        <v>0</v>
      </c>
      <c r="TX6" s="336">
        <v>0</v>
      </c>
      <c r="TY6" s="336">
        <v>0</v>
      </c>
      <c r="TZ6" s="336">
        <v>0</v>
      </c>
      <c r="UA6" s="336">
        <v>0</v>
      </c>
      <c r="UB6" s="336">
        <v>0</v>
      </c>
      <c r="UC6" s="336">
        <v>0</v>
      </c>
      <c r="UD6" s="336">
        <v>0</v>
      </c>
      <c r="UE6" s="336">
        <v>0</v>
      </c>
      <c r="UF6" s="336">
        <v>0</v>
      </c>
      <c r="UG6" s="336">
        <v>0</v>
      </c>
      <c r="UH6" s="336">
        <v>61206364</v>
      </c>
      <c r="UI6" s="336">
        <v>6227461</v>
      </c>
      <c r="UJ6" s="336">
        <v>2196502</v>
      </c>
      <c r="UK6" s="336">
        <v>0</v>
      </c>
      <c r="UL6" s="336">
        <v>18008062</v>
      </c>
      <c r="UM6" s="336">
        <v>21739201</v>
      </c>
      <c r="UN6" s="336">
        <v>16572761</v>
      </c>
      <c r="UO6" s="336">
        <v>16031828</v>
      </c>
      <c r="UP6" s="336">
        <v>14870746</v>
      </c>
      <c r="UQ6" s="336">
        <v>37477085</v>
      </c>
      <c r="UR6"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2660935</v>
      </c>
      <c r="US6" s="338">
        <f>SUM(Input[[#This Row],[Oth Exp E&amp;G]],Input[[#This Row],[Oth Exp Desg]],Input[[#This Row],[Oth Exp Aux]],Input[[#This Row],[Oth Exp R Exp]],Input[[#This Row],[Oth Exp Loan]],Input[[#This Row],[Oth Exp Annuity]],Input[[#This Row],[Oth Exp Unexp]],Input[[#This Row],[Oth Exp R of Ind]],Input[[#This Row],[Oth Exp Inv in P]])</f>
        <v>862619</v>
      </c>
      <c r="UT6" s="336">
        <v>13690455</v>
      </c>
      <c r="UU6" s="336">
        <v>18358740</v>
      </c>
      <c r="UV6" s="339" t="s">
        <v>1432</v>
      </c>
      <c r="UW6" s="340">
        <v>9798459761</v>
      </c>
      <c r="UX6" s="339" t="s">
        <v>1433</v>
      </c>
      <c r="UY6" s="339" t="s">
        <v>1447</v>
      </c>
      <c r="UZ6" s="340">
        <v>9034686019</v>
      </c>
      <c r="VA6" s="339" t="s">
        <v>1448</v>
      </c>
      <c r="VB6" s="341" cm="1">
        <f t="array" ref="VB6">IFERROR(_xlfn.IFS(Input[[#This Row],[Type]]="HRI",VLOOKUP(Input[[#This Row],[Institution Name]],FTSEHRI[],9,FALSE),Input[[#This Row],[Type]]="UNIV",VLOOKUP(Input[[#This Row],[Institution Name]],FTSEUNIV[],9,FALSE),OR(Input[[#This Row],[Type]]="TSTC",Input[[#This Row],[Type]]="LSC"),VLOOKUP(Input[[#This Row],[Institution Name]],FTSETSTC[],8,FALSE)),"N/A")</f>
        <v>9052.2199999999993</v>
      </c>
      <c r="VC6" s="342" t="str" cm="1">
        <f t="array" ref="VC6">IFERROR(_xlfn.IFS(Input[[#This Row],[Type]]="HRI",VLOOKUP(Input[[#This Row],[Institution Name]],FTSEHRI[],11,FALSE),Input[[#This Row],[Type]]="UNIV",VLOOKUP(Input[[#This Row],[Institution Name]],FTSEUNIV[],11,FALSE),Input[[#This Row],[Type]]="TSTC",VLOOKUP(Input[[#This Row],[Institution Name]],FTSETSTC[],10,FALSE)),"N/A")</f>
        <v>N/A</v>
      </c>
      <c r="VD6"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75967994</v>
      </c>
      <c r="VE6"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11459464</v>
      </c>
      <c r="VF6" s="338">
        <f>SUM(Input[[#This Row],[Fed G&amp;C E&amp;G]],Input[[#This Row],[Fed G&amp;C Desg]],Input[[#This Row],[Fed G&amp;C R Exp]],Input[[#This Row],[Fed G&amp;C Loan]],Input[[#This Row],[Fed G&amp;C Annuity]],Input[[#This Row],[Fed G&amp;C Unexp]],Input[[#This Row],[Fed G&amp;C R of Ind]],Input[[#This Row],[Fed G&amp;C Inv in P]])</f>
        <v>26364810</v>
      </c>
      <c r="VG6"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25027464</v>
      </c>
      <c r="VH6"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29066162</v>
      </c>
      <c r="VI6"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25570635</v>
      </c>
      <c r="VJ6" s="338">
        <f>SUM(Input[[#This Row],[Oth Inc E&amp;G]],Input[[#This Row],[Oth Exp Desg]],Input[[#This Row],[Oth Exp R Exp]],Input[[#This Row],[Oth Exp Loan]],Input[[#This Row],[Oth Exp Annuity]],Input[[#This Row],[Oth Exp Unexp]],Input[[#This Row],[Oth Exp R of Ind]],Input[[#This Row],[Oth Exp Inv in P]])</f>
        <v>865229</v>
      </c>
      <c r="VK6" s="343">
        <f>SUM(Input[[#This Row],[Instr E&amp;G]],Input[[#This Row],[Instr Desg]],Input[[#This Row],[Instr R Exp]],Input[[#This Row],[Instr Loan]],Input[[#This Row],[Instr Annuity]],Input[[#This Row],[Instr Unexp]],Input[[#This Row],[Instr R of Ind]],Input[[#This Row],[Instr Inv in P]])</f>
        <v>61206364</v>
      </c>
      <c r="VL6" s="343">
        <f>SUM(Input[[#This Row],[Res E&amp;G]],Input[[#This Row],[Res Desg]],Input[[#This Row],[Res R Exp]],Input[[#This Row],[Res Loan]],Input[[#This Row],[Res Annuity]],Input[[#This Row],[Res Unexp]],Input[[#This Row],[Res R of Ind]],Input[[#This Row],[Res Inv in P]])</f>
        <v>6227461</v>
      </c>
      <c r="VM6" s="343">
        <f>SUM(Input[[#This Row],[Acad Sup E&amp;G]],Input[[#This Row],[Acad Sup Desg]],Input[[#This Row],[Acad Sup R Exp]],Input[[#This Row],[Acad Sup Loan]],Input[[#This Row],[Acad Sup Annuity]],Input[[#This Row],[Acad Sup Unexp]],Input[[#This Row],[Acad Sup R of Ind]],Input[[#This Row],[Acad Sup Inv in P]])</f>
        <v>18008062</v>
      </c>
      <c r="VN6" s="343">
        <f>SUM(Input[[#This Row],[Stu Svc E&amp;G]],Input[[#This Row],[Stu Svc Desg]],Input[[#This Row],[Stu Svc R Exp]],Input[[#This Row],[Stu Svc Loan]],Input[[#This Row],[Stu Svc Annuity]],Input[[#This Row],[Stu Svc Unexp]],Input[[#This Row],[Stu Svc R of Ind]],Input[[#This Row],[Stu Svc Inv in P]])</f>
        <v>21739201</v>
      </c>
      <c r="VO6" s="343">
        <f>SUM(Input[[#This Row],[Inst. Spt E&amp;G]],Input[[#This Row],[Inst. Spt Desg]],Input[[#This Row],[Inst. Spt R Exp]],Input[[#This Row],[Inst. Spt Loan]],Input[[#This Row],[Inst. Spt Annuity]],Input[[#This Row],[Inst. Spt Unexp]],Input[[#This Row],[Inst. Spt R of Ind]],Input[[#This Row],[Inst. Spt Inv in P]])</f>
        <v>16572761</v>
      </c>
      <c r="VP6" s="343">
        <f>SUM(Input[[#This Row],[M&amp;O Plnt E&amp;G]],Input[[#This Row],[M&amp;O Plnt Desg]],Input[[#This Row],[M&amp;O Plnt R Exp]],Input[[#This Row],[M&amp;O Plnt Loan]],Input[[#This Row],[M&amp;O Plnt Annuity]],Input[[#This Row],[M&amp;O Plnt Unexp]],Input[[#This Row],[M&amp;O Plnt R of Ind]],Input[[#This Row],[M&amp;O Plnt Inv in P]])</f>
        <v>16031828</v>
      </c>
      <c r="VQ6" s="343">
        <f>SUM(Input[[#This Row],[Schl &amp; Fell E&amp;G]],Input[[#This Row],[Schl &amp; Fell Desg]],Input[[#This Row],[Schl &amp; Fell R Exp]],Input[[#This Row],[Schl &amp; Fell Loan]],Input[[#This Row],[Schl &amp; Fell Annuity]],Input[[#This Row],[Schl &amp; Fell Unexp]],Input[[#This Row],[Schl &amp; Fell R of Ind]],Input[[#This Row],[Schl &amp; Fell Inv in P]])</f>
        <v>14870746</v>
      </c>
      <c r="VR6" s="343">
        <f>SUM(Input[[#This Row],[Cap Out fund E&amp;G]],Input[[#This Row],[Cap Out fund Desg]],Input[[#This Row],[Cap Out fund R Exp]],Input[[#This Row],[Cap Out fund Loan]],Input[[#This Row],[Cap Out fund Annuity]],Input[[#This Row],[Cap Out fund Unexp]],Input[[#This Row],[Cap Out fund R of Ind]],Input[[#This Row],[Cap Out fund Inv in P]])</f>
        <v>2376894</v>
      </c>
      <c r="VS6" s="343">
        <f>SUM(Input[[#This Row],[Oth Exp E&amp;G]],Input[[#This Row],[Oth Exp Desg]],Input[[#This Row],[Oth Exp R Exp]],Input[[#This Row],[Oth Exp Loan]],Input[[#This Row],[Oth Exp Annuity]],Input[[#This Row],[Oth Exp Unexp]],Input[[#This Row],[Oth Exp R of Ind]],Input[[#This Row],[Oth Exp Inv in P]],Input[[#This Row],[Oth Exp Inv in P]])</f>
        <v>862619</v>
      </c>
    </row>
    <row r="7" spans="1:591" s="344" customFormat="1" ht="27" customHeight="1" x14ac:dyDescent="0.55000000000000004">
      <c r="A7" s="345" t="s">
        <v>49</v>
      </c>
      <c r="B7" s="346" t="s">
        <v>824</v>
      </c>
      <c r="C7" s="346" t="s">
        <v>824</v>
      </c>
      <c r="D7" s="346">
        <v>490</v>
      </c>
      <c r="E7" s="346" t="s">
        <v>1622</v>
      </c>
      <c r="F7" s="347">
        <v>36273</v>
      </c>
      <c r="G7" s="348">
        <v>30169729</v>
      </c>
      <c r="H7" s="348">
        <v>0</v>
      </c>
      <c r="I7" s="348">
        <v>0</v>
      </c>
      <c r="J7" s="348">
        <v>0</v>
      </c>
      <c r="K7" s="348">
        <v>0</v>
      </c>
      <c r="L7" s="348">
        <v>0</v>
      </c>
      <c r="M7" s="348">
        <v>0</v>
      </c>
      <c r="N7" s="348">
        <v>0</v>
      </c>
      <c r="O7" s="348">
        <v>0</v>
      </c>
      <c r="P7" s="348">
        <v>1078858</v>
      </c>
      <c r="Q7" s="348">
        <v>731775</v>
      </c>
      <c r="R7" s="348">
        <v>0</v>
      </c>
      <c r="S7" s="348">
        <v>598476</v>
      </c>
      <c r="T7" s="348">
        <v>0</v>
      </c>
      <c r="U7" s="348">
        <v>0</v>
      </c>
      <c r="V7" s="348">
        <v>0</v>
      </c>
      <c r="W7" s="348">
        <v>0</v>
      </c>
      <c r="X7" s="348">
        <v>0</v>
      </c>
      <c r="Y7" s="348">
        <v>2630158</v>
      </c>
      <c r="Z7" s="348">
        <v>0</v>
      </c>
      <c r="AA7" s="348">
        <v>0</v>
      </c>
      <c r="AB7" s="348">
        <v>0</v>
      </c>
      <c r="AC7" s="348">
        <v>0</v>
      </c>
      <c r="AD7" s="348">
        <v>0</v>
      </c>
      <c r="AE7" s="348">
        <v>0</v>
      </c>
      <c r="AF7" s="348">
        <v>0</v>
      </c>
      <c r="AG7" s="348">
        <v>0</v>
      </c>
      <c r="AH7" s="348">
        <v>0</v>
      </c>
      <c r="AI7" s="348">
        <v>0</v>
      </c>
      <c r="AJ7" s="348">
        <v>0</v>
      </c>
      <c r="AK7" s="348">
        <v>0</v>
      </c>
      <c r="AL7" s="348">
        <v>0</v>
      </c>
      <c r="AM7" s="348">
        <v>0</v>
      </c>
      <c r="AN7" s="348">
        <v>0</v>
      </c>
      <c r="AO7" s="348">
        <v>0</v>
      </c>
      <c r="AP7" s="348">
        <v>0</v>
      </c>
      <c r="AQ7" s="348">
        <v>-614904</v>
      </c>
      <c r="AR7" s="348">
        <v>0</v>
      </c>
      <c r="AS7" s="348">
        <v>0</v>
      </c>
      <c r="AT7" s="348">
        <v>0</v>
      </c>
      <c r="AU7" s="348">
        <v>0</v>
      </c>
      <c r="AV7" s="348">
        <v>0</v>
      </c>
      <c r="AW7" s="348">
        <v>0</v>
      </c>
      <c r="AX7" s="348">
        <v>0</v>
      </c>
      <c r="AY7" s="348">
        <v>0</v>
      </c>
      <c r="AZ7" s="348">
        <v>0</v>
      </c>
      <c r="BA7" s="348">
        <v>0</v>
      </c>
      <c r="BB7" s="348">
        <v>0</v>
      </c>
      <c r="BC7" s="348">
        <v>0</v>
      </c>
      <c r="BD7" s="348">
        <v>0</v>
      </c>
      <c r="BE7" s="348">
        <v>0</v>
      </c>
      <c r="BF7" s="348">
        <v>0</v>
      </c>
      <c r="BG7" s="348">
        <v>0</v>
      </c>
      <c r="BH7" s="348">
        <v>0</v>
      </c>
      <c r="BI7" s="348">
        <v>0</v>
      </c>
      <c r="BJ7" s="348">
        <v>0</v>
      </c>
      <c r="BK7" s="348">
        <v>0</v>
      </c>
      <c r="BL7" s="348">
        <v>0</v>
      </c>
      <c r="BM7" s="348">
        <v>0</v>
      </c>
      <c r="BN7" s="348">
        <v>0</v>
      </c>
      <c r="BO7" s="348">
        <v>0</v>
      </c>
      <c r="BP7" s="348">
        <v>0</v>
      </c>
      <c r="BQ7" s="348">
        <v>0</v>
      </c>
      <c r="BR7" s="348">
        <v>0</v>
      </c>
      <c r="BS7" s="348">
        <v>0</v>
      </c>
      <c r="BT7" s="348">
        <v>0</v>
      </c>
      <c r="BU7" s="348">
        <v>0</v>
      </c>
      <c r="BV7" s="348">
        <v>0</v>
      </c>
      <c r="BW7" s="348">
        <v>0</v>
      </c>
      <c r="BX7" s="348">
        <v>0</v>
      </c>
      <c r="BY7" s="348">
        <v>0</v>
      </c>
      <c r="BZ7" s="348">
        <v>0</v>
      </c>
      <c r="CA7" s="348">
        <v>3450126</v>
      </c>
      <c r="CB7" s="348">
        <v>3130799</v>
      </c>
      <c r="CC7" s="348">
        <v>0</v>
      </c>
      <c r="CD7" s="348">
        <v>0</v>
      </c>
      <c r="CE7" s="348">
        <v>0</v>
      </c>
      <c r="CF7" s="348">
        <v>0</v>
      </c>
      <c r="CG7" s="348">
        <v>0</v>
      </c>
      <c r="CH7" s="348">
        <v>0</v>
      </c>
      <c r="CI7" s="348">
        <v>0</v>
      </c>
      <c r="CJ7" s="348">
        <v>0</v>
      </c>
      <c r="CK7" s="348">
        <v>0</v>
      </c>
      <c r="CL7" s="348">
        <v>0</v>
      </c>
      <c r="CM7" s="348">
        <v>0</v>
      </c>
      <c r="CN7" s="348">
        <v>0</v>
      </c>
      <c r="CO7" s="348">
        <v>0</v>
      </c>
      <c r="CP7" s="348">
        <v>0</v>
      </c>
      <c r="CQ7" s="348">
        <v>0</v>
      </c>
      <c r="CR7" s="348">
        <v>0</v>
      </c>
      <c r="CS7" s="348">
        <v>0</v>
      </c>
      <c r="CT7" s="348">
        <v>0</v>
      </c>
      <c r="CU7" s="348">
        <v>0</v>
      </c>
      <c r="CV7" s="348">
        <v>0</v>
      </c>
      <c r="CW7" s="348">
        <v>0</v>
      </c>
      <c r="CX7" s="348">
        <v>0</v>
      </c>
      <c r="CY7" s="348">
        <v>0</v>
      </c>
      <c r="CZ7" s="348">
        <v>0</v>
      </c>
      <c r="DA7" s="348">
        <v>0</v>
      </c>
      <c r="DB7" s="348">
        <v>-143558</v>
      </c>
      <c r="DC7" s="348">
        <v>0</v>
      </c>
      <c r="DD7" s="348">
        <v>0</v>
      </c>
      <c r="DE7" s="348">
        <v>0</v>
      </c>
      <c r="DF7" s="348">
        <v>0</v>
      </c>
      <c r="DG7" s="348">
        <v>0</v>
      </c>
      <c r="DH7" s="348">
        <v>0</v>
      </c>
      <c r="DI7" s="348">
        <v>0</v>
      </c>
      <c r="DJ7" s="348">
        <v>0</v>
      </c>
      <c r="DK7" s="348">
        <v>0</v>
      </c>
      <c r="DL7" s="348">
        <v>-240023</v>
      </c>
      <c r="DM7" s="348">
        <v>0</v>
      </c>
      <c r="DN7" s="348">
        <v>0</v>
      </c>
      <c r="DO7" s="348">
        <v>0</v>
      </c>
      <c r="DP7" s="348">
        <v>0</v>
      </c>
      <c r="DQ7" s="348">
        <v>0</v>
      </c>
      <c r="DR7" s="348">
        <v>0</v>
      </c>
      <c r="DS7" s="348">
        <v>0</v>
      </c>
      <c r="DT7" s="348">
        <v>-1162075</v>
      </c>
      <c r="DU7" s="348">
        <v>-1015947</v>
      </c>
      <c r="DV7" s="348">
        <v>0</v>
      </c>
      <c r="DW7" s="348">
        <v>0</v>
      </c>
      <c r="DX7" s="348">
        <v>0</v>
      </c>
      <c r="DY7" s="348">
        <v>0</v>
      </c>
      <c r="DZ7" s="348">
        <v>0</v>
      </c>
      <c r="EA7" s="348">
        <v>0</v>
      </c>
      <c r="EB7" s="348">
        <v>0</v>
      </c>
      <c r="EC7" s="348">
        <v>0</v>
      </c>
      <c r="ED7" s="348">
        <v>0</v>
      </c>
      <c r="EE7" s="348">
        <v>0</v>
      </c>
      <c r="EF7" s="348">
        <v>0</v>
      </c>
      <c r="EG7" s="348">
        <v>0</v>
      </c>
      <c r="EH7" s="348">
        <v>0</v>
      </c>
      <c r="EI7" s="348">
        <v>0</v>
      </c>
      <c r="EJ7" s="348">
        <v>0</v>
      </c>
      <c r="EK7" s="348">
        <v>0</v>
      </c>
      <c r="EL7" s="348">
        <v>0</v>
      </c>
      <c r="EM7" s="348">
        <v>0</v>
      </c>
      <c r="EN7" s="348">
        <v>0</v>
      </c>
      <c r="EO7" s="348">
        <v>0</v>
      </c>
      <c r="EP7" s="348">
        <v>0</v>
      </c>
      <c r="EQ7" s="348">
        <v>0</v>
      </c>
      <c r="ER7" s="348">
        <v>0</v>
      </c>
      <c r="ES7" s="348">
        <v>0</v>
      </c>
      <c r="ET7" s="348">
        <v>0</v>
      </c>
      <c r="EU7" s="348">
        <v>0</v>
      </c>
      <c r="EV7" s="348">
        <v>0</v>
      </c>
      <c r="EW7" s="348">
        <v>0</v>
      </c>
      <c r="EX7" s="348">
        <v>0</v>
      </c>
      <c r="EY7" s="348">
        <v>0</v>
      </c>
      <c r="EZ7" s="348">
        <v>0</v>
      </c>
      <c r="FA7" s="348">
        <v>0</v>
      </c>
      <c r="FB7" s="348">
        <v>0</v>
      </c>
      <c r="FC7" s="348">
        <v>0</v>
      </c>
      <c r="FD7" s="348">
        <v>0</v>
      </c>
      <c r="FE7" s="348">
        <v>0</v>
      </c>
      <c r="FF7" s="348">
        <v>0</v>
      </c>
      <c r="FG7" s="348">
        <v>0</v>
      </c>
      <c r="FH7" s="348">
        <v>0</v>
      </c>
      <c r="FI7" s="348">
        <v>0</v>
      </c>
      <c r="FJ7" s="348">
        <v>0</v>
      </c>
      <c r="FK7" s="348">
        <v>0</v>
      </c>
      <c r="FL7" s="348">
        <v>0</v>
      </c>
      <c r="FM7" s="348">
        <v>26864</v>
      </c>
      <c r="FN7" s="348">
        <v>3052370</v>
      </c>
      <c r="FO7" s="348">
        <v>506267</v>
      </c>
      <c r="FP7" s="348">
        <v>0</v>
      </c>
      <c r="FQ7" s="348">
        <v>0</v>
      </c>
      <c r="FR7" s="348">
        <v>0</v>
      </c>
      <c r="FS7" s="348">
        <v>0</v>
      </c>
      <c r="FT7" s="348">
        <v>0</v>
      </c>
      <c r="FU7" s="348">
        <v>0</v>
      </c>
      <c r="FV7" s="348">
        <v>0</v>
      </c>
      <c r="FW7" s="348">
        <v>0</v>
      </c>
      <c r="FX7" s="348">
        <v>0</v>
      </c>
      <c r="FY7" s="348">
        <v>0</v>
      </c>
      <c r="FZ7" s="348">
        <v>0</v>
      </c>
      <c r="GA7" s="348">
        <v>0</v>
      </c>
      <c r="GB7" s="348">
        <v>0</v>
      </c>
      <c r="GC7" s="348">
        <v>0</v>
      </c>
      <c r="GD7" s="348">
        <v>0</v>
      </c>
      <c r="GE7" s="348">
        <v>0</v>
      </c>
      <c r="GF7" s="348">
        <v>0</v>
      </c>
      <c r="GG7" s="348">
        <v>0</v>
      </c>
      <c r="GH7" s="348">
        <v>0</v>
      </c>
      <c r="GI7" s="348">
        <v>0</v>
      </c>
      <c r="GJ7" s="348">
        <v>0</v>
      </c>
      <c r="GK7" s="348">
        <v>0</v>
      </c>
      <c r="GL7" s="348">
        <v>0</v>
      </c>
      <c r="GM7" s="348">
        <v>0</v>
      </c>
      <c r="GN7" s="348">
        <v>-7231</v>
      </c>
      <c r="GO7" s="348">
        <v>0</v>
      </c>
      <c r="GP7" s="348">
        <v>0</v>
      </c>
      <c r="GQ7" s="348">
        <v>0</v>
      </c>
      <c r="GR7" s="348">
        <v>0</v>
      </c>
      <c r="GS7" s="348">
        <v>0</v>
      </c>
      <c r="GT7" s="348">
        <v>0</v>
      </c>
      <c r="GU7" s="348">
        <v>0</v>
      </c>
      <c r="GV7" s="348">
        <v>0</v>
      </c>
      <c r="GW7" s="348">
        <v>0</v>
      </c>
      <c r="GX7" s="348">
        <v>-272446</v>
      </c>
      <c r="GY7" s="348">
        <v>-30781</v>
      </c>
      <c r="GZ7" s="348">
        <v>0</v>
      </c>
      <c r="HA7" s="348">
        <v>0</v>
      </c>
      <c r="HB7" s="348">
        <v>0</v>
      </c>
      <c r="HC7" s="348">
        <v>0</v>
      </c>
      <c r="HD7" s="348">
        <v>0</v>
      </c>
      <c r="HE7" s="348">
        <v>0</v>
      </c>
      <c r="HF7" s="348">
        <v>-6900</v>
      </c>
      <c r="HG7" s="348">
        <v>-976989</v>
      </c>
      <c r="HH7" s="348">
        <v>-167107</v>
      </c>
      <c r="HI7" s="348">
        <v>0</v>
      </c>
      <c r="HJ7" s="348">
        <v>0</v>
      </c>
      <c r="HK7" s="348">
        <v>0</v>
      </c>
      <c r="HL7" s="348">
        <v>0</v>
      </c>
      <c r="HM7" s="348">
        <v>0</v>
      </c>
      <c r="HN7" s="348">
        <v>0</v>
      </c>
      <c r="HO7" s="348">
        <v>0</v>
      </c>
      <c r="HP7" s="348">
        <v>0</v>
      </c>
      <c r="HQ7" s="348">
        <v>0</v>
      </c>
      <c r="HR7" s="348">
        <v>8493905</v>
      </c>
      <c r="HS7" s="348">
        <v>0</v>
      </c>
      <c r="HT7" s="348">
        <v>0</v>
      </c>
      <c r="HU7" s="348">
        <v>0</v>
      </c>
      <c r="HV7" s="348">
        <v>0</v>
      </c>
      <c r="HW7" s="348">
        <v>0</v>
      </c>
      <c r="HX7" s="348">
        <v>0</v>
      </c>
      <c r="HY7" s="348">
        <v>0</v>
      </c>
      <c r="HZ7" s="348">
        <v>0</v>
      </c>
      <c r="IA7" s="348">
        <v>0</v>
      </c>
      <c r="IB7" s="348">
        <v>0</v>
      </c>
      <c r="IC7" s="348">
        <v>0</v>
      </c>
      <c r="ID7" s="348">
        <v>0</v>
      </c>
      <c r="IE7" s="348">
        <v>0</v>
      </c>
      <c r="IF7" s="348">
        <v>0</v>
      </c>
      <c r="IG7" s="348">
        <v>0</v>
      </c>
      <c r="IH7" s="348">
        <v>0</v>
      </c>
      <c r="II7" s="348">
        <v>0</v>
      </c>
      <c r="IJ7" s="348">
        <v>0</v>
      </c>
      <c r="IK7" s="348">
        <v>0</v>
      </c>
      <c r="IL7" s="348">
        <v>0</v>
      </c>
      <c r="IM7" s="348">
        <v>0</v>
      </c>
      <c r="IN7" s="348">
        <v>0</v>
      </c>
      <c r="IO7" s="348">
        <v>0</v>
      </c>
      <c r="IP7" s="348">
        <v>289752</v>
      </c>
      <c r="IQ7" s="348">
        <v>225714</v>
      </c>
      <c r="IR7" s="348">
        <v>72122</v>
      </c>
      <c r="IS7" s="348">
        <v>0</v>
      </c>
      <c r="IT7" s="348">
        <v>0</v>
      </c>
      <c r="IU7" s="348">
        <v>0</v>
      </c>
      <c r="IV7" s="348">
        <v>0</v>
      </c>
      <c r="IW7" s="348">
        <v>0</v>
      </c>
      <c r="IX7" s="348">
        <v>0</v>
      </c>
      <c r="IY7" s="348">
        <v>0</v>
      </c>
      <c r="IZ7" s="348">
        <v>0</v>
      </c>
      <c r="JA7" s="348">
        <v>0</v>
      </c>
      <c r="JB7" s="348">
        <v>0</v>
      </c>
      <c r="JC7" s="348">
        <v>0</v>
      </c>
      <c r="JD7" s="348">
        <v>0</v>
      </c>
      <c r="JE7" s="348">
        <v>0</v>
      </c>
      <c r="JF7" s="348">
        <v>0</v>
      </c>
      <c r="JG7" s="348">
        <v>0</v>
      </c>
      <c r="JH7" s="348">
        <v>0</v>
      </c>
      <c r="JI7" s="348">
        <v>0</v>
      </c>
      <c r="JJ7" s="348">
        <v>0</v>
      </c>
      <c r="JK7" s="348">
        <v>1991170</v>
      </c>
      <c r="JL7" s="348">
        <v>0</v>
      </c>
      <c r="JM7" s="348">
        <v>0</v>
      </c>
      <c r="JN7" s="348">
        <v>0</v>
      </c>
      <c r="JO7" s="348">
        <v>0</v>
      </c>
      <c r="JP7" s="348">
        <v>0</v>
      </c>
      <c r="JQ7" s="348">
        <v>0</v>
      </c>
      <c r="JR7" s="348">
        <v>0</v>
      </c>
      <c r="JS7" s="348">
        <v>0</v>
      </c>
      <c r="JT7" s="348">
        <v>0</v>
      </c>
      <c r="JU7" s="348">
        <v>0</v>
      </c>
      <c r="JV7" s="348">
        <v>0</v>
      </c>
      <c r="JW7" s="348">
        <v>0</v>
      </c>
      <c r="JX7" s="348">
        <v>0</v>
      </c>
      <c r="JY7" s="348">
        <v>0</v>
      </c>
      <c r="JZ7" s="348">
        <v>0</v>
      </c>
      <c r="KA7" s="348">
        <v>0</v>
      </c>
      <c r="KB7" s="348">
        <v>0</v>
      </c>
      <c r="KC7" s="348">
        <v>0</v>
      </c>
      <c r="KD7" s="348">
        <v>0</v>
      </c>
      <c r="KE7" s="348">
        <v>0</v>
      </c>
      <c r="KF7" s="348">
        <v>0</v>
      </c>
      <c r="KG7" s="348">
        <v>0</v>
      </c>
      <c r="KH7" s="348">
        <v>0</v>
      </c>
      <c r="KI7" s="348">
        <v>328361</v>
      </c>
      <c r="KJ7" s="348">
        <v>17092</v>
      </c>
      <c r="KK7" s="348">
        <v>8476</v>
      </c>
      <c r="KL7" s="348">
        <v>288522</v>
      </c>
      <c r="KM7" s="348">
        <v>21346</v>
      </c>
      <c r="KN7" s="348">
        <v>0</v>
      </c>
      <c r="KO7" s="348">
        <v>81536</v>
      </c>
      <c r="KP7" s="348">
        <v>0</v>
      </c>
      <c r="KQ7" s="348">
        <v>22479478</v>
      </c>
      <c r="KR7" s="348">
        <v>12958572</v>
      </c>
      <c r="KS7" s="348">
        <v>2026684</v>
      </c>
      <c r="KT7" s="348">
        <v>0</v>
      </c>
      <c r="KU7" s="348">
        <v>651743</v>
      </c>
      <c r="KV7" s="348">
        <v>0</v>
      </c>
      <c r="KW7" s="348">
        <v>0</v>
      </c>
      <c r="KX7" s="348">
        <v>0</v>
      </c>
      <c r="KY7" s="348">
        <v>0</v>
      </c>
      <c r="KZ7" s="348">
        <v>0</v>
      </c>
      <c r="LA7" s="348">
        <v>0</v>
      </c>
      <c r="LB7" s="348">
        <v>0</v>
      </c>
      <c r="LC7" s="348">
        <v>0</v>
      </c>
      <c r="LD7" s="348">
        <v>0</v>
      </c>
      <c r="LE7" s="348">
        <v>0</v>
      </c>
      <c r="LF7" s="348">
        <v>0</v>
      </c>
      <c r="LG7" s="348">
        <v>0</v>
      </c>
      <c r="LH7" s="348">
        <v>0</v>
      </c>
      <c r="LI7" s="348">
        <v>0</v>
      </c>
      <c r="LJ7" s="348">
        <v>173871</v>
      </c>
      <c r="LK7" s="348">
        <v>24246</v>
      </c>
      <c r="LL7" s="348">
        <v>0</v>
      </c>
      <c r="LM7" s="348">
        <v>0</v>
      </c>
      <c r="LN7" s="348">
        <v>0</v>
      </c>
      <c r="LO7" s="348">
        <v>0</v>
      </c>
      <c r="LP7" s="348">
        <v>0</v>
      </c>
      <c r="LQ7" s="348">
        <v>0</v>
      </c>
      <c r="LR7" s="348">
        <v>0</v>
      </c>
      <c r="LS7" s="348">
        <v>0</v>
      </c>
      <c r="LT7" s="348">
        <v>0</v>
      </c>
      <c r="LU7" s="348">
        <v>0</v>
      </c>
      <c r="LV7" s="348">
        <v>0</v>
      </c>
      <c r="LW7" s="348">
        <v>0</v>
      </c>
      <c r="LX7" s="348">
        <v>0</v>
      </c>
      <c r="LY7" s="348">
        <v>0</v>
      </c>
      <c r="LZ7" s="348">
        <v>0</v>
      </c>
      <c r="MA7" s="348">
        <v>0</v>
      </c>
      <c r="MB7" s="348">
        <v>2528271</v>
      </c>
      <c r="MC7" s="348">
        <v>298456</v>
      </c>
      <c r="MD7" s="348">
        <v>0</v>
      </c>
      <c r="ME7" s="348">
        <v>103296</v>
      </c>
      <c r="MF7" s="348">
        <v>0</v>
      </c>
      <c r="MG7" s="348">
        <v>0</v>
      </c>
      <c r="MH7" s="348">
        <v>0</v>
      </c>
      <c r="MI7" s="348">
        <v>0</v>
      </c>
      <c r="MJ7" s="348">
        <v>0</v>
      </c>
      <c r="MK7" s="348">
        <v>1782434</v>
      </c>
      <c r="ML7" s="348">
        <v>98384</v>
      </c>
      <c r="MM7" s="348">
        <v>0</v>
      </c>
      <c r="MN7" s="348">
        <v>422248</v>
      </c>
      <c r="MO7" s="348">
        <v>0</v>
      </c>
      <c r="MP7" s="348">
        <v>0</v>
      </c>
      <c r="MQ7" s="348">
        <v>0</v>
      </c>
      <c r="MR7" s="348">
        <v>0</v>
      </c>
      <c r="MS7" s="348">
        <v>0</v>
      </c>
      <c r="MT7" s="348">
        <v>4614597</v>
      </c>
      <c r="MU7" s="348">
        <v>755410</v>
      </c>
      <c r="MV7" s="348">
        <v>0</v>
      </c>
      <c r="MW7" s="348">
        <v>3237</v>
      </c>
      <c r="MX7" s="348">
        <v>0</v>
      </c>
      <c r="MY7" s="348">
        <v>0</v>
      </c>
      <c r="MZ7" s="348">
        <v>0</v>
      </c>
      <c r="NA7" s="348">
        <v>0</v>
      </c>
      <c r="NB7" s="348">
        <v>0</v>
      </c>
      <c r="NC7" s="348">
        <v>1923462</v>
      </c>
      <c r="ND7" s="348">
        <v>867767</v>
      </c>
      <c r="NE7" s="348">
        <v>0</v>
      </c>
      <c r="NF7" s="348">
        <v>0</v>
      </c>
      <c r="NG7" s="348">
        <v>0</v>
      </c>
      <c r="NH7" s="348">
        <v>0</v>
      </c>
      <c r="NI7" s="348">
        <v>0</v>
      </c>
      <c r="NJ7" s="348">
        <v>0</v>
      </c>
      <c r="NK7" s="348">
        <v>0</v>
      </c>
      <c r="NL7" s="348">
        <v>0</v>
      </c>
      <c r="NM7" s="348">
        <v>0</v>
      </c>
      <c r="NN7" s="348">
        <v>0</v>
      </c>
      <c r="NO7" s="348">
        <v>7173911</v>
      </c>
      <c r="NP7" s="348">
        <v>0</v>
      </c>
      <c r="NQ7" s="348">
        <v>0</v>
      </c>
      <c r="NR7" s="348">
        <v>0</v>
      </c>
      <c r="NS7" s="348">
        <v>0</v>
      </c>
      <c r="NT7" s="348">
        <v>0</v>
      </c>
      <c r="NU7" s="348">
        <v>0</v>
      </c>
      <c r="NV7" s="348">
        <v>0</v>
      </c>
      <c r="NW7" s="348">
        <v>611858</v>
      </c>
      <c r="NX7" s="348">
        <v>0</v>
      </c>
      <c r="NY7" s="348">
        <v>0</v>
      </c>
      <c r="NZ7" s="348">
        <v>0</v>
      </c>
      <c r="OA7" s="348">
        <v>0</v>
      </c>
      <c r="OB7" s="348">
        <v>0</v>
      </c>
      <c r="OC7" s="348">
        <v>0</v>
      </c>
      <c r="OD7" s="348">
        <v>5213820</v>
      </c>
      <c r="OE7" s="348">
        <v>9638</v>
      </c>
      <c r="OF7" s="348">
        <v>0</v>
      </c>
      <c r="OG7" s="348">
        <v>595638</v>
      </c>
      <c r="OH7" s="348">
        <v>0</v>
      </c>
      <c r="OI7" s="348">
        <v>0</v>
      </c>
      <c r="OJ7" s="348">
        <v>0</v>
      </c>
      <c r="OK7" s="348">
        <v>0</v>
      </c>
      <c r="OL7" s="348">
        <v>0</v>
      </c>
      <c r="OM7" s="348">
        <v>303457</v>
      </c>
      <c r="ON7" s="348">
        <v>-902994</v>
      </c>
      <c r="OO7" s="348">
        <v>-2477</v>
      </c>
      <c r="OP7" s="348">
        <v>72794</v>
      </c>
      <c r="OQ7" s="348">
        <v>-71855</v>
      </c>
      <c r="OR7" s="348">
        <v>0</v>
      </c>
      <c r="OS7" s="348">
        <v>17163967</v>
      </c>
      <c r="OT7" s="348">
        <v>0</v>
      </c>
      <c r="OU7" s="348">
        <v>89222</v>
      </c>
      <c r="OV7" s="348">
        <v>0</v>
      </c>
      <c r="OW7" s="348">
        <v>0</v>
      </c>
      <c r="OX7" s="348">
        <v>0</v>
      </c>
      <c r="OY7" s="348">
        <v>0</v>
      </c>
      <c r="OZ7" s="348">
        <v>0</v>
      </c>
      <c r="PA7" s="348">
        <v>0</v>
      </c>
      <c r="PB7" s="348">
        <v>0</v>
      </c>
      <c r="PC7" s="348">
        <v>0</v>
      </c>
      <c r="PD7" s="348">
        <v>0</v>
      </c>
      <c r="PE7" s="348">
        <v>-685699</v>
      </c>
      <c r="PF7" s="348">
        <v>-72701</v>
      </c>
      <c r="PG7" s="348">
        <v>0</v>
      </c>
      <c r="PH7" s="348">
        <v>0</v>
      </c>
      <c r="PI7" s="348">
        <v>85433</v>
      </c>
      <c r="PJ7" s="348">
        <v>0</v>
      </c>
      <c r="PK7" s="348">
        <v>20585671</v>
      </c>
      <c r="PL7" s="348">
        <v>0</v>
      </c>
      <c r="PM7" s="348">
        <v>0</v>
      </c>
      <c r="PN7" s="348">
        <v>0</v>
      </c>
      <c r="PO7" s="348">
        <v>0</v>
      </c>
      <c r="PP7" s="348">
        <v>0</v>
      </c>
      <c r="PQ7" s="348">
        <v>0</v>
      </c>
      <c r="PR7" s="348">
        <v>0</v>
      </c>
      <c r="PS7" s="348">
        <v>0</v>
      </c>
      <c r="PT7" s="348">
        <v>0</v>
      </c>
      <c r="PU7" s="348">
        <v>0</v>
      </c>
      <c r="PV7" s="348">
        <v>0</v>
      </c>
      <c r="PW7" s="348">
        <v>-4231000</v>
      </c>
      <c r="PX7" s="348">
        <v>0</v>
      </c>
      <c r="PY7" s="348">
        <v>0</v>
      </c>
      <c r="PZ7" s="348">
        <v>0</v>
      </c>
      <c r="QA7" s="348">
        <v>0</v>
      </c>
      <c r="QB7" s="348">
        <v>0</v>
      </c>
      <c r="QC7" s="348">
        <v>0</v>
      </c>
      <c r="QD7" s="348">
        <v>0</v>
      </c>
      <c r="QE7" s="348">
        <v>0</v>
      </c>
      <c r="QF7" s="348">
        <v>0</v>
      </c>
      <c r="QG7" s="348">
        <v>0</v>
      </c>
      <c r="QH7" s="348">
        <v>0</v>
      </c>
      <c r="QI7" s="348">
        <v>0</v>
      </c>
      <c r="QJ7" s="348">
        <v>0</v>
      </c>
      <c r="QK7" s="348">
        <v>0</v>
      </c>
      <c r="QL7" s="348">
        <v>0</v>
      </c>
      <c r="QM7" s="348">
        <v>0</v>
      </c>
      <c r="QN7" s="348">
        <v>0</v>
      </c>
      <c r="QO7" s="348">
        <v>0</v>
      </c>
      <c r="QP7" s="348">
        <v>0</v>
      </c>
      <c r="QQ7" s="348">
        <v>0</v>
      </c>
      <c r="QR7" s="348">
        <v>0</v>
      </c>
      <c r="QS7" s="348">
        <v>0</v>
      </c>
      <c r="QT7" s="348">
        <v>0</v>
      </c>
      <c r="QU7" s="348">
        <v>0</v>
      </c>
      <c r="QV7" s="348">
        <v>0</v>
      </c>
      <c r="QW7" s="348">
        <v>0</v>
      </c>
      <c r="QX7" s="348">
        <v>0</v>
      </c>
      <c r="QY7" s="348">
        <v>0</v>
      </c>
      <c r="QZ7" s="348">
        <v>0</v>
      </c>
      <c r="RA7" s="348">
        <v>0</v>
      </c>
      <c r="RB7" s="348">
        <v>0</v>
      </c>
      <c r="RC7" s="348">
        <v>0</v>
      </c>
      <c r="RD7" s="348">
        <v>0</v>
      </c>
      <c r="RE7" s="348">
        <v>0</v>
      </c>
      <c r="RF7" s="348">
        <v>0</v>
      </c>
      <c r="RG7" s="348">
        <v>0</v>
      </c>
      <c r="RH7" s="348">
        <v>0</v>
      </c>
      <c r="RI7" s="348">
        <v>0</v>
      </c>
      <c r="RJ7" s="348">
        <v>0</v>
      </c>
      <c r="RK7" s="348">
        <v>0</v>
      </c>
      <c r="RL7" s="348">
        <v>0</v>
      </c>
      <c r="RM7" s="348">
        <v>0</v>
      </c>
      <c r="RN7" s="348">
        <v>0</v>
      </c>
      <c r="RO7" s="348">
        <v>-3585783</v>
      </c>
      <c r="RP7" s="348">
        <v>0</v>
      </c>
      <c r="RQ7" s="348">
        <v>0</v>
      </c>
      <c r="RR7" s="348">
        <v>0</v>
      </c>
      <c r="RS7" s="348">
        <v>0</v>
      </c>
      <c r="RT7" s="348">
        <v>0</v>
      </c>
      <c r="RU7" s="348">
        <v>0</v>
      </c>
      <c r="RV7" s="348">
        <v>0</v>
      </c>
      <c r="RW7" s="348">
        <v>0</v>
      </c>
      <c r="RX7" s="348">
        <v>0</v>
      </c>
      <c r="RY7" s="348">
        <v>0</v>
      </c>
      <c r="RZ7" s="348">
        <v>0</v>
      </c>
      <c r="SA7" s="348">
        <v>0</v>
      </c>
      <c r="SB7" s="348">
        <v>0</v>
      </c>
      <c r="SC7" s="348">
        <v>0</v>
      </c>
      <c r="SD7" s="348">
        <v>0</v>
      </c>
      <c r="SE7" s="348">
        <v>0</v>
      </c>
      <c r="SF7" s="348">
        <v>0</v>
      </c>
      <c r="SG7" s="348">
        <v>0</v>
      </c>
      <c r="SH7" s="348">
        <v>0</v>
      </c>
      <c r="SI7" s="348">
        <v>0</v>
      </c>
      <c r="SJ7" s="348">
        <v>0</v>
      </c>
      <c r="SK7" s="348">
        <v>0</v>
      </c>
      <c r="SL7" s="348">
        <v>0</v>
      </c>
      <c r="SM7" s="348">
        <v>0</v>
      </c>
      <c r="SN7" s="348">
        <v>0</v>
      </c>
      <c r="SO7" s="348">
        <v>0</v>
      </c>
      <c r="SP7" s="348">
        <v>0</v>
      </c>
      <c r="SQ7" s="348">
        <v>0</v>
      </c>
      <c r="SR7" s="348">
        <v>0</v>
      </c>
      <c r="SS7" s="348">
        <v>0</v>
      </c>
      <c r="ST7" s="348">
        <v>0</v>
      </c>
      <c r="SU7" s="348">
        <v>0</v>
      </c>
      <c r="SV7" s="348">
        <v>0</v>
      </c>
      <c r="SW7" s="348">
        <v>0</v>
      </c>
      <c r="SX7" s="348">
        <v>0</v>
      </c>
      <c r="SY7" s="348">
        <v>0</v>
      </c>
      <c r="SZ7" s="348" t="s">
        <v>1420</v>
      </c>
      <c r="TA7" s="348" t="s">
        <v>1420</v>
      </c>
      <c r="TB7" s="348" t="s">
        <v>1420</v>
      </c>
      <c r="TC7" s="348">
        <v>444155</v>
      </c>
      <c r="TD7" s="348">
        <v>0</v>
      </c>
      <c r="TE7" s="348">
        <v>0</v>
      </c>
      <c r="TF7" s="348">
        <v>0</v>
      </c>
      <c r="TG7" s="348">
        <v>8273</v>
      </c>
      <c r="TH7" s="348">
        <v>276073</v>
      </c>
      <c r="TI7" s="348">
        <v>345258</v>
      </c>
      <c r="TJ7" s="348">
        <v>4745337</v>
      </c>
      <c r="TK7" s="348">
        <v>0</v>
      </c>
      <c r="TL7" s="348">
        <v>0</v>
      </c>
      <c r="TM7" s="348">
        <v>0</v>
      </c>
      <c r="TN7" s="348">
        <v>171197</v>
      </c>
      <c r="TO7" s="348">
        <v>0</v>
      </c>
      <c r="TP7" s="348">
        <v>0</v>
      </c>
      <c r="TQ7" s="348">
        <v>0</v>
      </c>
      <c r="TR7" s="348">
        <v>0</v>
      </c>
      <c r="TS7" s="348">
        <v>654011</v>
      </c>
      <c r="TT7" s="348">
        <v>0</v>
      </c>
      <c r="TU7" s="348">
        <v>0</v>
      </c>
      <c r="TV7" s="348">
        <v>0</v>
      </c>
      <c r="TW7" s="348">
        <v>598476</v>
      </c>
      <c r="TX7" s="348">
        <v>0</v>
      </c>
      <c r="TY7" s="348">
        <v>0</v>
      </c>
      <c r="TZ7" s="348">
        <v>0</v>
      </c>
      <c r="UA7" s="348">
        <v>0</v>
      </c>
      <c r="UB7" s="348">
        <v>0</v>
      </c>
      <c r="UC7" s="348">
        <v>0</v>
      </c>
      <c r="UD7" s="348">
        <v>0</v>
      </c>
      <c r="UE7" s="348">
        <v>1810633</v>
      </c>
      <c r="UF7" s="348">
        <v>0</v>
      </c>
      <c r="UG7" s="348">
        <v>0</v>
      </c>
      <c r="UH7" s="348">
        <v>15636998.92</v>
      </c>
      <c r="UI7" s="348">
        <v>0</v>
      </c>
      <c r="UJ7" s="348">
        <v>198117.03</v>
      </c>
      <c r="UK7" s="348">
        <v>0</v>
      </c>
      <c r="UL7" s="348">
        <v>2930022.85</v>
      </c>
      <c r="UM7" s="348">
        <v>2303066.37</v>
      </c>
      <c r="UN7" s="348">
        <v>5373244.2699999996</v>
      </c>
      <c r="UO7" s="348">
        <v>2791228.67</v>
      </c>
      <c r="UP7" s="348">
        <v>7173910.8600000003</v>
      </c>
      <c r="UQ7" s="348">
        <v>611857.98</v>
      </c>
      <c r="UR7"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5819096</v>
      </c>
      <c r="US7" s="338">
        <f>SUM(Input[[#This Row],[Oth Exp E&amp;G]],Input[[#This Row],[Oth Exp Desg]],Input[[#This Row],[Oth Exp Aux]],Input[[#This Row],[Oth Exp R Exp]],Input[[#This Row],[Oth Exp Loan]],Input[[#This Row],[Oth Exp Annuity]],Input[[#This Row],[Oth Exp Unexp]],Input[[#This Row],[Oth Exp R of Ind]],Input[[#This Row],[Oth Exp Inv in P]])</f>
        <v>16652114</v>
      </c>
      <c r="UT7" s="348">
        <v>0</v>
      </c>
      <c r="UU7" s="338">
        <v>0</v>
      </c>
      <c r="UV7" s="345" t="s">
        <v>1636</v>
      </c>
      <c r="UW7" s="349">
        <v>4092475134</v>
      </c>
      <c r="UX7" s="345" t="s">
        <v>1637</v>
      </c>
      <c r="UY7" s="345" t="s">
        <v>1638</v>
      </c>
      <c r="UZ7" s="349">
        <v>4098392065</v>
      </c>
      <c r="VA7" s="345" t="s">
        <v>1639</v>
      </c>
      <c r="VB7" s="341" cm="1">
        <f t="array" ref="VB7">IFERROR(_xlfn.IFS(Input[[#This Row],[Type]]="HRI",VLOOKUP(Input[[#This Row],[Institution Name]],FTSEHRI[],9,FALSE),Input[[#This Row],[Type]]="UNIV",VLOOKUP(Input[[#This Row],[Institution Name]],FTSEUNIV[],9,FALSE),OR(Input[[#This Row],[Type]]="TSTC",Input[[#This Row],[Type]]="LSC"),VLOOKUP(Input[[#This Row],[Institution Name]],FTSETSTC[],8,FALSE)),"N/A")</f>
        <v>3209.86</v>
      </c>
      <c r="VC7" s="342" t="str" cm="1">
        <f t="array" ref="VC7">IFERROR(_xlfn.IFS(Input[[#This Row],[Type]]="HRI",VLOOKUP(Input[[#This Row],[Institution Name]],FTSEHRI[],11,FALSE),Input[[#This Row],[Type]]="UNIV",VLOOKUP(Input[[#This Row],[Institution Name]],FTSEUNIV[],11,FALSE),Input[[#This Row],[Type]]="TSTC",VLOOKUP(Input[[#This Row],[Institution Name]],FTSETSTC[],10,FALSE)),"N/A")</f>
        <v>N/A</v>
      </c>
      <c r="VD7"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32578838</v>
      </c>
      <c r="VE7"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2630158</v>
      </c>
      <c r="VF7" s="338">
        <f>SUM(Input[[#This Row],[Fed G&amp;C E&amp;G]],Input[[#This Row],[Fed G&amp;C Desg]],Input[[#This Row],[Fed G&amp;C R Exp]],Input[[#This Row],[Fed G&amp;C Loan]],Input[[#This Row],[Fed G&amp;C Annuity]],Input[[#This Row],[Fed G&amp;C Unexp]],Input[[#This Row],[Fed G&amp;C R of Ind]],Input[[#This Row],[Fed G&amp;C Inv in P]])</f>
        <v>8493905</v>
      </c>
      <c r="VG7"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25722971</v>
      </c>
      <c r="VH7"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4019322</v>
      </c>
      <c r="VI7"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1815668</v>
      </c>
      <c r="VJ7" s="338">
        <f>SUM(Input[[#This Row],[Oth Inc E&amp;G]],Input[[#This Row],[Oth Exp Desg]],Input[[#This Row],[Oth Exp R Exp]],Input[[#This Row],[Oth Exp Loan]],Input[[#This Row],[Oth Exp Annuity]],Input[[#This Row],[Oth Exp Unexp]],Input[[#This Row],[Oth Exp R of Ind]],Input[[#This Row],[Oth Exp Inv in P]])</f>
        <v>16679495</v>
      </c>
      <c r="VK7" s="343">
        <f>SUM(Input[[#This Row],[Instr E&amp;G]],Input[[#This Row],[Instr Desg]],Input[[#This Row],[Instr R Exp]],Input[[#This Row],[Instr Loan]],Input[[#This Row],[Instr Annuity]],Input[[#This Row],[Instr Unexp]],Input[[#This Row],[Instr R of Ind]],Input[[#This Row],[Instr Inv in P]])</f>
        <v>15636999</v>
      </c>
      <c r="VL7" s="343">
        <f>SUM(Input[[#This Row],[Res E&amp;G]],Input[[#This Row],[Res Desg]],Input[[#This Row],[Res R Exp]],Input[[#This Row],[Res Loan]],Input[[#This Row],[Res Annuity]],Input[[#This Row],[Res Unexp]],Input[[#This Row],[Res R of Ind]],Input[[#This Row],[Res Inv in P]])</f>
        <v>0</v>
      </c>
      <c r="VM7" s="343">
        <f>SUM(Input[[#This Row],[Acad Sup E&amp;G]],Input[[#This Row],[Acad Sup Desg]],Input[[#This Row],[Acad Sup R Exp]],Input[[#This Row],[Acad Sup Loan]],Input[[#This Row],[Acad Sup Annuity]],Input[[#This Row],[Acad Sup Unexp]],Input[[#This Row],[Acad Sup R of Ind]],Input[[#This Row],[Acad Sup Inv in P]])</f>
        <v>2930023</v>
      </c>
      <c r="VN7" s="343">
        <f>SUM(Input[[#This Row],[Stu Svc E&amp;G]],Input[[#This Row],[Stu Svc Desg]],Input[[#This Row],[Stu Svc R Exp]],Input[[#This Row],[Stu Svc Loan]],Input[[#This Row],[Stu Svc Annuity]],Input[[#This Row],[Stu Svc Unexp]],Input[[#This Row],[Stu Svc R of Ind]],Input[[#This Row],[Stu Svc Inv in P]])</f>
        <v>2303066</v>
      </c>
      <c r="VO7" s="343">
        <f>SUM(Input[[#This Row],[Inst. Spt E&amp;G]],Input[[#This Row],[Inst. Spt Desg]],Input[[#This Row],[Inst. Spt R Exp]],Input[[#This Row],[Inst. Spt Loan]],Input[[#This Row],[Inst. Spt Annuity]],Input[[#This Row],[Inst. Spt Unexp]],Input[[#This Row],[Inst. Spt R of Ind]],Input[[#This Row],[Inst. Spt Inv in P]])</f>
        <v>5373244</v>
      </c>
      <c r="VP7" s="343">
        <f>SUM(Input[[#This Row],[M&amp;O Plnt E&amp;G]],Input[[#This Row],[M&amp;O Plnt Desg]],Input[[#This Row],[M&amp;O Plnt R Exp]],Input[[#This Row],[M&amp;O Plnt Loan]],Input[[#This Row],[M&amp;O Plnt Annuity]],Input[[#This Row],[M&amp;O Plnt Unexp]],Input[[#This Row],[M&amp;O Plnt R of Ind]],Input[[#This Row],[M&amp;O Plnt Inv in P]])</f>
        <v>2791229</v>
      </c>
      <c r="VQ7" s="343">
        <f>SUM(Input[[#This Row],[Schl &amp; Fell E&amp;G]],Input[[#This Row],[Schl &amp; Fell Desg]],Input[[#This Row],[Schl &amp; Fell R Exp]],Input[[#This Row],[Schl &amp; Fell Loan]],Input[[#This Row],[Schl &amp; Fell Annuity]],Input[[#This Row],[Schl &amp; Fell Unexp]],Input[[#This Row],[Schl &amp; Fell R of Ind]],Input[[#This Row],[Schl &amp; Fell Inv in P]])</f>
        <v>7173911</v>
      </c>
      <c r="VR7" s="343">
        <f>SUM(Input[[#This Row],[Cap Out fund E&amp;G]],Input[[#This Row],[Cap Out fund Desg]],Input[[#This Row],[Cap Out fund R Exp]],Input[[#This Row],[Cap Out fund Loan]],Input[[#This Row],[Cap Out fund Annuity]],Input[[#This Row],[Cap Out fund Unexp]],Input[[#This Row],[Cap Out fund R of Ind]],Input[[#This Row],[Cap Out fund Inv in P]])</f>
        <v>5819096</v>
      </c>
      <c r="VS7" s="343">
        <f>SUM(Input[[#This Row],[Oth Exp E&amp;G]],Input[[#This Row],[Oth Exp Desg]],Input[[#This Row],[Oth Exp R Exp]],Input[[#This Row],[Oth Exp Loan]],Input[[#This Row],[Oth Exp Annuity]],Input[[#This Row],[Oth Exp Unexp]],Input[[#This Row],[Oth Exp R of Ind]],Input[[#This Row],[Oth Exp Inv in P]],Input[[#This Row],[Oth Exp Inv in P]])</f>
        <v>16743813</v>
      </c>
    </row>
    <row r="8" spans="1:591" s="344" customFormat="1" ht="27" customHeight="1" x14ac:dyDescent="0.55000000000000004">
      <c r="A8" s="339" t="s">
        <v>50</v>
      </c>
      <c r="B8" s="334" t="s">
        <v>824</v>
      </c>
      <c r="C8" s="334" t="s">
        <v>824</v>
      </c>
      <c r="D8" s="334">
        <v>500</v>
      </c>
      <c r="E8" s="334" t="s">
        <v>1622</v>
      </c>
      <c r="F8" s="335">
        <v>23582</v>
      </c>
      <c r="G8" s="336">
        <v>20662139</v>
      </c>
      <c r="H8" s="336">
        <v>0</v>
      </c>
      <c r="I8" s="336">
        <v>0</v>
      </c>
      <c r="J8" s="336">
        <v>0</v>
      </c>
      <c r="K8" s="336">
        <v>0</v>
      </c>
      <c r="L8" s="336">
        <v>0</v>
      </c>
      <c r="M8" s="336">
        <v>0</v>
      </c>
      <c r="N8" s="336">
        <v>0</v>
      </c>
      <c r="O8" s="336">
        <v>0</v>
      </c>
      <c r="P8" s="336">
        <v>341968</v>
      </c>
      <c r="Q8" s="336">
        <v>540595</v>
      </c>
      <c r="R8" s="336">
        <v>0</v>
      </c>
      <c r="S8" s="336">
        <v>499351</v>
      </c>
      <c r="T8" s="336">
        <v>0</v>
      </c>
      <c r="U8" s="336">
        <v>0</v>
      </c>
      <c r="V8" s="336">
        <v>0</v>
      </c>
      <c r="W8" s="336">
        <v>0</v>
      </c>
      <c r="X8" s="336">
        <v>0</v>
      </c>
      <c r="Y8" s="336">
        <v>1533301</v>
      </c>
      <c r="Z8" s="336">
        <v>0</v>
      </c>
      <c r="AA8" s="336">
        <v>0</v>
      </c>
      <c r="AB8" s="336">
        <v>0</v>
      </c>
      <c r="AC8" s="336">
        <v>0</v>
      </c>
      <c r="AD8" s="336">
        <v>0</v>
      </c>
      <c r="AE8" s="336">
        <v>0</v>
      </c>
      <c r="AF8" s="336">
        <v>0</v>
      </c>
      <c r="AG8" s="336">
        <v>0</v>
      </c>
      <c r="AH8" s="336">
        <v>0</v>
      </c>
      <c r="AI8" s="336">
        <v>0</v>
      </c>
      <c r="AJ8" s="336">
        <v>0</v>
      </c>
      <c r="AK8" s="336">
        <v>0</v>
      </c>
      <c r="AL8" s="336">
        <v>0</v>
      </c>
      <c r="AM8" s="336">
        <v>0</v>
      </c>
      <c r="AN8" s="336">
        <v>0</v>
      </c>
      <c r="AO8" s="336">
        <v>0</v>
      </c>
      <c r="AP8" s="336">
        <v>0</v>
      </c>
      <c r="AQ8" s="336">
        <v>-1362092</v>
      </c>
      <c r="AR8" s="336">
        <v>0</v>
      </c>
      <c r="AS8" s="336">
        <v>0</v>
      </c>
      <c r="AT8" s="336">
        <v>0</v>
      </c>
      <c r="AU8" s="336">
        <v>0</v>
      </c>
      <c r="AV8" s="336">
        <v>0</v>
      </c>
      <c r="AW8" s="336">
        <v>0</v>
      </c>
      <c r="AX8" s="336">
        <v>0</v>
      </c>
      <c r="AY8" s="336">
        <v>0</v>
      </c>
      <c r="AZ8" s="336">
        <v>0</v>
      </c>
      <c r="BA8" s="336">
        <v>0</v>
      </c>
      <c r="BB8" s="336">
        <v>0</v>
      </c>
      <c r="BC8" s="336">
        <v>0</v>
      </c>
      <c r="BD8" s="336">
        <v>0</v>
      </c>
      <c r="BE8" s="336">
        <v>0</v>
      </c>
      <c r="BF8" s="336">
        <v>0</v>
      </c>
      <c r="BG8" s="336">
        <v>0</v>
      </c>
      <c r="BH8" s="336">
        <v>0</v>
      </c>
      <c r="BI8" s="336">
        <v>0</v>
      </c>
      <c r="BJ8" s="336">
        <v>0</v>
      </c>
      <c r="BK8" s="336">
        <v>0</v>
      </c>
      <c r="BL8" s="336">
        <v>0</v>
      </c>
      <c r="BM8" s="336">
        <v>0</v>
      </c>
      <c r="BN8" s="336">
        <v>0</v>
      </c>
      <c r="BO8" s="336">
        <v>0</v>
      </c>
      <c r="BP8" s="336">
        <v>0</v>
      </c>
      <c r="BQ8" s="336">
        <v>0</v>
      </c>
      <c r="BR8" s="336">
        <v>0</v>
      </c>
      <c r="BS8" s="336">
        <v>0</v>
      </c>
      <c r="BT8" s="336">
        <v>0</v>
      </c>
      <c r="BU8" s="336">
        <v>0</v>
      </c>
      <c r="BV8" s="336">
        <v>0</v>
      </c>
      <c r="BW8" s="336">
        <v>0</v>
      </c>
      <c r="BX8" s="336">
        <v>0</v>
      </c>
      <c r="BY8" s="336">
        <v>0</v>
      </c>
      <c r="BZ8" s="336">
        <v>0</v>
      </c>
      <c r="CA8" s="336">
        <v>1770797</v>
      </c>
      <c r="CB8" s="336">
        <v>1607776</v>
      </c>
      <c r="CC8" s="336">
        <v>0</v>
      </c>
      <c r="CD8" s="336">
        <v>0</v>
      </c>
      <c r="CE8" s="336">
        <v>0</v>
      </c>
      <c r="CF8" s="336">
        <v>0</v>
      </c>
      <c r="CG8" s="336">
        <v>0</v>
      </c>
      <c r="CH8" s="336">
        <v>0</v>
      </c>
      <c r="CI8" s="336">
        <v>0</v>
      </c>
      <c r="CJ8" s="336">
        <v>0</v>
      </c>
      <c r="CK8" s="336">
        <v>0</v>
      </c>
      <c r="CL8" s="336">
        <v>0</v>
      </c>
      <c r="CM8" s="336">
        <v>0</v>
      </c>
      <c r="CN8" s="336">
        <v>0</v>
      </c>
      <c r="CO8" s="336">
        <v>0</v>
      </c>
      <c r="CP8" s="336">
        <v>0</v>
      </c>
      <c r="CQ8" s="336">
        <v>0</v>
      </c>
      <c r="CR8" s="336">
        <v>0</v>
      </c>
      <c r="CS8" s="336">
        <v>0</v>
      </c>
      <c r="CT8" s="336">
        <v>0</v>
      </c>
      <c r="CU8" s="336">
        <v>0</v>
      </c>
      <c r="CV8" s="336">
        <v>0</v>
      </c>
      <c r="CW8" s="336">
        <v>0</v>
      </c>
      <c r="CX8" s="336">
        <v>0</v>
      </c>
      <c r="CY8" s="336">
        <v>0</v>
      </c>
      <c r="CZ8" s="336">
        <v>0</v>
      </c>
      <c r="DA8" s="336">
        <v>0</v>
      </c>
      <c r="DB8" s="336">
        <v>-58565</v>
      </c>
      <c r="DC8" s="336">
        <v>-31803</v>
      </c>
      <c r="DD8" s="336">
        <v>0</v>
      </c>
      <c r="DE8" s="336">
        <v>0</v>
      </c>
      <c r="DF8" s="336">
        <v>0</v>
      </c>
      <c r="DG8" s="336">
        <v>0</v>
      </c>
      <c r="DH8" s="336">
        <v>0</v>
      </c>
      <c r="DI8" s="336">
        <v>0</v>
      </c>
      <c r="DJ8" s="336">
        <v>0</v>
      </c>
      <c r="DK8" s="336">
        <v>0</v>
      </c>
      <c r="DL8" s="336">
        <v>0</v>
      </c>
      <c r="DM8" s="336">
        <v>0</v>
      </c>
      <c r="DN8" s="336">
        <v>0</v>
      </c>
      <c r="DO8" s="336">
        <v>0</v>
      </c>
      <c r="DP8" s="336">
        <v>0</v>
      </c>
      <c r="DQ8" s="336">
        <v>0</v>
      </c>
      <c r="DR8" s="336">
        <v>0</v>
      </c>
      <c r="DS8" s="336">
        <v>0</v>
      </c>
      <c r="DT8" s="336">
        <v>-1809844</v>
      </c>
      <c r="DU8" s="336">
        <v>-440195</v>
      </c>
      <c r="DV8" s="336">
        <v>0</v>
      </c>
      <c r="DW8" s="336">
        <v>0</v>
      </c>
      <c r="DX8" s="336">
        <v>0</v>
      </c>
      <c r="DY8" s="336">
        <v>0</v>
      </c>
      <c r="DZ8" s="336">
        <v>0</v>
      </c>
      <c r="EA8" s="336">
        <v>0</v>
      </c>
      <c r="EB8" s="336">
        <v>0</v>
      </c>
      <c r="EC8" s="336">
        <v>0</v>
      </c>
      <c r="ED8" s="336">
        <v>0</v>
      </c>
      <c r="EE8" s="336">
        <v>0</v>
      </c>
      <c r="EF8" s="336">
        <v>0</v>
      </c>
      <c r="EG8" s="336">
        <v>0</v>
      </c>
      <c r="EH8" s="336">
        <v>0</v>
      </c>
      <c r="EI8" s="336">
        <v>0</v>
      </c>
      <c r="EJ8" s="336">
        <v>0</v>
      </c>
      <c r="EK8" s="336">
        <v>0</v>
      </c>
      <c r="EL8" s="336">
        <v>0</v>
      </c>
      <c r="EM8" s="336">
        <v>0</v>
      </c>
      <c r="EN8" s="336">
        <v>0</v>
      </c>
      <c r="EO8" s="336">
        <v>0</v>
      </c>
      <c r="EP8" s="336">
        <v>0</v>
      </c>
      <c r="EQ8" s="336">
        <v>0</v>
      </c>
      <c r="ER8" s="336">
        <v>0</v>
      </c>
      <c r="ES8" s="336">
        <v>0</v>
      </c>
      <c r="ET8" s="336">
        <v>0</v>
      </c>
      <c r="EU8" s="336">
        <v>0</v>
      </c>
      <c r="EV8" s="336">
        <v>0</v>
      </c>
      <c r="EW8" s="336">
        <v>0</v>
      </c>
      <c r="EX8" s="336">
        <v>0</v>
      </c>
      <c r="EY8" s="336">
        <v>0</v>
      </c>
      <c r="EZ8" s="336">
        <v>0</v>
      </c>
      <c r="FA8" s="336">
        <v>0</v>
      </c>
      <c r="FB8" s="336">
        <v>0</v>
      </c>
      <c r="FC8" s="336">
        <v>0</v>
      </c>
      <c r="FD8" s="336">
        <v>0</v>
      </c>
      <c r="FE8" s="336">
        <v>0</v>
      </c>
      <c r="FF8" s="336">
        <v>0</v>
      </c>
      <c r="FG8" s="336">
        <v>0</v>
      </c>
      <c r="FH8" s="336">
        <v>0</v>
      </c>
      <c r="FI8" s="336">
        <v>0</v>
      </c>
      <c r="FJ8" s="336">
        <v>0</v>
      </c>
      <c r="FK8" s="336">
        <v>0</v>
      </c>
      <c r="FL8" s="336">
        <v>0</v>
      </c>
      <c r="FM8" s="336">
        <v>12720</v>
      </c>
      <c r="FN8" s="336">
        <v>3096102</v>
      </c>
      <c r="FO8" s="336">
        <v>237321</v>
      </c>
      <c r="FP8" s="336">
        <v>0</v>
      </c>
      <c r="FQ8" s="336">
        <v>0</v>
      </c>
      <c r="FR8" s="336">
        <v>0</v>
      </c>
      <c r="FS8" s="336">
        <v>0</v>
      </c>
      <c r="FT8" s="336">
        <v>0</v>
      </c>
      <c r="FU8" s="336">
        <v>0</v>
      </c>
      <c r="FV8" s="336">
        <v>0</v>
      </c>
      <c r="FW8" s="336">
        <v>0</v>
      </c>
      <c r="FX8" s="336">
        <v>0</v>
      </c>
      <c r="FY8" s="336">
        <v>0</v>
      </c>
      <c r="FZ8" s="336">
        <v>0</v>
      </c>
      <c r="GA8" s="336">
        <v>0</v>
      </c>
      <c r="GB8" s="336">
        <v>0</v>
      </c>
      <c r="GC8" s="336">
        <v>0</v>
      </c>
      <c r="GD8" s="336">
        <v>0</v>
      </c>
      <c r="GE8" s="336">
        <v>0</v>
      </c>
      <c r="GF8" s="336">
        <v>0</v>
      </c>
      <c r="GG8" s="336">
        <v>0</v>
      </c>
      <c r="GH8" s="336">
        <v>0</v>
      </c>
      <c r="GI8" s="336">
        <v>0</v>
      </c>
      <c r="GJ8" s="336">
        <v>0</v>
      </c>
      <c r="GK8" s="336">
        <v>0</v>
      </c>
      <c r="GL8" s="336">
        <v>0</v>
      </c>
      <c r="GM8" s="336">
        <v>0</v>
      </c>
      <c r="GN8" s="336">
        <v>-255</v>
      </c>
      <c r="GO8" s="336">
        <v>-38157</v>
      </c>
      <c r="GP8" s="336">
        <v>-3023</v>
      </c>
      <c r="GQ8" s="336">
        <v>0</v>
      </c>
      <c r="GR8" s="336">
        <v>0</v>
      </c>
      <c r="GS8" s="336">
        <v>0</v>
      </c>
      <c r="GT8" s="336">
        <v>0</v>
      </c>
      <c r="GU8" s="336">
        <v>0</v>
      </c>
      <c r="GV8" s="336">
        <v>0</v>
      </c>
      <c r="GW8" s="336">
        <v>0</v>
      </c>
      <c r="GX8" s="336">
        <v>0</v>
      </c>
      <c r="GY8" s="336">
        <v>0</v>
      </c>
      <c r="GZ8" s="336">
        <v>0</v>
      </c>
      <c r="HA8" s="336">
        <v>0</v>
      </c>
      <c r="HB8" s="336">
        <v>0</v>
      </c>
      <c r="HC8" s="336">
        <v>0</v>
      </c>
      <c r="HD8" s="336">
        <v>0</v>
      </c>
      <c r="HE8" s="336">
        <v>0</v>
      </c>
      <c r="HF8" s="336">
        <v>-7331</v>
      </c>
      <c r="HG8" s="336">
        <v>-871454</v>
      </c>
      <c r="HH8" s="336">
        <v>-8614</v>
      </c>
      <c r="HI8" s="336">
        <v>0</v>
      </c>
      <c r="HJ8" s="336">
        <v>0</v>
      </c>
      <c r="HK8" s="336">
        <v>0</v>
      </c>
      <c r="HL8" s="336">
        <v>0</v>
      </c>
      <c r="HM8" s="336">
        <v>0</v>
      </c>
      <c r="HN8" s="336">
        <v>0</v>
      </c>
      <c r="HO8" s="336">
        <v>0</v>
      </c>
      <c r="HP8" s="336">
        <v>0</v>
      </c>
      <c r="HQ8" s="336">
        <v>0</v>
      </c>
      <c r="HR8" s="336">
        <v>4324792</v>
      </c>
      <c r="HS8" s="336">
        <v>0</v>
      </c>
      <c r="HT8" s="336">
        <v>0</v>
      </c>
      <c r="HU8" s="336">
        <v>9184</v>
      </c>
      <c r="HV8" s="336">
        <v>0</v>
      </c>
      <c r="HW8" s="336">
        <v>0</v>
      </c>
      <c r="HX8" s="336">
        <v>0</v>
      </c>
      <c r="HY8" s="336">
        <v>0</v>
      </c>
      <c r="HZ8" s="336">
        <v>0</v>
      </c>
      <c r="IA8" s="336">
        <v>0</v>
      </c>
      <c r="IB8" s="336">
        <v>0</v>
      </c>
      <c r="IC8" s="336">
        <v>0</v>
      </c>
      <c r="ID8" s="336">
        <v>0</v>
      </c>
      <c r="IE8" s="336">
        <v>0</v>
      </c>
      <c r="IF8" s="336">
        <v>0</v>
      </c>
      <c r="IG8" s="336">
        <v>0</v>
      </c>
      <c r="IH8" s="336">
        <v>0</v>
      </c>
      <c r="II8" s="336">
        <v>0</v>
      </c>
      <c r="IJ8" s="336">
        <v>0</v>
      </c>
      <c r="IK8" s="336">
        <v>0</v>
      </c>
      <c r="IL8" s="336">
        <v>0</v>
      </c>
      <c r="IM8" s="336">
        <v>0</v>
      </c>
      <c r="IN8" s="336">
        <v>0</v>
      </c>
      <c r="IO8" s="336">
        <v>0</v>
      </c>
      <c r="IP8" s="336">
        <v>194130</v>
      </c>
      <c r="IQ8" s="336">
        <v>1313090</v>
      </c>
      <c r="IR8" s="336">
        <v>1966</v>
      </c>
      <c r="IS8" s="336">
        <v>0</v>
      </c>
      <c r="IT8" s="336">
        <v>0</v>
      </c>
      <c r="IU8" s="336">
        <v>0</v>
      </c>
      <c r="IV8" s="336">
        <v>38408</v>
      </c>
      <c r="IW8" s="336">
        <v>0</v>
      </c>
      <c r="IX8" s="336">
        <v>0</v>
      </c>
      <c r="IY8" s="336">
        <v>0</v>
      </c>
      <c r="IZ8" s="336">
        <v>0</v>
      </c>
      <c r="JA8" s="336">
        <v>0</v>
      </c>
      <c r="JB8" s="336">
        <v>0</v>
      </c>
      <c r="JC8" s="336">
        <v>0</v>
      </c>
      <c r="JD8" s="336">
        <v>0</v>
      </c>
      <c r="JE8" s="336">
        <v>0</v>
      </c>
      <c r="JF8" s="336">
        <v>0</v>
      </c>
      <c r="JG8" s="336">
        <v>0</v>
      </c>
      <c r="JH8" s="336">
        <v>0</v>
      </c>
      <c r="JI8" s="336">
        <v>-100000</v>
      </c>
      <c r="JJ8" s="336">
        <v>0</v>
      </c>
      <c r="JK8" s="336">
        <v>1517281</v>
      </c>
      <c r="JL8" s="336">
        <v>0</v>
      </c>
      <c r="JM8" s="336">
        <v>0</v>
      </c>
      <c r="JN8" s="336">
        <v>0</v>
      </c>
      <c r="JO8" s="336">
        <v>0</v>
      </c>
      <c r="JP8" s="336">
        <v>0</v>
      </c>
      <c r="JQ8" s="336">
        <v>0</v>
      </c>
      <c r="JR8" s="336">
        <v>32355</v>
      </c>
      <c r="JS8" s="336">
        <v>198872</v>
      </c>
      <c r="JT8" s="336">
        <v>0</v>
      </c>
      <c r="JU8" s="336">
        <v>0</v>
      </c>
      <c r="JV8" s="336">
        <v>0</v>
      </c>
      <c r="JW8" s="336">
        <v>0</v>
      </c>
      <c r="JX8" s="336">
        <v>0</v>
      </c>
      <c r="JY8" s="336">
        <v>0</v>
      </c>
      <c r="JZ8" s="336">
        <v>0</v>
      </c>
      <c r="KA8" s="336">
        <v>0</v>
      </c>
      <c r="KB8" s="336">
        <v>0</v>
      </c>
      <c r="KC8" s="336">
        <v>0</v>
      </c>
      <c r="KD8" s="336">
        <v>0</v>
      </c>
      <c r="KE8" s="336">
        <v>0</v>
      </c>
      <c r="KF8" s="336">
        <v>0</v>
      </c>
      <c r="KG8" s="336">
        <v>0</v>
      </c>
      <c r="KH8" s="336">
        <v>0</v>
      </c>
      <c r="KI8" s="336">
        <v>-1492</v>
      </c>
      <c r="KJ8" s="336">
        <v>970710</v>
      </c>
      <c r="KK8" s="336">
        <v>1005</v>
      </c>
      <c r="KL8" s="336">
        <v>270</v>
      </c>
      <c r="KM8" s="336">
        <v>19078</v>
      </c>
      <c r="KN8" s="336">
        <v>0</v>
      </c>
      <c r="KO8" s="336">
        <v>-165752</v>
      </c>
      <c r="KP8" s="336">
        <v>0</v>
      </c>
      <c r="KQ8" s="336">
        <v>0</v>
      </c>
      <c r="KR8" s="336">
        <v>6065861</v>
      </c>
      <c r="KS8" s="336">
        <v>689890</v>
      </c>
      <c r="KT8" s="336">
        <v>0</v>
      </c>
      <c r="KU8" s="336">
        <v>23598</v>
      </c>
      <c r="KV8" s="336">
        <v>0</v>
      </c>
      <c r="KW8" s="336">
        <v>0</v>
      </c>
      <c r="KX8" s="336">
        <v>0</v>
      </c>
      <c r="KY8" s="336">
        <v>0</v>
      </c>
      <c r="KZ8" s="336">
        <v>0</v>
      </c>
      <c r="LA8" s="336">
        <v>0</v>
      </c>
      <c r="LB8" s="336">
        <v>0</v>
      </c>
      <c r="LC8" s="336">
        <v>0</v>
      </c>
      <c r="LD8" s="336">
        <v>0</v>
      </c>
      <c r="LE8" s="336">
        <v>0</v>
      </c>
      <c r="LF8" s="336">
        <v>0</v>
      </c>
      <c r="LG8" s="336">
        <v>0</v>
      </c>
      <c r="LH8" s="336">
        <v>0</v>
      </c>
      <c r="LI8" s="336">
        <v>0</v>
      </c>
      <c r="LJ8" s="336">
        <v>943738</v>
      </c>
      <c r="LK8" s="336">
        <v>494795</v>
      </c>
      <c r="LL8" s="336">
        <v>0</v>
      </c>
      <c r="LM8" s="336">
        <v>125375</v>
      </c>
      <c r="LN8" s="336">
        <v>0</v>
      </c>
      <c r="LO8" s="336">
        <v>0</v>
      </c>
      <c r="LP8" s="336">
        <v>0</v>
      </c>
      <c r="LQ8" s="336">
        <v>0</v>
      </c>
      <c r="LR8" s="336">
        <v>0</v>
      </c>
      <c r="LS8" s="336">
        <v>0</v>
      </c>
      <c r="LT8" s="336">
        <v>0</v>
      </c>
      <c r="LU8" s="336">
        <v>0</v>
      </c>
      <c r="LV8" s="336">
        <v>0</v>
      </c>
      <c r="LW8" s="336">
        <v>0</v>
      </c>
      <c r="LX8" s="336">
        <v>0</v>
      </c>
      <c r="LY8" s="336">
        <v>0</v>
      </c>
      <c r="LZ8" s="336">
        <v>0</v>
      </c>
      <c r="MA8" s="336">
        <v>0</v>
      </c>
      <c r="MB8" s="336">
        <v>2996981</v>
      </c>
      <c r="MC8" s="336">
        <v>311573</v>
      </c>
      <c r="MD8" s="336">
        <v>0</v>
      </c>
      <c r="ME8" s="336">
        <v>0</v>
      </c>
      <c r="MF8" s="336">
        <v>0</v>
      </c>
      <c r="MG8" s="336">
        <v>0</v>
      </c>
      <c r="MH8" s="336">
        <v>0</v>
      </c>
      <c r="MI8" s="336">
        <v>0</v>
      </c>
      <c r="MJ8" s="336">
        <v>0</v>
      </c>
      <c r="MK8" s="336">
        <v>1726486</v>
      </c>
      <c r="ML8" s="336">
        <v>259924</v>
      </c>
      <c r="MM8" s="336">
        <v>546188</v>
      </c>
      <c r="MN8" s="336">
        <v>0</v>
      </c>
      <c r="MO8" s="336">
        <v>0</v>
      </c>
      <c r="MP8" s="336">
        <v>0</v>
      </c>
      <c r="MQ8" s="336">
        <v>0</v>
      </c>
      <c r="MR8" s="336">
        <v>0</v>
      </c>
      <c r="MS8" s="336">
        <v>0</v>
      </c>
      <c r="MT8" s="336">
        <v>2691841</v>
      </c>
      <c r="MU8" s="336">
        <v>1314779</v>
      </c>
      <c r="MV8" s="336">
        <v>0</v>
      </c>
      <c r="MW8" s="336">
        <v>21125</v>
      </c>
      <c r="MX8" s="336">
        <v>0</v>
      </c>
      <c r="MY8" s="336">
        <v>0</v>
      </c>
      <c r="MZ8" s="336">
        <v>0</v>
      </c>
      <c r="NA8" s="336">
        <v>0</v>
      </c>
      <c r="NB8" s="336">
        <v>0</v>
      </c>
      <c r="NC8" s="336">
        <v>2019133</v>
      </c>
      <c r="ND8" s="336">
        <v>364591</v>
      </c>
      <c r="NE8" s="336">
        <v>0</v>
      </c>
      <c r="NF8" s="336">
        <v>0</v>
      </c>
      <c r="NG8" s="336">
        <v>0</v>
      </c>
      <c r="NH8" s="336">
        <v>0</v>
      </c>
      <c r="NI8" s="336">
        <v>0</v>
      </c>
      <c r="NJ8" s="336">
        <v>0</v>
      </c>
      <c r="NK8" s="336">
        <v>0</v>
      </c>
      <c r="NL8" s="336">
        <v>173336</v>
      </c>
      <c r="NM8" s="336">
        <v>1159129</v>
      </c>
      <c r="NN8" s="336">
        <v>0</v>
      </c>
      <c r="NO8" s="336">
        <v>1951174</v>
      </c>
      <c r="NP8" s="336">
        <v>0</v>
      </c>
      <c r="NQ8" s="336">
        <v>0</v>
      </c>
      <c r="NR8" s="336">
        <v>0</v>
      </c>
      <c r="NS8" s="336">
        <v>0</v>
      </c>
      <c r="NT8" s="336">
        <v>0</v>
      </c>
      <c r="NU8" s="336">
        <v>0</v>
      </c>
      <c r="NV8" s="336">
        <v>0</v>
      </c>
      <c r="NW8" s="336">
        <v>0</v>
      </c>
      <c r="NX8" s="336">
        <v>0</v>
      </c>
      <c r="NY8" s="336">
        <v>0</v>
      </c>
      <c r="NZ8" s="336">
        <v>0</v>
      </c>
      <c r="OA8" s="336">
        <v>0</v>
      </c>
      <c r="OB8" s="336">
        <v>0</v>
      </c>
      <c r="OC8" s="336">
        <v>0</v>
      </c>
      <c r="OD8" s="336">
        <v>2712526</v>
      </c>
      <c r="OE8" s="336">
        <v>272779</v>
      </c>
      <c r="OF8" s="336">
        <v>47410</v>
      </c>
      <c r="OG8" s="336">
        <v>1944915</v>
      </c>
      <c r="OH8" s="336">
        <v>0</v>
      </c>
      <c r="OI8" s="336">
        <v>0</v>
      </c>
      <c r="OJ8" s="336">
        <v>0</v>
      </c>
      <c r="OK8" s="336">
        <v>0</v>
      </c>
      <c r="OL8" s="336">
        <v>0</v>
      </c>
      <c r="OM8" s="336">
        <v>0</v>
      </c>
      <c r="ON8" s="336">
        <v>0</v>
      </c>
      <c r="OO8" s="336">
        <v>0</v>
      </c>
      <c r="OP8" s="336">
        <v>0</v>
      </c>
      <c r="OQ8" s="336">
        <v>0</v>
      </c>
      <c r="OR8" s="336">
        <v>0</v>
      </c>
      <c r="OS8" s="336">
        <v>0</v>
      </c>
      <c r="OT8" s="336">
        <v>0</v>
      </c>
      <c r="OU8" s="336">
        <v>0</v>
      </c>
      <c r="OV8" s="336">
        <v>0</v>
      </c>
      <c r="OW8" s="336">
        <v>0</v>
      </c>
      <c r="OX8" s="336">
        <v>0</v>
      </c>
      <c r="OY8" s="336">
        <v>0</v>
      </c>
      <c r="OZ8" s="336">
        <v>0</v>
      </c>
      <c r="PA8" s="336">
        <v>0</v>
      </c>
      <c r="PB8" s="336">
        <v>0</v>
      </c>
      <c r="PC8" s="336">
        <v>0</v>
      </c>
      <c r="PD8" s="336">
        <v>0</v>
      </c>
      <c r="PE8" s="336">
        <v>153373</v>
      </c>
      <c r="PF8" s="336">
        <v>-437372</v>
      </c>
      <c r="PG8" s="336">
        <v>0</v>
      </c>
      <c r="PH8" s="336">
        <v>0</v>
      </c>
      <c r="PI8" s="336">
        <v>0</v>
      </c>
      <c r="PJ8" s="336">
        <v>0</v>
      </c>
      <c r="PK8" s="336">
        <v>17185786</v>
      </c>
      <c r="PL8" s="336">
        <v>0</v>
      </c>
      <c r="PM8" s="336">
        <v>0</v>
      </c>
      <c r="PN8" s="336">
        <v>0</v>
      </c>
      <c r="PO8" s="336">
        <v>0</v>
      </c>
      <c r="PP8" s="336">
        <v>0</v>
      </c>
      <c r="PQ8" s="336">
        <v>0</v>
      </c>
      <c r="PR8" s="336">
        <v>0</v>
      </c>
      <c r="PS8" s="336">
        <v>0</v>
      </c>
      <c r="PT8" s="336">
        <v>0</v>
      </c>
      <c r="PU8" s="336">
        <v>0</v>
      </c>
      <c r="PV8" s="336">
        <v>0</v>
      </c>
      <c r="PW8" s="336">
        <v>-4261500</v>
      </c>
      <c r="PX8" s="336">
        <v>-341963</v>
      </c>
      <c r="PY8" s="336">
        <v>0</v>
      </c>
      <c r="PZ8" s="336">
        <v>0</v>
      </c>
      <c r="QA8" s="336">
        <v>0</v>
      </c>
      <c r="QB8" s="336">
        <v>0</v>
      </c>
      <c r="QC8" s="336">
        <v>0</v>
      </c>
      <c r="QD8" s="336">
        <v>0</v>
      </c>
      <c r="QE8" s="336">
        <v>0</v>
      </c>
      <c r="QF8" s="336">
        <v>0</v>
      </c>
      <c r="QG8" s="336">
        <v>0</v>
      </c>
      <c r="QH8" s="336">
        <v>0</v>
      </c>
      <c r="QI8" s="336">
        <v>0</v>
      </c>
      <c r="QJ8" s="336">
        <v>0</v>
      </c>
      <c r="QK8" s="336">
        <v>0</v>
      </c>
      <c r="QL8" s="336">
        <v>0</v>
      </c>
      <c r="QM8" s="336">
        <v>0</v>
      </c>
      <c r="QN8" s="336">
        <v>0</v>
      </c>
      <c r="QO8" s="336">
        <v>0</v>
      </c>
      <c r="QP8" s="336">
        <v>0</v>
      </c>
      <c r="QQ8" s="336">
        <v>0</v>
      </c>
      <c r="QR8" s="336">
        <v>0</v>
      </c>
      <c r="QS8" s="336">
        <v>0</v>
      </c>
      <c r="QT8" s="336">
        <v>0</v>
      </c>
      <c r="QU8" s="336">
        <v>0</v>
      </c>
      <c r="QV8" s="336">
        <v>0</v>
      </c>
      <c r="QW8" s="336">
        <v>0</v>
      </c>
      <c r="QX8" s="336">
        <v>0</v>
      </c>
      <c r="QY8" s="336">
        <v>0</v>
      </c>
      <c r="QZ8" s="336">
        <v>0</v>
      </c>
      <c r="RA8" s="336">
        <v>0</v>
      </c>
      <c r="RB8" s="336">
        <v>0</v>
      </c>
      <c r="RC8" s="336">
        <v>0</v>
      </c>
      <c r="RD8" s="336">
        <v>0</v>
      </c>
      <c r="RE8" s="336">
        <v>0</v>
      </c>
      <c r="RF8" s="336">
        <v>0</v>
      </c>
      <c r="RG8" s="336">
        <v>0</v>
      </c>
      <c r="RH8" s="336">
        <v>0</v>
      </c>
      <c r="RI8" s="336">
        <v>0</v>
      </c>
      <c r="RJ8" s="336">
        <v>0</v>
      </c>
      <c r="RK8" s="336">
        <v>0</v>
      </c>
      <c r="RL8" s="336">
        <v>0</v>
      </c>
      <c r="RM8" s="336">
        <v>0</v>
      </c>
      <c r="RN8" s="336">
        <v>0</v>
      </c>
      <c r="RO8" s="336">
        <v>-2918790</v>
      </c>
      <c r="RP8" s="336">
        <v>0</v>
      </c>
      <c r="RQ8" s="336">
        <v>0</v>
      </c>
      <c r="RR8" s="336">
        <v>0</v>
      </c>
      <c r="RS8" s="336">
        <v>0</v>
      </c>
      <c r="RT8" s="336">
        <v>0</v>
      </c>
      <c r="RU8" s="336">
        <v>0</v>
      </c>
      <c r="RV8" s="336">
        <v>0</v>
      </c>
      <c r="RW8" s="336">
        <v>0</v>
      </c>
      <c r="RX8" s="336">
        <v>0</v>
      </c>
      <c r="RY8" s="336">
        <v>0</v>
      </c>
      <c r="RZ8" s="336">
        <v>0</v>
      </c>
      <c r="SA8" s="336">
        <v>0</v>
      </c>
      <c r="SB8" s="336">
        <v>0</v>
      </c>
      <c r="SC8" s="336">
        <v>0</v>
      </c>
      <c r="SD8" s="336">
        <v>0</v>
      </c>
      <c r="SE8" s="336">
        <v>0</v>
      </c>
      <c r="SF8" s="336">
        <v>0</v>
      </c>
      <c r="SG8" s="336">
        <v>0</v>
      </c>
      <c r="SH8" s="336">
        <v>0</v>
      </c>
      <c r="SI8" s="336">
        <v>0</v>
      </c>
      <c r="SJ8" s="336">
        <v>0</v>
      </c>
      <c r="SK8" s="336">
        <v>0</v>
      </c>
      <c r="SL8" s="336">
        <v>0</v>
      </c>
      <c r="SM8" s="336">
        <v>0</v>
      </c>
      <c r="SN8" s="336">
        <v>0</v>
      </c>
      <c r="SO8" s="336">
        <v>0</v>
      </c>
      <c r="SP8" s="336">
        <v>0</v>
      </c>
      <c r="SQ8" s="336">
        <v>2712526</v>
      </c>
      <c r="SR8" s="336">
        <v>272779</v>
      </c>
      <c r="SS8" s="336">
        <v>47410</v>
      </c>
      <c r="ST8" s="336">
        <v>1944915</v>
      </c>
      <c r="SU8" s="336">
        <v>0</v>
      </c>
      <c r="SV8" s="336">
        <v>0</v>
      </c>
      <c r="SW8" s="336">
        <v>0</v>
      </c>
      <c r="SX8" s="336">
        <v>0</v>
      </c>
      <c r="SY8" s="336">
        <v>0</v>
      </c>
      <c r="SZ8" s="336" t="s">
        <v>1420</v>
      </c>
      <c r="TA8" s="336" t="s">
        <v>1420</v>
      </c>
      <c r="TB8" s="336" t="s">
        <v>1420</v>
      </c>
      <c r="TC8" s="336">
        <v>1928442</v>
      </c>
      <c r="TD8" s="336">
        <v>0</v>
      </c>
      <c r="TE8" s="336">
        <v>239347</v>
      </c>
      <c r="TF8" s="336">
        <v>0</v>
      </c>
      <c r="TG8" s="336">
        <v>135368</v>
      </c>
      <c r="TH8" s="336">
        <v>16875</v>
      </c>
      <c r="TI8" s="336">
        <v>85610</v>
      </c>
      <c r="TJ8" s="336">
        <v>2524578</v>
      </c>
      <c r="TK8" s="336">
        <v>0</v>
      </c>
      <c r="TL8" s="336">
        <v>47410</v>
      </c>
      <c r="TM8" s="336">
        <v>0</v>
      </c>
      <c r="TN8" s="336">
        <v>347223</v>
      </c>
      <c r="TO8" s="336">
        <v>0</v>
      </c>
      <c r="TP8" s="336">
        <v>0</v>
      </c>
      <c r="TQ8" s="336">
        <v>0</v>
      </c>
      <c r="TR8" s="336">
        <v>0</v>
      </c>
      <c r="TS8" s="336">
        <v>0</v>
      </c>
      <c r="TT8" s="336">
        <v>0</v>
      </c>
      <c r="TU8" s="336">
        <v>0</v>
      </c>
      <c r="TV8" s="336">
        <v>17293</v>
      </c>
      <c r="TW8" s="336">
        <v>413554</v>
      </c>
      <c r="TX8" s="336">
        <v>0</v>
      </c>
      <c r="TY8" s="336">
        <v>0</v>
      </c>
      <c r="TZ8" s="336">
        <v>0</v>
      </c>
      <c r="UA8" s="336">
        <v>0</v>
      </c>
      <c r="UB8" s="336">
        <v>0</v>
      </c>
      <c r="UC8" s="336">
        <v>0</v>
      </c>
      <c r="UD8" s="336">
        <v>0</v>
      </c>
      <c r="UE8" s="336">
        <v>968360</v>
      </c>
      <c r="UF8" s="336">
        <v>0</v>
      </c>
      <c r="UG8" s="336">
        <v>0</v>
      </c>
      <c r="UH8" s="336">
        <v>6779349</v>
      </c>
      <c r="UI8" s="336">
        <v>0</v>
      </c>
      <c r="UJ8" s="336">
        <v>1563908</v>
      </c>
      <c r="UK8" s="336">
        <v>0</v>
      </c>
      <c r="UL8" s="336">
        <v>3308554</v>
      </c>
      <c r="UM8" s="336">
        <v>2532598</v>
      </c>
      <c r="UN8" s="336">
        <v>4027745</v>
      </c>
      <c r="UO8" s="336">
        <v>2383724</v>
      </c>
      <c r="UP8" s="336">
        <v>3283639</v>
      </c>
      <c r="UQ8" s="336">
        <v>0</v>
      </c>
      <c r="UR8"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4977630</v>
      </c>
      <c r="US8" s="338">
        <f>SUM(Input[[#This Row],[Oth Exp E&amp;G]],Input[[#This Row],[Oth Exp Desg]],Input[[#This Row],[Oth Exp Aux]],Input[[#This Row],[Oth Exp R Exp]],Input[[#This Row],[Oth Exp Loan]],Input[[#This Row],[Oth Exp Annuity]],Input[[#This Row],[Oth Exp Unexp]],Input[[#This Row],[Oth Exp R of Ind]],Input[[#This Row],[Oth Exp Inv in P]])</f>
        <v>0</v>
      </c>
      <c r="UT8" s="336">
        <v>18827903</v>
      </c>
      <c r="UU8" s="336">
        <v>0</v>
      </c>
      <c r="UV8" s="339" t="s">
        <v>1558</v>
      </c>
      <c r="UW8" s="340">
        <v>4098823356</v>
      </c>
      <c r="UX8" s="339" t="s">
        <v>1559</v>
      </c>
      <c r="UY8" s="339" t="s">
        <v>1560</v>
      </c>
      <c r="UZ8" s="340">
        <v>4098823915</v>
      </c>
      <c r="VA8" s="339" t="s">
        <v>1561</v>
      </c>
      <c r="VB8" s="341" cm="1">
        <f t="array" ref="VB8">IFERROR(_xlfn.IFS(Input[[#This Row],[Type]]="HRI",VLOOKUP(Input[[#This Row],[Institution Name]],FTSEHRI[],9,FALSE),Input[[#This Row],[Type]]="UNIV",VLOOKUP(Input[[#This Row],[Institution Name]],FTSEUNIV[],9,FALSE),OR(Input[[#This Row],[Type]]="TSTC",Input[[#This Row],[Type]]="LSC"),VLOOKUP(Input[[#This Row],[Institution Name]],FTSETSTC[],8,FALSE)),"N/A")</f>
        <v>1819.28</v>
      </c>
      <c r="VC8" s="342" t="str" cm="1">
        <f t="array" ref="VC8">IFERROR(_xlfn.IFS(Input[[#This Row],[Type]]="HRI",VLOOKUP(Input[[#This Row],[Institution Name]],FTSEHRI[],11,FALSE),Input[[#This Row],[Type]]="UNIV",VLOOKUP(Input[[#This Row],[Institution Name]],FTSEUNIV[],11,FALSE),Input[[#This Row],[Type]]="TSTC",VLOOKUP(Input[[#This Row],[Institution Name]],FTSETSTC[],10,FALSE)),"N/A")</f>
        <v>N/A</v>
      </c>
      <c r="VD8"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22044053</v>
      </c>
      <c r="VE8"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1533301</v>
      </c>
      <c r="VF8" s="338">
        <f>SUM(Input[[#This Row],[Fed G&amp;C E&amp;G]],Input[[#This Row],[Fed G&amp;C Desg]],Input[[#This Row],[Fed G&amp;C R Exp]],Input[[#This Row],[Fed G&amp;C Loan]],Input[[#This Row],[Fed G&amp;C Annuity]],Input[[#This Row],[Fed G&amp;C Unexp]],Input[[#This Row],[Fed G&amp;C R of Ind]],Input[[#This Row],[Fed G&amp;C Inv in P]])</f>
        <v>4333976</v>
      </c>
      <c r="VG8"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3818078</v>
      </c>
      <c r="VH8"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1038166</v>
      </c>
      <c r="VI8"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2191625</v>
      </c>
      <c r="VJ8" s="338">
        <f>SUM(Input[[#This Row],[Oth Inc E&amp;G]],Input[[#This Row],[Oth Exp Desg]],Input[[#This Row],[Oth Exp R Exp]],Input[[#This Row],[Oth Exp Loan]],Input[[#This Row],[Oth Exp Annuity]],Input[[#This Row],[Oth Exp Unexp]],Input[[#This Row],[Oth Exp R of Ind]],Input[[#This Row],[Oth Exp Inv in P]])</f>
        <v>-1492</v>
      </c>
      <c r="VK8" s="343">
        <f>SUM(Input[[#This Row],[Instr E&amp;G]],Input[[#This Row],[Instr Desg]],Input[[#This Row],[Instr R Exp]],Input[[#This Row],[Instr Loan]],Input[[#This Row],[Instr Annuity]],Input[[#This Row],[Instr Unexp]],Input[[#This Row],[Instr R of Ind]],Input[[#This Row],[Instr Inv in P]])</f>
        <v>6779349</v>
      </c>
      <c r="VL8" s="343">
        <f>SUM(Input[[#This Row],[Res E&amp;G]],Input[[#This Row],[Res Desg]],Input[[#This Row],[Res R Exp]],Input[[#This Row],[Res Loan]],Input[[#This Row],[Res Annuity]],Input[[#This Row],[Res Unexp]],Input[[#This Row],[Res R of Ind]],Input[[#This Row],[Res Inv in P]])</f>
        <v>0</v>
      </c>
      <c r="VM8" s="343">
        <f>SUM(Input[[#This Row],[Acad Sup E&amp;G]],Input[[#This Row],[Acad Sup Desg]],Input[[#This Row],[Acad Sup R Exp]],Input[[#This Row],[Acad Sup Loan]],Input[[#This Row],[Acad Sup Annuity]],Input[[#This Row],[Acad Sup Unexp]],Input[[#This Row],[Acad Sup R of Ind]],Input[[#This Row],[Acad Sup Inv in P]])</f>
        <v>3308554</v>
      </c>
      <c r="VN8" s="343">
        <f>SUM(Input[[#This Row],[Stu Svc E&amp;G]],Input[[#This Row],[Stu Svc Desg]],Input[[#This Row],[Stu Svc R Exp]],Input[[#This Row],[Stu Svc Loan]],Input[[#This Row],[Stu Svc Annuity]],Input[[#This Row],[Stu Svc Unexp]],Input[[#This Row],[Stu Svc R of Ind]],Input[[#This Row],[Stu Svc Inv in P]])</f>
        <v>1986410</v>
      </c>
      <c r="VO8" s="343">
        <f>SUM(Input[[#This Row],[Inst. Spt E&amp;G]],Input[[#This Row],[Inst. Spt Desg]],Input[[#This Row],[Inst. Spt R Exp]],Input[[#This Row],[Inst. Spt Loan]],Input[[#This Row],[Inst. Spt Annuity]],Input[[#This Row],[Inst. Spt Unexp]],Input[[#This Row],[Inst. Spt R of Ind]],Input[[#This Row],[Inst. Spt Inv in P]])</f>
        <v>4027745</v>
      </c>
      <c r="VP8" s="343">
        <f>SUM(Input[[#This Row],[M&amp;O Plnt E&amp;G]],Input[[#This Row],[M&amp;O Plnt Desg]],Input[[#This Row],[M&amp;O Plnt R Exp]],Input[[#This Row],[M&amp;O Plnt Loan]],Input[[#This Row],[M&amp;O Plnt Annuity]],Input[[#This Row],[M&amp;O Plnt Unexp]],Input[[#This Row],[M&amp;O Plnt R of Ind]],Input[[#This Row],[M&amp;O Plnt Inv in P]])</f>
        <v>2383724</v>
      </c>
      <c r="VQ8" s="343">
        <f>SUM(Input[[#This Row],[Schl &amp; Fell E&amp;G]],Input[[#This Row],[Schl &amp; Fell Desg]],Input[[#This Row],[Schl &amp; Fell R Exp]],Input[[#This Row],[Schl &amp; Fell Loan]],Input[[#This Row],[Schl &amp; Fell Annuity]],Input[[#This Row],[Schl &amp; Fell Unexp]],Input[[#This Row],[Schl &amp; Fell R of Ind]],Input[[#This Row],[Schl &amp; Fell Inv in P]])</f>
        <v>3283639</v>
      </c>
      <c r="VR8" s="343">
        <f>SUM(Input[[#This Row],[Cap Out fund E&amp;G]],Input[[#This Row],[Cap Out fund Desg]],Input[[#This Row],[Cap Out fund R Exp]],Input[[#This Row],[Cap Out fund Loan]],Input[[#This Row],[Cap Out fund Annuity]],Input[[#This Row],[Cap Out fund Unexp]],Input[[#This Row],[Cap Out fund R of Ind]],Input[[#This Row],[Cap Out fund Inv in P]])</f>
        <v>4930220</v>
      </c>
      <c r="VS8" s="343">
        <f>SUM(Input[[#This Row],[Oth Exp E&amp;G]],Input[[#This Row],[Oth Exp Desg]],Input[[#This Row],[Oth Exp R Exp]],Input[[#This Row],[Oth Exp Loan]],Input[[#This Row],[Oth Exp Annuity]],Input[[#This Row],[Oth Exp Unexp]],Input[[#This Row],[Oth Exp R of Ind]],Input[[#This Row],[Oth Exp Inv in P]],Input[[#This Row],[Oth Exp Inv in P]])</f>
        <v>0</v>
      </c>
    </row>
    <row r="9" spans="1:591" s="344" customFormat="1" ht="27" customHeight="1" x14ac:dyDescent="0.55000000000000004">
      <c r="A9" s="339" t="s">
        <v>51</v>
      </c>
      <c r="B9" s="334" t="s">
        <v>824</v>
      </c>
      <c r="C9" s="334" t="s">
        <v>824</v>
      </c>
      <c r="D9" s="334">
        <v>510</v>
      </c>
      <c r="E9" s="334" t="s">
        <v>1622</v>
      </c>
      <c r="F9" s="335">
        <v>23485</v>
      </c>
      <c r="G9" s="336">
        <v>22679141</v>
      </c>
      <c r="H9" s="336">
        <v>0</v>
      </c>
      <c r="I9" s="336">
        <v>0</v>
      </c>
      <c r="J9" s="336">
        <v>0</v>
      </c>
      <c r="K9" s="336">
        <v>0</v>
      </c>
      <c r="L9" s="336">
        <v>0</v>
      </c>
      <c r="M9" s="336">
        <v>0</v>
      </c>
      <c r="N9" s="336">
        <v>0</v>
      </c>
      <c r="O9" s="336">
        <v>0</v>
      </c>
      <c r="P9" s="336">
        <v>0</v>
      </c>
      <c r="Q9" s="336">
        <v>0</v>
      </c>
      <c r="R9" s="336">
        <v>0</v>
      </c>
      <c r="S9" s="336">
        <v>2288804</v>
      </c>
      <c r="T9" s="336">
        <v>0</v>
      </c>
      <c r="U9" s="336">
        <v>0</v>
      </c>
      <c r="V9" s="336">
        <v>0</v>
      </c>
      <c r="W9" s="336">
        <v>0</v>
      </c>
      <c r="X9" s="336">
        <v>0</v>
      </c>
      <c r="Y9" s="336">
        <v>2283992</v>
      </c>
      <c r="Z9" s="336">
        <v>0</v>
      </c>
      <c r="AA9" s="336">
        <v>0</v>
      </c>
      <c r="AB9" s="336">
        <v>0</v>
      </c>
      <c r="AC9" s="336">
        <v>0</v>
      </c>
      <c r="AD9" s="336">
        <v>0</v>
      </c>
      <c r="AE9" s="336">
        <v>0</v>
      </c>
      <c r="AF9" s="336">
        <v>0</v>
      </c>
      <c r="AG9" s="336">
        <v>0</v>
      </c>
      <c r="AH9" s="336">
        <v>0</v>
      </c>
      <c r="AI9" s="336">
        <v>0</v>
      </c>
      <c r="AJ9" s="336">
        <v>0</v>
      </c>
      <c r="AK9" s="336">
        <v>0</v>
      </c>
      <c r="AL9" s="336">
        <v>0</v>
      </c>
      <c r="AM9" s="336">
        <v>0</v>
      </c>
      <c r="AN9" s="336">
        <v>0</v>
      </c>
      <c r="AO9" s="336">
        <v>0</v>
      </c>
      <c r="AP9" s="336">
        <v>0</v>
      </c>
      <c r="AQ9" s="336">
        <v>-277354</v>
      </c>
      <c r="AR9" s="336">
        <v>-4650</v>
      </c>
      <c r="AS9" s="336">
        <v>0</v>
      </c>
      <c r="AT9" s="336">
        <v>0</v>
      </c>
      <c r="AU9" s="336">
        <v>0</v>
      </c>
      <c r="AV9" s="336">
        <v>0</v>
      </c>
      <c r="AW9" s="336">
        <v>0</v>
      </c>
      <c r="AX9" s="336">
        <v>0</v>
      </c>
      <c r="AY9" s="336">
        <v>0</v>
      </c>
      <c r="AZ9" s="336">
        <v>0</v>
      </c>
      <c r="BA9" s="336">
        <v>0</v>
      </c>
      <c r="BB9" s="336">
        <v>0</v>
      </c>
      <c r="BC9" s="336">
        <v>0</v>
      </c>
      <c r="BD9" s="336">
        <v>0</v>
      </c>
      <c r="BE9" s="336">
        <v>0</v>
      </c>
      <c r="BF9" s="336">
        <v>0</v>
      </c>
      <c r="BG9" s="336">
        <v>0</v>
      </c>
      <c r="BH9" s="336">
        <v>0</v>
      </c>
      <c r="BI9" s="336">
        <v>0</v>
      </c>
      <c r="BJ9" s="336">
        <v>0</v>
      </c>
      <c r="BK9" s="336">
        <v>0</v>
      </c>
      <c r="BL9" s="336">
        <v>0</v>
      </c>
      <c r="BM9" s="336">
        <v>0</v>
      </c>
      <c r="BN9" s="336">
        <v>0</v>
      </c>
      <c r="BO9" s="336">
        <v>0</v>
      </c>
      <c r="BP9" s="336">
        <v>0</v>
      </c>
      <c r="BQ9" s="336">
        <v>0</v>
      </c>
      <c r="BR9" s="336">
        <v>0</v>
      </c>
      <c r="BS9" s="336">
        <v>0</v>
      </c>
      <c r="BT9" s="336">
        <v>0</v>
      </c>
      <c r="BU9" s="336">
        <v>0</v>
      </c>
      <c r="BV9" s="336">
        <v>0</v>
      </c>
      <c r="BW9" s="336">
        <v>0</v>
      </c>
      <c r="BX9" s="336">
        <v>0</v>
      </c>
      <c r="BY9" s="336">
        <v>0</v>
      </c>
      <c r="BZ9" s="336">
        <v>0</v>
      </c>
      <c r="CA9" s="336">
        <v>1797916</v>
      </c>
      <c r="CB9" s="336">
        <v>2095711</v>
      </c>
      <c r="CC9" s="336">
        <v>0</v>
      </c>
      <c r="CD9" s="336">
        <v>0</v>
      </c>
      <c r="CE9" s="336">
        <v>0</v>
      </c>
      <c r="CF9" s="336">
        <v>0</v>
      </c>
      <c r="CG9" s="336">
        <v>0</v>
      </c>
      <c r="CH9" s="336">
        <v>0</v>
      </c>
      <c r="CI9" s="336">
        <v>0</v>
      </c>
      <c r="CJ9" s="336">
        <v>0</v>
      </c>
      <c r="CK9" s="336">
        <v>0</v>
      </c>
      <c r="CL9" s="336">
        <v>0</v>
      </c>
      <c r="CM9" s="336">
        <v>0</v>
      </c>
      <c r="CN9" s="336">
        <v>0</v>
      </c>
      <c r="CO9" s="336">
        <v>0</v>
      </c>
      <c r="CP9" s="336">
        <v>0</v>
      </c>
      <c r="CQ9" s="336">
        <v>0</v>
      </c>
      <c r="CR9" s="336">
        <v>0</v>
      </c>
      <c r="CS9" s="336">
        <v>0</v>
      </c>
      <c r="CT9" s="336">
        <v>0</v>
      </c>
      <c r="CU9" s="336">
        <v>0</v>
      </c>
      <c r="CV9" s="336">
        <v>0</v>
      </c>
      <c r="CW9" s="336">
        <v>0</v>
      </c>
      <c r="CX9" s="336">
        <v>0</v>
      </c>
      <c r="CY9" s="336">
        <v>0</v>
      </c>
      <c r="CZ9" s="336">
        <v>0</v>
      </c>
      <c r="DA9" s="336">
        <v>0</v>
      </c>
      <c r="DB9" s="336">
        <v>-45172</v>
      </c>
      <c r="DC9" s="336">
        <v>-28145</v>
      </c>
      <c r="DD9" s="336">
        <v>0</v>
      </c>
      <c r="DE9" s="336">
        <v>0</v>
      </c>
      <c r="DF9" s="336">
        <v>0</v>
      </c>
      <c r="DG9" s="336">
        <v>0</v>
      </c>
      <c r="DH9" s="336">
        <v>0</v>
      </c>
      <c r="DI9" s="336">
        <v>0</v>
      </c>
      <c r="DJ9" s="336">
        <v>0</v>
      </c>
      <c r="DK9" s="336">
        <v>0</v>
      </c>
      <c r="DL9" s="336">
        <v>0</v>
      </c>
      <c r="DM9" s="336">
        <v>0</v>
      </c>
      <c r="DN9" s="336">
        <v>0</v>
      </c>
      <c r="DO9" s="336">
        <v>0</v>
      </c>
      <c r="DP9" s="336">
        <v>0</v>
      </c>
      <c r="DQ9" s="336">
        <v>0</v>
      </c>
      <c r="DR9" s="336">
        <v>0</v>
      </c>
      <c r="DS9" s="336">
        <v>0</v>
      </c>
      <c r="DT9" s="336">
        <v>-756462</v>
      </c>
      <c r="DU9" s="336">
        <v>-917476</v>
      </c>
      <c r="DV9" s="336">
        <v>0</v>
      </c>
      <c r="DW9" s="336">
        <v>0</v>
      </c>
      <c r="DX9" s="336">
        <v>0</v>
      </c>
      <c r="DY9" s="336">
        <v>0</v>
      </c>
      <c r="DZ9" s="336">
        <v>0</v>
      </c>
      <c r="EA9" s="336">
        <v>0</v>
      </c>
      <c r="EB9" s="336">
        <v>0</v>
      </c>
      <c r="EC9" s="336">
        <v>-12</v>
      </c>
      <c r="ED9" s="336">
        <v>-909</v>
      </c>
      <c r="EE9" s="336">
        <v>-141</v>
      </c>
      <c r="EF9" s="336">
        <v>0</v>
      </c>
      <c r="EG9" s="336">
        <v>0</v>
      </c>
      <c r="EH9" s="336">
        <v>0</v>
      </c>
      <c r="EI9" s="336">
        <v>0</v>
      </c>
      <c r="EJ9" s="336">
        <v>0</v>
      </c>
      <c r="EK9" s="336">
        <v>0</v>
      </c>
      <c r="EL9" s="336">
        <v>0</v>
      </c>
      <c r="EM9" s="336">
        <v>0</v>
      </c>
      <c r="EN9" s="336">
        <v>0</v>
      </c>
      <c r="EO9" s="336">
        <v>0</v>
      </c>
      <c r="EP9" s="336">
        <v>0</v>
      </c>
      <c r="EQ9" s="336">
        <v>0</v>
      </c>
      <c r="ER9" s="336">
        <v>0</v>
      </c>
      <c r="ES9" s="336">
        <v>0</v>
      </c>
      <c r="ET9" s="336">
        <v>0</v>
      </c>
      <c r="EU9" s="336">
        <v>0</v>
      </c>
      <c r="EV9" s="336">
        <v>0</v>
      </c>
      <c r="EW9" s="336">
        <v>0</v>
      </c>
      <c r="EX9" s="336">
        <v>0</v>
      </c>
      <c r="EY9" s="336">
        <v>0</v>
      </c>
      <c r="EZ9" s="336">
        <v>0</v>
      </c>
      <c r="FA9" s="336">
        <v>0</v>
      </c>
      <c r="FB9" s="336">
        <v>0</v>
      </c>
      <c r="FC9" s="336">
        <v>0</v>
      </c>
      <c r="FD9" s="336">
        <v>0</v>
      </c>
      <c r="FE9" s="336">
        <v>0</v>
      </c>
      <c r="FF9" s="336">
        <v>0</v>
      </c>
      <c r="FG9" s="336">
        <v>0</v>
      </c>
      <c r="FH9" s="336">
        <v>0</v>
      </c>
      <c r="FI9" s="336">
        <v>0</v>
      </c>
      <c r="FJ9" s="336">
        <v>0</v>
      </c>
      <c r="FK9" s="336">
        <v>0</v>
      </c>
      <c r="FL9" s="336">
        <v>0</v>
      </c>
      <c r="FM9" s="336">
        <v>22669</v>
      </c>
      <c r="FN9" s="336">
        <v>2458140</v>
      </c>
      <c r="FO9" s="336">
        <v>290443</v>
      </c>
      <c r="FP9" s="336">
        <v>0</v>
      </c>
      <c r="FQ9" s="336">
        <v>0</v>
      </c>
      <c r="FR9" s="336">
        <v>0</v>
      </c>
      <c r="FS9" s="336">
        <v>0</v>
      </c>
      <c r="FT9" s="336">
        <v>0</v>
      </c>
      <c r="FU9" s="336">
        <v>0</v>
      </c>
      <c r="FV9" s="336">
        <v>0</v>
      </c>
      <c r="FW9" s="336">
        <v>0</v>
      </c>
      <c r="FX9" s="336">
        <v>0</v>
      </c>
      <c r="FY9" s="336">
        <v>0</v>
      </c>
      <c r="FZ9" s="336">
        <v>0</v>
      </c>
      <c r="GA9" s="336">
        <v>0</v>
      </c>
      <c r="GB9" s="336">
        <v>0</v>
      </c>
      <c r="GC9" s="336">
        <v>0</v>
      </c>
      <c r="GD9" s="336">
        <v>0</v>
      </c>
      <c r="GE9" s="336">
        <v>0</v>
      </c>
      <c r="GF9" s="336">
        <v>0</v>
      </c>
      <c r="GG9" s="336">
        <v>0</v>
      </c>
      <c r="GH9" s="336">
        <v>0</v>
      </c>
      <c r="GI9" s="336">
        <v>0</v>
      </c>
      <c r="GJ9" s="336">
        <v>0</v>
      </c>
      <c r="GK9" s="336">
        <v>0</v>
      </c>
      <c r="GL9" s="336">
        <v>0</v>
      </c>
      <c r="GM9" s="336">
        <v>0</v>
      </c>
      <c r="GN9" s="336">
        <v>-594</v>
      </c>
      <c r="GO9" s="336">
        <v>-36436</v>
      </c>
      <c r="GP9" s="336">
        <v>-5536</v>
      </c>
      <c r="GQ9" s="336">
        <v>0</v>
      </c>
      <c r="GR9" s="336">
        <v>0</v>
      </c>
      <c r="GS9" s="336">
        <v>0</v>
      </c>
      <c r="GT9" s="336">
        <v>0</v>
      </c>
      <c r="GU9" s="336">
        <v>0</v>
      </c>
      <c r="GV9" s="336">
        <v>0</v>
      </c>
      <c r="GW9" s="336">
        <v>0</v>
      </c>
      <c r="GX9" s="336">
        <v>0</v>
      </c>
      <c r="GY9" s="336">
        <v>0</v>
      </c>
      <c r="GZ9" s="336">
        <v>0</v>
      </c>
      <c r="HA9" s="336">
        <v>0</v>
      </c>
      <c r="HB9" s="336">
        <v>0</v>
      </c>
      <c r="HC9" s="336">
        <v>0</v>
      </c>
      <c r="HD9" s="336">
        <v>0</v>
      </c>
      <c r="HE9" s="336">
        <v>0</v>
      </c>
      <c r="HF9" s="336">
        <v>-9502</v>
      </c>
      <c r="HG9" s="336">
        <v>-1071154</v>
      </c>
      <c r="HH9" s="336">
        <v>-124769</v>
      </c>
      <c r="HI9" s="336">
        <v>0</v>
      </c>
      <c r="HJ9" s="336">
        <v>0</v>
      </c>
      <c r="HK9" s="336">
        <v>0</v>
      </c>
      <c r="HL9" s="336">
        <v>0</v>
      </c>
      <c r="HM9" s="336">
        <v>0</v>
      </c>
      <c r="HN9" s="336">
        <v>0</v>
      </c>
      <c r="HO9" s="336">
        <v>0</v>
      </c>
      <c r="HP9" s="336">
        <v>5605</v>
      </c>
      <c r="HQ9" s="336">
        <v>6459768</v>
      </c>
      <c r="HR9" s="336">
        <v>0</v>
      </c>
      <c r="HS9" s="336">
        <v>0</v>
      </c>
      <c r="HT9" s="336">
        <v>0</v>
      </c>
      <c r="HU9" s="336">
        <v>0</v>
      </c>
      <c r="HV9" s="336">
        <v>0</v>
      </c>
      <c r="HW9" s="336">
        <v>0</v>
      </c>
      <c r="HX9" s="336">
        <v>0</v>
      </c>
      <c r="HY9" s="336">
        <v>0</v>
      </c>
      <c r="HZ9" s="336">
        <v>0</v>
      </c>
      <c r="IA9" s="336">
        <v>0</v>
      </c>
      <c r="IB9" s="336">
        <v>0</v>
      </c>
      <c r="IC9" s="336">
        <v>0</v>
      </c>
      <c r="ID9" s="336">
        <v>0</v>
      </c>
      <c r="IE9" s="336">
        <v>0</v>
      </c>
      <c r="IF9" s="336">
        <v>0</v>
      </c>
      <c r="IG9" s="336">
        <v>0</v>
      </c>
      <c r="IH9" s="336">
        <v>0</v>
      </c>
      <c r="II9" s="336">
        <v>0</v>
      </c>
      <c r="IJ9" s="336">
        <v>0</v>
      </c>
      <c r="IK9" s="336">
        <v>0</v>
      </c>
      <c r="IL9" s="336">
        <v>0</v>
      </c>
      <c r="IM9" s="336">
        <v>0</v>
      </c>
      <c r="IN9" s="336">
        <v>0</v>
      </c>
      <c r="IO9" s="336">
        <v>0</v>
      </c>
      <c r="IP9" s="336">
        <v>265334</v>
      </c>
      <c r="IQ9" s="336">
        <v>472272</v>
      </c>
      <c r="IR9" s="336">
        <v>0</v>
      </c>
      <c r="IS9" s="336">
        <v>2416</v>
      </c>
      <c r="IT9" s="336">
        <v>0</v>
      </c>
      <c r="IU9" s="336">
        <v>0</v>
      </c>
      <c r="IV9" s="336">
        <v>0</v>
      </c>
      <c r="IW9" s="336">
        <v>0</v>
      </c>
      <c r="IX9" s="336">
        <v>0</v>
      </c>
      <c r="IY9" s="336">
        <v>0</v>
      </c>
      <c r="IZ9" s="336">
        <v>0</v>
      </c>
      <c r="JA9" s="336">
        <v>0</v>
      </c>
      <c r="JB9" s="336">
        <v>0</v>
      </c>
      <c r="JC9" s="336">
        <v>0</v>
      </c>
      <c r="JD9" s="336">
        <v>0</v>
      </c>
      <c r="JE9" s="336">
        <v>0</v>
      </c>
      <c r="JF9" s="336">
        <v>0</v>
      </c>
      <c r="JG9" s="336">
        <v>0</v>
      </c>
      <c r="JH9" s="336">
        <v>0</v>
      </c>
      <c r="JI9" s="336">
        <v>65530</v>
      </c>
      <c r="JJ9" s="336">
        <v>2000</v>
      </c>
      <c r="JK9" s="336">
        <v>1217753</v>
      </c>
      <c r="JL9" s="336">
        <v>0</v>
      </c>
      <c r="JM9" s="336">
        <v>0</v>
      </c>
      <c r="JN9" s="336">
        <v>0</v>
      </c>
      <c r="JO9" s="336">
        <v>0</v>
      </c>
      <c r="JP9" s="336">
        <v>0</v>
      </c>
      <c r="JQ9" s="336">
        <v>0</v>
      </c>
      <c r="JR9" s="336">
        <v>10649</v>
      </c>
      <c r="JS9" s="336">
        <v>174482</v>
      </c>
      <c r="JT9" s="336">
        <v>142520</v>
      </c>
      <c r="JU9" s="336">
        <v>0</v>
      </c>
      <c r="JV9" s="336">
        <v>0</v>
      </c>
      <c r="JW9" s="336">
        <v>0</v>
      </c>
      <c r="JX9" s="336">
        <v>0</v>
      </c>
      <c r="JY9" s="336">
        <v>0</v>
      </c>
      <c r="JZ9" s="336">
        <v>0</v>
      </c>
      <c r="KA9" s="336">
        <v>0</v>
      </c>
      <c r="KB9" s="336">
        <v>0</v>
      </c>
      <c r="KC9" s="336">
        <v>0</v>
      </c>
      <c r="KD9" s="336">
        <v>0</v>
      </c>
      <c r="KE9" s="336">
        <v>0</v>
      </c>
      <c r="KF9" s="336">
        <v>0</v>
      </c>
      <c r="KG9" s="336">
        <v>0</v>
      </c>
      <c r="KH9" s="336">
        <v>0</v>
      </c>
      <c r="KI9" s="336">
        <v>0</v>
      </c>
      <c r="KJ9" s="336">
        <v>116959</v>
      </c>
      <c r="KK9" s="336">
        <v>10762</v>
      </c>
      <c r="KL9" s="336">
        <v>-43013</v>
      </c>
      <c r="KM9" s="336">
        <v>0</v>
      </c>
      <c r="KN9" s="336">
        <v>0</v>
      </c>
      <c r="KO9" s="336">
        <v>0</v>
      </c>
      <c r="KP9" s="336">
        <v>0</v>
      </c>
      <c r="KQ9" s="336">
        <v>0</v>
      </c>
      <c r="KR9" s="336">
        <v>8940744</v>
      </c>
      <c r="KS9" s="336">
        <v>967034</v>
      </c>
      <c r="KT9" s="336">
        <v>0</v>
      </c>
      <c r="KU9" s="336">
        <v>897682</v>
      </c>
      <c r="KV9" s="336">
        <v>0</v>
      </c>
      <c r="KW9" s="336">
        <v>0</v>
      </c>
      <c r="KX9" s="336">
        <v>0</v>
      </c>
      <c r="KY9" s="336">
        <v>0</v>
      </c>
      <c r="KZ9" s="336">
        <v>0</v>
      </c>
      <c r="LA9" s="336">
        <v>0</v>
      </c>
      <c r="LB9" s="336">
        <v>0</v>
      </c>
      <c r="LC9" s="336">
        <v>0</v>
      </c>
      <c r="LD9" s="336">
        <v>0</v>
      </c>
      <c r="LE9" s="336">
        <v>0</v>
      </c>
      <c r="LF9" s="336">
        <v>0</v>
      </c>
      <c r="LG9" s="336">
        <v>0</v>
      </c>
      <c r="LH9" s="336">
        <v>0</v>
      </c>
      <c r="LI9" s="336">
        <v>0</v>
      </c>
      <c r="LJ9" s="336">
        <v>185283</v>
      </c>
      <c r="LK9" s="336">
        <v>21561</v>
      </c>
      <c r="LL9" s="336">
        <v>0</v>
      </c>
      <c r="LM9" s="336">
        <v>142805</v>
      </c>
      <c r="LN9" s="336">
        <v>0</v>
      </c>
      <c r="LO9" s="336">
        <v>0</v>
      </c>
      <c r="LP9" s="336">
        <v>0</v>
      </c>
      <c r="LQ9" s="336">
        <v>0</v>
      </c>
      <c r="LR9" s="336">
        <v>0</v>
      </c>
      <c r="LS9" s="336">
        <v>0</v>
      </c>
      <c r="LT9" s="336">
        <v>0</v>
      </c>
      <c r="LU9" s="336">
        <v>0</v>
      </c>
      <c r="LV9" s="336">
        <v>0</v>
      </c>
      <c r="LW9" s="336">
        <v>0</v>
      </c>
      <c r="LX9" s="336">
        <v>0</v>
      </c>
      <c r="LY9" s="336">
        <v>0</v>
      </c>
      <c r="LZ9" s="336">
        <v>0</v>
      </c>
      <c r="MA9" s="336">
        <v>0</v>
      </c>
      <c r="MB9" s="336">
        <v>2936739</v>
      </c>
      <c r="MC9" s="336">
        <v>295293</v>
      </c>
      <c r="MD9" s="336">
        <v>0</v>
      </c>
      <c r="ME9" s="336">
        <v>718795</v>
      </c>
      <c r="MF9" s="336">
        <v>0</v>
      </c>
      <c r="MG9" s="336">
        <v>0</v>
      </c>
      <c r="MH9" s="336">
        <v>0</v>
      </c>
      <c r="MI9" s="336">
        <v>0</v>
      </c>
      <c r="MJ9" s="336">
        <v>0</v>
      </c>
      <c r="MK9" s="336">
        <v>1415016</v>
      </c>
      <c r="ML9" s="336">
        <v>144749</v>
      </c>
      <c r="MM9" s="336">
        <v>0</v>
      </c>
      <c r="MN9" s="336">
        <v>126100</v>
      </c>
      <c r="MO9" s="336">
        <v>0</v>
      </c>
      <c r="MP9" s="336">
        <v>0</v>
      </c>
      <c r="MQ9" s="336">
        <v>0</v>
      </c>
      <c r="MR9" s="336">
        <v>0</v>
      </c>
      <c r="MS9" s="336">
        <v>0</v>
      </c>
      <c r="MT9" s="336">
        <v>4304327</v>
      </c>
      <c r="MU9" s="336">
        <v>1136224</v>
      </c>
      <c r="MV9" s="336">
        <v>0</v>
      </c>
      <c r="MW9" s="336">
        <v>10594</v>
      </c>
      <c r="MX9" s="336">
        <v>0</v>
      </c>
      <c r="MY9" s="336">
        <v>0</v>
      </c>
      <c r="MZ9" s="336">
        <v>0</v>
      </c>
      <c r="NA9" s="336">
        <v>0</v>
      </c>
      <c r="NB9" s="336">
        <v>0</v>
      </c>
      <c r="NC9" s="336">
        <v>2729481</v>
      </c>
      <c r="ND9" s="336">
        <v>342982</v>
      </c>
      <c r="NE9" s="336">
        <v>0</v>
      </c>
      <c r="NF9" s="336">
        <v>0</v>
      </c>
      <c r="NG9" s="336">
        <v>0</v>
      </c>
      <c r="NH9" s="336">
        <v>0</v>
      </c>
      <c r="NI9" s="336">
        <v>0</v>
      </c>
      <c r="NJ9" s="336">
        <v>0</v>
      </c>
      <c r="NK9" s="336">
        <v>0</v>
      </c>
      <c r="NL9" s="336">
        <v>800064</v>
      </c>
      <c r="NM9" s="336">
        <v>1280997</v>
      </c>
      <c r="NN9" s="336">
        <v>0</v>
      </c>
      <c r="NO9" s="336">
        <v>2578578</v>
      </c>
      <c r="NP9" s="336">
        <v>0</v>
      </c>
      <c r="NQ9" s="336">
        <v>0</v>
      </c>
      <c r="NR9" s="336">
        <v>0</v>
      </c>
      <c r="NS9" s="336">
        <v>0</v>
      </c>
      <c r="NT9" s="336">
        <v>0</v>
      </c>
      <c r="NU9" s="336">
        <v>0</v>
      </c>
      <c r="NV9" s="336">
        <v>0</v>
      </c>
      <c r="NW9" s="336">
        <v>1338843</v>
      </c>
      <c r="NX9" s="336">
        <v>0</v>
      </c>
      <c r="NY9" s="336">
        <v>0</v>
      </c>
      <c r="NZ9" s="336">
        <v>0</v>
      </c>
      <c r="OA9" s="336">
        <v>0</v>
      </c>
      <c r="OB9" s="336">
        <v>0</v>
      </c>
      <c r="OC9" s="336">
        <v>0</v>
      </c>
      <c r="OD9" s="336">
        <v>2045512</v>
      </c>
      <c r="OE9" s="336">
        <v>0</v>
      </c>
      <c r="OF9" s="336">
        <v>0</v>
      </c>
      <c r="OG9" s="336">
        <v>11509140</v>
      </c>
      <c r="OH9" s="336">
        <v>0</v>
      </c>
      <c r="OI9" s="336">
        <v>0</v>
      </c>
      <c r="OJ9" s="336">
        <v>0</v>
      </c>
      <c r="OK9" s="336">
        <v>0</v>
      </c>
      <c r="OL9" s="336">
        <v>0</v>
      </c>
      <c r="OM9" s="336">
        <v>0</v>
      </c>
      <c r="ON9" s="336">
        <v>0</v>
      </c>
      <c r="OO9" s="336">
        <v>0</v>
      </c>
      <c r="OP9" s="336">
        <v>0</v>
      </c>
      <c r="OQ9" s="336">
        <v>0</v>
      </c>
      <c r="OR9" s="336">
        <v>0</v>
      </c>
      <c r="OS9" s="336">
        <v>0</v>
      </c>
      <c r="OT9" s="336">
        <v>0</v>
      </c>
      <c r="OU9" s="336">
        <v>0</v>
      </c>
      <c r="OV9" s="336">
        <v>0</v>
      </c>
      <c r="OW9" s="336">
        <v>0</v>
      </c>
      <c r="OX9" s="336">
        <v>0</v>
      </c>
      <c r="OY9" s="336">
        <v>0</v>
      </c>
      <c r="OZ9" s="336">
        <v>0</v>
      </c>
      <c r="PA9" s="336">
        <v>0</v>
      </c>
      <c r="PB9" s="336">
        <v>0</v>
      </c>
      <c r="PC9" s="336">
        <v>0</v>
      </c>
      <c r="PD9" s="336">
        <v>0</v>
      </c>
      <c r="PE9" s="336">
        <v>-130140</v>
      </c>
      <c r="PF9" s="336">
        <v>-583959</v>
      </c>
      <c r="PG9" s="336">
        <v>983675</v>
      </c>
      <c r="PH9" s="336">
        <v>98333</v>
      </c>
      <c r="PI9" s="336">
        <v>1301</v>
      </c>
      <c r="PJ9" s="336">
        <v>0</v>
      </c>
      <c r="PK9" s="336">
        <v>7519780</v>
      </c>
      <c r="PL9" s="336">
        <v>0</v>
      </c>
      <c r="PM9" s="336">
        <v>0</v>
      </c>
      <c r="PN9" s="336">
        <v>0</v>
      </c>
      <c r="PO9" s="336">
        <v>0</v>
      </c>
      <c r="PP9" s="336">
        <v>0</v>
      </c>
      <c r="PQ9" s="336">
        <v>0</v>
      </c>
      <c r="PR9" s="336">
        <v>0</v>
      </c>
      <c r="PS9" s="336">
        <v>0</v>
      </c>
      <c r="PT9" s="336">
        <v>0</v>
      </c>
      <c r="PU9" s="336">
        <v>0</v>
      </c>
      <c r="PV9" s="336">
        <v>0</v>
      </c>
      <c r="PW9" s="336">
        <v>-4004500</v>
      </c>
      <c r="PX9" s="336">
        <v>0</v>
      </c>
      <c r="PY9" s="336">
        <v>0</v>
      </c>
      <c r="PZ9" s="336">
        <v>0</v>
      </c>
      <c r="QA9" s="336">
        <v>0</v>
      </c>
      <c r="QB9" s="336">
        <v>0</v>
      </c>
      <c r="QC9" s="336">
        <v>0</v>
      </c>
      <c r="QD9" s="336">
        <v>0</v>
      </c>
      <c r="QE9" s="336">
        <v>0</v>
      </c>
      <c r="QF9" s="336">
        <v>0</v>
      </c>
      <c r="QG9" s="336">
        <v>0</v>
      </c>
      <c r="QH9" s="336">
        <v>0</v>
      </c>
      <c r="QI9" s="336">
        <v>612828</v>
      </c>
      <c r="QJ9" s="336">
        <v>0</v>
      </c>
      <c r="QK9" s="336">
        <v>0</v>
      </c>
      <c r="QL9" s="336">
        <v>0</v>
      </c>
      <c r="QM9" s="336">
        <v>0</v>
      </c>
      <c r="QN9" s="336">
        <v>0</v>
      </c>
      <c r="QO9" s="336">
        <v>0</v>
      </c>
      <c r="QP9" s="336">
        <v>0</v>
      </c>
      <c r="QQ9" s="336">
        <v>0</v>
      </c>
      <c r="QR9" s="336">
        <v>0</v>
      </c>
      <c r="QS9" s="336">
        <v>0</v>
      </c>
      <c r="QT9" s="336">
        <v>0</v>
      </c>
      <c r="QU9" s="336">
        <v>0</v>
      </c>
      <c r="QV9" s="336">
        <v>0</v>
      </c>
      <c r="QW9" s="336">
        <v>0</v>
      </c>
      <c r="QX9" s="336">
        <v>0</v>
      </c>
      <c r="QY9" s="336">
        <v>0</v>
      </c>
      <c r="QZ9" s="336">
        <v>0</v>
      </c>
      <c r="RA9" s="336">
        <v>0</v>
      </c>
      <c r="RB9" s="336">
        <v>0</v>
      </c>
      <c r="RC9" s="336">
        <v>0</v>
      </c>
      <c r="RD9" s="336">
        <v>0</v>
      </c>
      <c r="RE9" s="336">
        <v>0</v>
      </c>
      <c r="RF9" s="336">
        <v>0</v>
      </c>
      <c r="RG9" s="336">
        <v>0</v>
      </c>
      <c r="RH9" s="336">
        <v>0</v>
      </c>
      <c r="RI9" s="336">
        <v>0</v>
      </c>
      <c r="RJ9" s="336">
        <v>0</v>
      </c>
      <c r="RK9" s="336">
        <v>0</v>
      </c>
      <c r="RL9" s="336">
        <v>0</v>
      </c>
      <c r="RM9" s="336">
        <v>0</v>
      </c>
      <c r="RN9" s="336">
        <v>0</v>
      </c>
      <c r="RO9" s="336">
        <v>-3048156</v>
      </c>
      <c r="RP9" s="336">
        <v>0</v>
      </c>
      <c r="RQ9" s="336">
        <v>0</v>
      </c>
      <c r="RR9" s="336">
        <v>0</v>
      </c>
      <c r="RS9" s="336">
        <v>0</v>
      </c>
      <c r="RT9" s="336">
        <v>0</v>
      </c>
      <c r="RU9" s="336">
        <v>0</v>
      </c>
      <c r="RV9" s="336">
        <v>0</v>
      </c>
      <c r="RW9" s="336">
        <v>0</v>
      </c>
      <c r="RX9" s="336">
        <v>0</v>
      </c>
      <c r="RY9" s="336">
        <v>0</v>
      </c>
      <c r="RZ9" s="336">
        <v>0</v>
      </c>
      <c r="SA9" s="336">
        <v>0</v>
      </c>
      <c r="SB9" s="336">
        <v>0</v>
      </c>
      <c r="SC9" s="336">
        <v>0</v>
      </c>
      <c r="SD9" s="336">
        <v>0</v>
      </c>
      <c r="SE9" s="336">
        <v>0</v>
      </c>
      <c r="SF9" s="336">
        <v>0</v>
      </c>
      <c r="SG9" s="336">
        <v>0</v>
      </c>
      <c r="SH9" s="336">
        <v>0</v>
      </c>
      <c r="SI9" s="336">
        <v>0</v>
      </c>
      <c r="SJ9" s="336">
        <v>0</v>
      </c>
      <c r="SK9" s="336">
        <v>0</v>
      </c>
      <c r="SL9" s="336">
        <v>0</v>
      </c>
      <c r="SM9" s="336">
        <v>0</v>
      </c>
      <c r="SN9" s="336">
        <v>0</v>
      </c>
      <c r="SO9" s="336">
        <v>0</v>
      </c>
      <c r="SP9" s="336">
        <v>0</v>
      </c>
      <c r="SQ9" s="336">
        <v>2045512</v>
      </c>
      <c r="SR9" s="336">
        <v>0</v>
      </c>
      <c r="SS9" s="336">
        <v>0</v>
      </c>
      <c r="ST9" s="336">
        <v>11509140</v>
      </c>
      <c r="SU9" s="336">
        <v>0</v>
      </c>
      <c r="SV9" s="336">
        <v>0</v>
      </c>
      <c r="SW9" s="336">
        <v>0</v>
      </c>
      <c r="SX9" s="336">
        <v>0</v>
      </c>
      <c r="SY9" s="336">
        <v>0</v>
      </c>
      <c r="SZ9" s="336" t="s">
        <v>1420</v>
      </c>
      <c r="TA9" s="336" t="s">
        <v>1420</v>
      </c>
      <c r="TB9" s="336" t="s">
        <v>1420</v>
      </c>
      <c r="TC9" s="336">
        <v>13452267</v>
      </c>
      <c r="TD9" s="336">
        <v>0</v>
      </c>
      <c r="TE9" s="336">
        <v>0</v>
      </c>
      <c r="TF9" s="336">
        <v>0</v>
      </c>
      <c r="TG9" s="336">
        <v>0</v>
      </c>
      <c r="TH9" s="336">
        <v>0</v>
      </c>
      <c r="TI9" s="336">
        <v>0</v>
      </c>
      <c r="TJ9" s="336">
        <v>102385</v>
      </c>
      <c r="TK9" s="336">
        <v>0</v>
      </c>
      <c r="TL9" s="336">
        <v>0</v>
      </c>
      <c r="TM9" s="336">
        <v>0</v>
      </c>
      <c r="TN9" s="336">
        <v>0</v>
      </c>
      <c r="TO9" s="336">
        <v>0</v>
      </c>
      <c r="TP9" s="336">
        <v>0</v>
      </c>
      <c r="TQ9" s="336">
        <v>0</v>
      </c>
      <c r="TR9" s="336">
        <v>0</v>
      </c>
      <c r="TS9" s="336">
        <v>0</v>
      </c>
      <c r="TT9" s="336">
        <v>0</v>
      </c>
      <c r="TU9" s="336">
        <v>0</v>
      </c>
      <c r="TV9" s="336">
        <v>0</v>
      </c>
      <c r="TW9" s="336">
        <v>0</v>
      </c>
      <c r="TX9" s="336">
        <v>0</v>
      </c>
      <c r="TY9" s="336">
        <v>0</v>
      </c>
      <c r="TZ9" s="336">
        <v>0</v>
      </c>
      <c r="UA9" s="336">
        <v>0</v>
      </c>
      <c r="UB9" s="336">
        <v>0</v>
      </c>
      <c r="UC9" s="336">
        <v>0</v>
      </c>
      <c r="UD9" s="336">
        <v>0</v>
      </c>
      <c r="UE9" s="336">
        <v>0</v>
      </c>
      <c r="UF9" s="336">
        <v>0</v>
      </c>
      <c r="UG9" s="336">
        <v>0</v>
      </c>
      <c r="UH9" s="336">
        <v>10805460</v>
      </c>
      <c r="UI9" s="336">
        <v>0</v>
      </c>
      <c r="UJ9" s="336">
        <v>349649</v>
      </c>
      <c r="UK9" s="336">
        <v>0</v>
      </c>
      <c r="UL9" s="336">
        <v>3950827</v>
      </c>
      <c r="UM9" s="336">
        <v>1685865</v>
      </c>
      <c r="UN9" s="336">
        <v>5451145</v>
      </c>
      <c r="UO9" s="336">
        <v>3072463</v>
      </c>
      <c r="UP9" s="336">
        <v>4659639</v>
      </c>
      <c r="UQ9" s="336">
        <v>1338843</v>
      </c>
      <c r="UR9"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13554652</v>
      </c>
      <c r="US9" s="338">
        <f>SUM(Input[[#This Row],[Oth Exp E&amp;G]],Input[[#This Row],[Oth Exp Desg]],Input[[#This Row],[Oth Exp Aux]],Input[[#This Row],[Oth Exp R Exp]],Input[[#This Row],[Oth Exp Loan]],Input[[#This Row],[Oth Exp Annuity]],Input[[#This Row],[Oth Exp Unexp]],Input[[#This Row],[Oth Exp R of Ind]],Input[[#This Row],[Oth Exp Inv in P]])</f>
        <v>0</v>
      </c>
      <c r="UT9" s="336">
        <v>0</v>
      </c>
      <c r="UU9" s="336">
        <v>0</v>
      </c>
      <c r="UV9" s="339" t="s">
        <v>1565</v>
      </c>
      <c r="UW9" s="340">
        <v>4099846137</v>
      </c>
      <c r="UX9" s="339" t="s">
        <v>1566</v>
      </c>
      <c r="UY9" s="339" t="s">
        <v>1567</v>
      </c>
      <c r="UZ9" s="340">
        <v>4099846129</v>
      </c>
      <c r="VA9" s="339" t="s">
        <v>1568</v>
      </c>
      <c r="VB9" s="341" cm="1">
        <f t="array" ref="VB9">IFERROR(_xlfn.IFS(Input[[#This Row],[Type]]="HRI",VLOOKUP(Input[[#This Row],[Institution Name]],FTSEHRI[],9,FALSE),Input[[#This Row],[Type]]="UNIV",VLOOKUP(Input[[#This Row],[Institution Name]],FTSEUNIV[],9,FALSE),OR(Input[[#This Row],[Type]]="TSTC",Input[[#This Row],[Type]]="LSC"),VLOOKUP(Input[[#This Row],[Institution Name]],FTSETSTC[],8,FALSE)),"N/A")</f>
        <v>2285.77</v>
      </c>
      <c r="VC9" s="342" t="str" cm="1">
        <f t="array" ref="VC9">IFERROR(_xlfn.IFS(Input[[#This Row],[Type]]="HRI",VLOOKUP(Input[[#This Row],[Institution Name]],FTSEHRI[],11,FALSE),Input[[#This Row],[Type]]="UNIV",VLOOKUP(Input[[#This Row],[Institution Name]],FTSEUNIV[],11,FALSE),Input[[#This Row],[Type]]="TSTC",VLOOKUP(Input[[#This Row],[Institution Name]],FTSETSTC[],10,FALSE)),"N/A")</f>
        <v>N/A</v>
      </c>
      <c r="VD9"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24967945</v>
      </c>
      <c r="VE9"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2283992</v>
      </c>
      <c r="VF9" s="338">
        <f>SUM(Input[[#This Row],[Fed G&amp;C E&amp;G]],Input[[#This Row],[Fed G&amp;C Desg]],Input[[#This Row],[Fed G&amp;C R Exp]],Input[[#This Row],[Fed G&amp;C Loan]],Input[[#This Row],[Fed G&amp;C Annuity]],Input[[#This Row],[Fed G&amp;C Unexp]],Input[[#This Row],[Fed G&amp;C R of Ind]],Input[[#This Row],[Fed G&amp;C Inv in P]])</f>
        <v>5605</v>
      </c>
      <c r="VG9"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2250420</v>
      </c>
      <c r="VH9"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2146372</v>
      </c>
      <c r="VI9"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1363123</v>
      </c>
      <c r="VJ9" s="338">
        <f>SUM(Input[[#This Row],[Oth Inc E&amp;G]],Input[[#This Row],[Oth Exp Desg]],Input[[#This Row],[Oth Exp R Exp]],Input[[#This Row],[Oth Exp Loan]],Input[[#This Row],[Oth Exp Annuity]],Input[[#This Row],[Oth Exp Unexp]],Input[[#This Row],[Oth Exp R of Ind]],Input[[#This Row],[Oth Exp Inv in P]])</f>
        <v>0</v>
      </c>
      <c r="VK9" s="343">
        <f>SUM(Input[[#This Row],[Instr E&amp;G]],Input[[#This Row],[Instr Desg]],Input[[#This Row],[Instr R Exp]],Input[[#This Row],[Instr Loan]],Input[[#This Row],[Instr Annuity]],Input[[#This Row],[Instr Unexp]],Input[[#This Row],[Instr R of Ind]],Input[[#This Row],[Instr Inv in P]])</f>
        <v>10805460</v>
      </c>
      <c r="VL9" s="343">
        <f>SUM(Input[[#This Row],[Res E&amp;G]],Input[[#This Row],[Res Desg]],Input[[#This Row],[Res R Exp]],Input[[#This Row],[Res Loan]],Input[[#This Row],[Res Annuity]],Input[[#This Row],[Res Unexp]],Input[[#This Row],[Res R of Ind]],Input[[#This Row],[Res Inv in P]])</f>
        <v>0</v>
      </c>
      <c r="VM9" s="343">
        <f>SUM(Input[[#This Row],[Acad Sup E&amp;G]],Input[[#This Row],[Acad Sup Desg]],Input[[#This Row],[Acad Sup R Exp]],Input[[#This Row],[Acad Sup Loan]],Input[[#This Row],[Acad Sup Annuity]],Input[[#This Row],[Acad Sup Unexp]],Input[[#This Row],[Acad Sup R of Ind]],Input[[#This Row],[Acad Sup Inv in P]])</f>
        <v>3950827</v>
      </c>
      <c r="VN9" s="343">
        <f>SUM(Input[[#This Row],[Stu Svc E&amp;G]],Input[[#This Row],[Stu Svc Desg]],Input[[#This Row],[Stu Svc R Exp]],Input[[#This Row],[Stu Svc Loan]],Input[[#This Row],[Stu Svc Annuity]],Input[[#This Row],[Stu Svc Unexp]],Input[[#This Row],[Stu Svc R of Ind]],Input[[#This Row],[Stu Svc Inv in P]])</f>
        <v>1685865</v>
      </c>
      <c r="VO9" s="343">
        <f>SUM(Input[[#This Row],[Inst. Spt E&amp;G]],Input[[#This Row],[Inst. Spt Desg]],Input[[#This Row],[Inst. Spt R Exp]],Input[[#This Row],[Inst. Spt Loan]],Input[[#This Row],[Inst. Spt Annuity]],Input[[#This Row],[Inst. Spt Unexp]],Input[[#This Row],[Inst. Spt R of Ind]],Input[[#This Row],[Inst. Spt Inv in P]])</f>
        <v>5451145</v>
      </c>
      <c r="VP9" s="343">
        <f>SUM(Input[[#This Row],[M&amp;O Plnt E&amp;G]],Input[[#This Row],[M&amp;O Plnt Desg]],Input[[#This Row],[M&amp;O Plnt R Exp]],Input[[#This Row],[M&amp;O Plnt Loan]],Input[[#This Row],[M&amp;O Plnt Annuity]],Input[[#This Row],[M&amp;O Plnt Unexp]],Input[[#This Row],[M&amp;O Plnt R of Ind]],Input[[#This Row],[M&amp;O Plnt Inv in P]])</f>
        <v>3072463</v>
      </c>
      <c r="VQ9" s="343">
        <f>SUM(Input[[#This Row],[Schl &amp; Fell E&amp;G]],Input[[#This Row],[Schl &amp; Fell Desg]],Input[[#This Row],[Schl &amp; Fell R Exp]],Input[[#This Row],[Schl &amp; Fell Loan]],Input[[#This Row],[Schl &amp; Fell Annuity]],Input[[#This Row],[Schl &amp; Fell Unexp]],Input[[#This Row],[Schl &amp; Fell R of Ind]],Input[[#This Row],[Schl &amp; Fell Inv in P]])</f>
        <v>4659639</v>
      </c>
      <c r="VR9" s="343">
        <f>SUM(Input[[#This Row],[Cap Out fund E&amp;G]],Input[[#This Row],[Cap Out fund Desg]],Input[[#This Row],[Cap Out fund R Exp]],Input[[#This Row],[Cap Out fund Loan]],Input[[#This Row],[Cap Out fund Annuity]],Input[[#This Row],[Cap Out fund Unexp]],Input[[#This Row],[Cap Out fund R of Ind]],Input[[#This Row],[Cap Out fund Inv in P]])</f>
        <v>13554652</v>
      </c>
      <c r="VS9" s="343">
        <f>SUM(Input[[#This Row],[Oth Exp E&amp;G]],Input[[#This Row],[Oth Exp Desg]],Input[[#This Row],[Oth Exp R Exp]],Input[[#This Row],[Oth Exp Loan]],Input[[#This Row],[Oth Exp Annuity]],Input[[#This Row],[Oth Exp Unexp]],Input[[#This Row],[Oth Exp R of Ind]],Input[[#This Row],[Oth Exp Inv in P]],Input[[#This Row],[Oth Exp Inv in P]])</f>
        <v>0</v>
      </c>
    </row>
    <row r="10" spans="1:591" s="344" customFormat="1" ht="27" customHeight="1" x14ac:dyDescent="0.55000000000000004">
      <c r="A10" s="339" t="s">
        <v>1417</v>
      </c>
      <c r="B10" s="334" t="s">
        <v>825</v>
      </c>
      <c r="C10" s="334" t="s">
        <v>21</v>
      </c>
      <c r="D10" s="334">
        <v>270</v>
      </c>
      <c r="E10" s="334" t="s">
        <v>1622</v>
      </c>
      <c r="F10" s="335">
        <v>3581</v>
      </c>
      <c r="G10" s="336">
        <v>102475451</v>
      </c>
      <c r="H10" s="336">
        <v>0</v>
      </c>
      <c r="I10" s="336">
        <v>0</v>
      </c>
      <c r="J10" s="336">
        <v>0</v>
      </c>
      <c r="K10" s="336">
        <v>0</v>
      </c>
      <c r="L10" s="336">
        <v>0</v>
      </c>
      <c r="M10" s="336">
        <v>0</v>
      </c>
      <c r="N10" s="336">
        <v>0</v>
      </c>
      <c r="O10" s="336">
        <v>0</v>
      </c>
      <c r="P10" s="336">
        <v>558605</v>
      </c>
      <c r="Q10" s="336">
        <v>0</v>
      </c>
      <c r="R10" s="336">
        <v>0</v>
      </c>
      <c r="S10" s="336">
        <v>6664730</v>
      </c>
      <c r="T10" s="336">
        <v>0</v>
      </c>
      <c r="U10" s="336">
        <v>0</v>
      </c>
      <c r="V10" s="336">
        <v>0</v>
      </c>
      <c r="W10" s="336">
        <v>0</v>
      </c>
      <c r="X10" s="336">
        <v>0</v>
      </c>
      <c r="Y10" s="336">
        <v>13537649</v>
      </c>
      <c r="Z10" s="336">
        <v>0</v>
      </c>
      <c r="AA10" s="336">
        <v>0</v>
      </c>
      <c r="AB10" s="336">
        <v>0</v>
      </c>
      <c r="AC10" s="336">
        <v>0</v>
      </c>
      <c r="AD10" s="336">
        <v>0</v>
      </c>
      <c r="AE10" s="336">
        <v>0</v>
      </c>
      <c r="AF10" s="336">
        <v>0</v>
      </c>
      <c r="AG10" s="336">
        <v>0</v>
      </c>
      <c r="AH10" s="336">
        <v>0</v>
      </c>
      <c r="AI10" s="336">
        <v>0</v>
      </c>
      <c r="AJ10" s="336">
        <v>0</v>
      </c>
      <c r="AK10" s="336">
        <v>0</v>
      </c>
      <c r="AL10" s="336">
        <v>0</v>
      </c>
      <c r="AM10" s="336">
        <v>0</v>
      </c>
      <c r="AN10" s="336">
        <v>0</v>
      </c>
      <c r="AO10" s="336">
        <v>0</v>
      </c>
      <c r="AP10" s="336">
        <v>0</v>
      </c>
      <c r="AQ10" s="336">
        <v>-8893833</v>
      </c>
      <c r="AR10" s="336">
        <v>-22671</v>
      </c>
      <c r="AS10" s="336">
        <v>0</v>
      </c>
      <c r="AT10" s="336">
        <v>0</v>
      </c>
      <c r="AU10" s="336">
        <v>0</v>
      </c>
      <c r="AV10" s="336">
        <v>0</v>
      </c>
      <c r="AW10" s="336">
        <v>0</v>
      </c>
      <c r="AX10" s="336">
        <v>0</v>
      </c>
      <c r="AY10" s="336">
        <v>0</v>
      </c>
      <c r="AZ10" s="336">
        <v>0</v>
      </c>
      <c r="BA10" s="336">
        <v>0</v>
      </c>
      <c r="BB10" s="336">
        <v>0</v>
      </c>
      <c r="BC10" s="336">
        <v>0</v>
      </c>
      <c r="BD10" s="336">
        <v>0</v>
      </c>
      <c r="BE10" s="336">
        <v>0</v>
      </c>
      <c r="BF10" s="336">
        <v>0</v>
      </c>
      <c r="BG10" s="336">
        <v>0</v>
      </c>
      <c r="BH10" s="336">
        <v>0</v>
      </c>
      <c r="BI10" s="336">
        <v>0</v>
      </c>
      <c r="BJ10" s="336">
        <v>0</v>
      </c>
      <c r="BK10" s="336">
        <v>0</v>
      </c>
      <c r="BL10" s="336">
        <v>0</v>
      </c>
      <c r="BM10" s="336">
        <v>0</v>
      </c>
      <c r="BN10" s="336">
        <v>0</v>
      </c>
      <c r="BO10" s="336">
        <v>0</v>
      </c>
      <c r="BP10" s="336">
        <v>0</v>
      </c>
      <c r="BQ10" s="336">
        <v>0</v>
      </c>
      <c r="BR10" s="336">
        <v>0</v>
      </c>
      <c r="BS10" s="336">
        <v>0</v>
      </c>
      <c r="BT10" s="336">
        <v>0</v>
      </c>
      <c r="BU10" s="336">
        <v>0</v>
      </c>
      <c r="BV10" s="336">
        <v>0</v>
      </c>
      <c r="BW10" s="336">
        <v>0</v>
      </c>
      <c r="BX10" s="336">
        <v>0</v>
      </c>
      <c r="BY10" s="336">
        <v>0</v>
      </c>
      <c r="BZ10" s="336">
        <v>0</v>
      </c>
      <c r="CA10" s="336">
        <v>25028068</v>
      </c>
      <c r="CB10" s="336">
        <v>84213445</v>
      </c>
      <c r="CC10" s="336">
        <v>0</v>
      </c>
      <c r="CD10" s="336">
        <v>0</v>
      </c>
      <c r="CE10" s="336">
        <v>0</v>
      </c>
      <c r="CF10" s="336">
        <v>0</v>
      </c>
      <c r="CG10" s="336">
        <v>0</v>
      </c>
      <c r="CH10" s="336">
        <v>0</v>
      </c>
      <c r="CI10" s="336">
        <v>0</v>
      </c>
      <c r="CJ10" s="336">
        <v>0</v>
      </c>
      <c r="CK10" s="336">
        <v>0</v>
      </c>
      <c r="CL10" s="336">
        <v>0</v>
      </c>
      <c r="CM10" s="336">
        <v>0</v>
      </c>
      <c r="CN10" s="336">
        <v>0</v>
      </c>
      <c r="CO10" s="336">
        <v>0</v>
      </c>
      <c r="CP10" s="336">
        <v>0</v>
      </c>
      <c r="CQ10" s="336">
        <v>0</v>
      </c>
      <c r="CR10" s="336">
        <v>0</v>
      </c>
      <c r="CS10" s="336">
        <v>0</v>
      </c>
      <c r="CT10" s="336">
        <v>0</v>
      </c>
      <c r="CU10" s="336">
        <v>0</v>
      </c>
      <c r="CV10" s="336">
        <v>0</v>
      </c>
      <c r="CW10" s="336">
        <v>0</v>
      </c>
      <c r="CX10" s="336">
        <v>0</v>
      </c>
      <c r="CY10" s="336">
        <v>0</v>
      </c>
      <c r="CZ10" s="336">
        <v>0</v>
      </c>
      <c r="DA10" s="336">
        <v>0</v>
      </c>
      <c r="DB10" s="336">
        <v>-984420</v>
      </c>
      <c r="DC10" s="336">
        <v>-3624955</v>
      </c>
      <c r="DD10" s="336">
        <v>0</v>
      </c>
      <c r="DE10" s="336">
        <v>0</v>
      </c>
      <c r="DF10" s="336">
        <v>0</v>
      </c>
      <c r="DG10" s="336">
        <v>0</v>
      </c>
      <c r="DH10" s="336">
        <v>0</v>
      </c>
      <c r="DI10" s="336">
        <v>0</v>
      </c>
      <c r="DJ10" s="336">
        <v>0</v>
      </c>
      <c r="DK10" s="336">
        <v>0</v>
      </c>
      <c r="DL10" s="336">
        <v>0</v>
      </c>
      <c r="DM10" s="336">
        <v>0</v>
      </c>
      <c r="DN10" s="336">
        <v>0</v>
      </c>
      <c r="DO10" s="336">
        <v>0</v>
      </c>
      <c r="DP10" s="336">
        <v>0</v>
      </c>
      <c r="DQ10" s="336">
        <v>0</v>
      </c>
      <c r="DR10" s="336">
        <v>0</v>
      </c>
      <c r="DS10" s="336">
        <v>0</v>
      </c>
      <c r="DT10" s="336">
        <v>-5964792</v>
      </c>
      <c r="DU10" s="336">
        <v>-13382539</v>
      </c>
      <c r="DV10" s="336">
        <v>0</v>
      </c>
      <c r="DW10" s="336">
        <v>0</v>
      </c>
      <c r="DX10" s="336">
        <v>0</v>
      </c>
      <c r="DY10" s="336">
        <v>0</v>
      </c>
      <c r="DZ10" s="336">
        <v>0</v>
      </c>
      <c r="EA10" s="336">
        <v>0</v>
      </c>
      <c r="EB10" s="336">
        <v>0</v>
      </c>
      <c r="EC10" s="336">
        <v>0</v>
      </c>
      <c r="ED10" s="336">
        <v>0</v>
      </c>
      <c r="EE10" s="336">
        <v>3245</v>
      </c>
      <c r="EF10" s="336">
        <v>0</v>
      </c>
      <c r="EG10" s="336">
        <v>0</v>
      </c>
      <c r="EH10" s="336">
        <v>0</v>
      </c>
      <c r="EI10" s="336">
        <v>0</v>
      </c>
      <c r="EJ10" s="336">
        <v>0</v>
      </c>
      <c r="EK10" s="336">
        <v>0</v>
      </c>
      <c r="EL10" s="336">
        <v>0</v>
      </c>
      <c r="EM10" s="336">
        <v>0</v>
      </c>
      <c r="EN10" s="336">
        <v>0</v>
      </c>
      <c r="EO10" s="336">
        <v>0</v>
      </c>
      <c r="EP10" s="336">
        <v>0</v>
      </c>
      <c r="EQ10" s="336">
        <v>0</v>
      </c>
      <c r="ER10" s="336">
        <v>0</v>
      </c>
      <c r="ES10" s="336">
        <v>0</v>
      </c>
      <c r="ET10" s="336">
        <v>0</v>
      </c>
      <c r="EU10" s="336">
        <v>0</v>
      </c>
      <c r="EV10" s="336">
        <v>0</v>
      </c>
      <c r="EW10" s="336">
        <v>0</v>
      </c>
      <c r="EX10" s="336">
        <v>0</v>
      </c>
      <c r="EY10" s="336">
        <v>0</v>
      </c>
      <c r="EZ10" s="336">
        <v>0</v>
      </c>
      <c r="FA10" s="336">
        <v>0</v>
      </c>
      <c r="FB10" s="336">
        <v>0</v>
      </c>
      <c r="FC10" s="336">
        <v>0</v>
      </c>
      <c r="FD10" s="336">
        <v>0</v>
      </c>
      <c r="FE10" s="336">
        <v>0</v>
      </c>
      <c r="FF10" s="336">
        <v>0</v>
      </c>
      <c r="FG10" s="336">
        <v>0</v>
      </c>
      <c r="FH10" s="336">
        <v>0</v>
      </c>
      <c r="FI10" s="336">
        <v>0</v>
      </c>
      <c r="FJ10" s="336">
        <v>0</v>
      </c>
      <c r="FK10" s="336">
        <v>0</v>
      </c>
      <c r="FL10" s="336">
        <v>0</v>
      </c>
      <c r="FM10" s="336">
        <v>15245</v>
      </c>
      <c r="FN10" s="336">
        <v>35038501</v>
      </c>
      <c r="FO10" s="336">
        <v>11543398</v>
      </c>
      <c r="FP10" s="336">
        <v>0</v>
      </c>
      <c r="FQ10" s="336">
        <v>0</v>
      </c>
      <c r="FR10" s="336">
        <v>0</v>
      </c>
      <c r="FS10" s="336">
        <v>0</v>
      </c>
      <c r="FT10" s="336">
        <v>0</v>
      </c>
      <c r="FU10" s="336">
        <v>0</v>
      </c>
      <c r="FV10" s="336">
        <v>0</v>
      </c>
      <c r="FW10" s="336">
        <v>0</v>
      </c>
      <c r="FX10" s="336">
        <v>0</v>
      </c>
      <c r="FY10" s="336">
        <v>0</v>
      </c>
      <c r="FZ10" s="336">
        <v>0</v>
      </c>
      <c r="GA10" s="336">
        <v>0</v>
      </c>
      <c r="GB10" s="336">
        <v>0</v>
      </c>
      <c r="GC10" s="336">
        <v>0</v>
      </c>
      <c r="GD10" s="336">
        <v>0</v>
      </c>
      <c r="GE10" s="336">
        <v>0</v>
      </c>
      <c r="GF10" s="336">
        <v>0</v>
      </c>
      <c r="GG10" s="336">
        <v>0</v>
      </c>
      <c r="GH10" s="336">
        <v>0</v>
      </c>
      <c r="GI10" s="336">
        <v>0</v>
      </c>
      <c r="GJ10" s="336">
        <v>0</v>
      </c>
      <c r="GK10" s="336">
        <v>0</v>
      </c>
      <c r="GL10" s="336">
        <v>0</v>
      </c>
      <c r="GM10" s="336">
        <v>0</v>
      </c>
      <c r="GN10" s="336">
        <v>-2128</v>
      </c>
      <c r="GO10" s="336">
        <v>-1433301</v>
      </c>
      <c r="GP10" s="336">
        <v>-339143</v>
      </c>
      <c r="GQ10" s="336">
        <v>0</v>
      </c>
      <c r="GR10" s="336">
        <v>0</v>
      </c>
      <c r="GS10" s="336">
        <v>0</v>
      </c>
      <c r="GT10" s="336">
        <v>0</v>
      </c>
      <c r="GU10" s="336">
        <v>0</v>
      </c>
      <c r="GV10" s="336">
        <v>0</v>
      </c>
      <c r="GW10" s="336">
        <v>0</v>
      </c>
      <c r="GX10" s="336">
        <v>0</v>
      </c>
      <c r="GY10" s="336">
        <v>0</v>
      </c>
      <c r="GZ10" s="336">
        <v>0</v>
      </c>
      <c r="HA10" s="336">
        <v>0</v>
      </c>
      <c r="HB10" s="336">
        <v>0</v>
      </c>
      <c r="HC10" s="336">
        <v>0</v>
      </c>
      <c r="HD10" s="336">
        <v>0</v>
      </c>
      <c r="HE10" s="336">
        <v>0</v>
      </c>
      <c r="HF10" s="336">
        <v>-639</v>
      </c>
      <c r="HG10" s="336">
        <v>-5146072</v>
      </c>
      <c r="HH10" s="336">
        <v>-1968495</v>
      </c>
      <c r="HI10" s="336">
        <v>0</v>
      </c>
      <c r="HJ10" s="336">
        <v>0</v>
      </c>
      <c r="HK10" s="336">
        <v>0</v>
      </c>
      <c r="HL10" s="336">
        <v>0</v>
      </c>
      <c r="HM10" s="336">
        <v>0</v>
      </c>
      <c r="HN10" s="336">
        <v>0</v>
      </c>
      <c r="HO10" s="336">
        <v>0</v>
      </c>
      <c r="HP10" s="336">
        <v>0</v>
      </c>
      <c r="HQ10" s="336">
        <v>0</v>
      </c>
      <c r="HR10" s="336">
        <v>28426958</v>
      </c>
      <c r="HS10" s="336">
        <v>0</v>
      </c>
      <c r="HT10" s="336">
        <v>0</v>
      </c>
      <c r="HU10" s="336">
        <v>0</v>
      </c>
      <c r="HV10" s="336">
        <v>0</v>
      </c>
      <c r="HW10" s="336">
        <v>0</v>
      </c>
      <c r="HX10" s="336">
        <v>0</v>
      </c>
      <c r="HY10" s="336">
        <v>0</v>
      </c>
      <c r="HZ10" s="336">
        <v>0</v>
      </c>
      <c r="IA10" s="336">
        <v>0</v>
      </c>
      <c r="IB10" s="336">
        <v>0</v>
      </c>
      <c r="IC10" s="336">
        <v>0</v>
      </c>
      <c r="ID10" s="336">
        <v>0</v>
      </c>
      <c r="IE10" s="336">
        <v>0</v>
      </c>
      <c r="IF10" s="336">
        <v>0</v>
      </c>
      <c r="IG10" s="336">
        <v>0</v>
      </c>
      <c r="IH10" s="336">
        <v>0</v>
      </c>
      <c r="II10" s="336">
        <v>0</v>
      </c>
      <c r="IJ10" s="336">
        <v>0</v>
      </c>
      <c r="IK10" s="336">
        <v>0</v>
      </c>
      <c r="IL10" s="336">
        <v>0</v>
      </c>
      <c r="IM10" s="336">
        <v>0</v>
      </c>
      <c r="IN10" s="336">
        <v>0</v>
      </c>
      <c r="IO10" s="336">
        <v>0</v>
      </c>
      <c r="IP10" s="336">
        <v>913796</v>
      </c>
      <c r="IQ10" s="336">
        <v>4747189</v>
      </c>
      <c r="IR10" s="336">
        <v>0</v>
      </c>
      <c r="IS10" s="336">
        <v>6656</v>
      </c>
      <c r="IT10" s="336">
        <v>0</v>
      </c>
      <c r="IU10" s="336">
        <v>0</v>
      </c>
      <c r="IV10" s="336">
        <v>758083</v>
      </c>
      <c r="IW10" s="336">
        <v>0</v>
      </c>
      <c r="IX10" s="336">
        <v>0</v>
      </c>
      <c r="IY10" s="336">
        <v>0</v>
      </c>
      <c r="IZ10" s="336">
        <v>60100</v>
      </c>
      <c r="JA10" s="336">
        <v>0</v>
      </c>
      <c r="JB10" s="336">
        <v>1093626</v>
      </c>
      <c r="JC10" s="336">
        <v>0</v>
      </c>
      <c r="JD10" s="336">
        <v>0</v>
      </c>
      <c r="JE10" s="336">
        <v>0</v>
      </c>
      <c r="JF10" s="336">
        <v>0</v>
      </c>
      <c r="JG10" s="336">
        <v>0</v>
      </c>
      <c r="JH10" s="336">
        <v>0</v>
      </c>
      <c r="JI10" s="336">
        <v>132357</v>
      </c>
      <c r="JJ10" s="336">
        <v>1085415</v>
      </c>
      <c r="JK10" s="336">
        <v>7042905</v>
      </c>
      <c r="JL10" s="336">
        <v>0</v>
      </c>
      <c r="JM10" s="336">
        <v>544154</v>
      </c>
      <c r="JN10" s="336">
        <v>0</v>
      </c>
      <c r="JO10" s="336">
        <v>0</v>
      </c>
      <c r="JP10" s="336">
        <v>0</v>
      </c>
      <c r="JQ10" s="336">
        <v>0</v>
      </c>
      <c r="JR10" s="336">
        <v>0</v>
      </c>
      <c r="JS10" s="336">
        <v>0</v>
      </c>
      <c r="JT10" s="336">
        <v>19200</v>
      </c>
      <c r="JU10" s="336">
        <v>0</v>
      </c>
      <c r="JV10" s="336">
        <v>0</v>
      </c>
      <c r="JW10" s="336">
        <v>0</v>
      </c>
      <c r="JX10" s="336">
        <v>0</v>
      </c>
      <c r="JY10" s="336">
        <v>0</v>
      </c>
      <c r="JZ10" s="336">
        <v>0</v>
      </c>
      <c r="KA10" s="336">
        <v>912482</v>
      </c>
      <c r="KB10" s="336">
        <v>24168677</v>
      </c>
      <c r="KC10" s="336">
        <v>58195</v>
      </c>
      <c r="KD10" s="336">
        <v>0</v>
      </c>
      <c r="KE10" s="336">
        <v>0</v>
      </c>
      <c r="KF10" s="336">
        <v>0</v>
      </c>
      <c r="KG10" s="336">
        <v>0</v>
      </c>
      <c r="KH10" s="336">
        <v>0</v>
      </c>
      <c r="KI10" s="336">
        <v>0</v>
      </c>
      <c r="KJ10" s="336">
        <v>893077</v>
      </c>
      <c r="KK10" s="336">
        <v>663016</v>
      </c>
      <c r="KL10" s="336">
        <v>321078</v>
      </c>
      <c r="KM10" s="336">
        <v>0</v>
      </c>
      <c r="KN10" s="336">
        <v>0</v>
      </c>
      <c r="KO10" s="336">
        <v>0</v>
      </c>
      <c r="KP10" s="336">
        <v>0</v>
      </c>
      <c r="KQ10" s="336">
        <v>0</v>
      </c>
      <c r="KR10" s="336">
        <v>61095948</v>
      </c>
      <c r="KS10" s="336">
        <v>6313643</v>
      </c>
      <c r="KT10" s="336">
        <v>0</v>
      </c>
      <c r="KU10" s="336">
        <v>520200</v>
      </c>
      <c r="KV10" s="336">
        <v>0</v>
      </c>
      <c r="KW10" s="336">
        <v>0</v>
      </c>
      <c r="KX10" s="336">
        <v>0</v>
      </c>
      <c r="KY10" s="336">
        <v>0</v>
      </c>
      <c r="KZ10" s="336">
        <v>0</v>
      </c>
      <c r="LA10" s="336">
        <v>5168510</v>
      </c>
      <c r="LB10" s="336">
        <v>800678</v>
      </c>
      <c r="LC10" s="336">
        <v>0</v>
      </c>
      <c r="LD10" s="336">
        <v>3366785</v>
      </c>
      <c r="LE10" s="336">
        <v>0</v>
      </c>
      <c r="LF10" s="336">
        <v>0</v>
      </c>
      <c r="LG10" s="336">
        <v>0</v>
      </c>
      <c r="LH10" s="336">
        <v>0</v>
      </c>
      <c r="LI10" s="336">
        <v>0</v>
      </c>
      <c r="LJ10" s="336">
        <v>769851</v>
      </c>
      <c r="LK10" s="336">
        <v>583046</v>
      </c>
      <c r="LL10" s="336">
        <v>0</v>
      </c>
      <c r="LM10" s="336">
        <v>850050</v>
      </c>
      <c r="LN10" s="336">
        <v>0</v>
      </c>
      <c r="LO10" s="336">
        <v>0</v>
      </c>
      <c r="LP10" s="336">
        <v>0</v>
      </c>
      <c r="LQ10" s="336">
        <v>0</v>
      </c>
      <c r="LR10" s="336">
        <v>0</v>
      </c>
      <c r="LS10" s="336">
        <v>0</v>
      </c>
      <c r="LT10" s="336">
        <v>0</v>
      </c>
      <c r="LU10" s="336">
        <v>0</v>
      </c>
      <c r="LV10" s="336">
        <v>0</v>
      </c>
      <c r="LW10" s="336">
        <v>0</v>
      </c>
      <c r="LX10" s="336">
        <v>0</v>
      </c>
      <c r="LY10" s="336">
        <v>0</v>
      </c>
      <c r="LZ10" s="336">
        <v>0</v>
      </c>
      <c r="MA10" s="336">
        <v>0</v>
      </c>
      <c r="MB10" s="336">
        <v>14030262</v>
      </c>
      <c r="MC10" s="336">
        <v>34582639</v>
      </c>
      <c r="MD10" s="336">
        <v>0</v>
      </c>
      <c r="ME10" s="336">
        <v>2925398</v>
      </c>
      <c r="MF10" s="336">
        <v>0</v>
      </c>
      <c r="MG10" s="336">
        <v>0</v>
      </c>
      <c r="MH10" s="336">
        <v>0</v>
      </c>
      <c r="MI10" s="336">
        <v>0</v>
      </c>
      <c r="MJ10" s="336">
        <v>0</v>
      </c>
      <c r="MK10" s="336">
        <v>8240496</v>
      </c>
      <c r="ML10" s="336">
        <v>2818470</v>
      </c>
      <c r="MM10" s="336">
        <v>0</v>
      </c>
      <c r="MN10" s="336">
        <v>332890</v>
      </c>
      <c r="MO10" s="336">
        <v>0</v>
      </c>
      <c r="MP10" s="336">
        <v>0</v>
      </c>
      <c r="MQ10" s="336">
        <v>0</v>
      </c>
      <c r="MR10" s="336">
        <v>0</v>
      </c>
      <c r="MS10" s="336">
        <v>0</v>
      </c>
      <c r="MT10" s="336">
        <v>13121944</v>
      </c>
      <c r="MU10" s="336">
        <v>7234036</v>
      </c>
      <c r="MV10" s="336">
        <v>0</v>
      </c>
      <c r="MW10" s="336">
        <v>663928</v>
      </c>
      <c r="MX10" s="336">
        <v>0</v>
      </c>
      <c r="MY10" s="336">
        <v>0</v>
      </c>
      <c r="MZ10" s="336">
        <v>0</v>
      </c>
      <c r="NA10" s="336">
        <v>0</v>
      </c>
      <c r="NB10" s="336">
        <v>0</v>
      </c>
      <c r="NC10" s="336">
        <v>11454071</v>
      </c>
      <c r="ND10" s="336">
        <v>4577557</v>
      </c>
      <c r="NE10" s="336">
        <v>0</v>
      </c>
      <c r="NF10" s="336">
        <v>0</v>
      </c>
      <c r="NG10" s="336">
        <v>0</v>
      </c>
      <c r="NH10" s="336">
        <v>0</v>
      </c>
      <c r="NI10" s="336">
        <v>0</v>
      </c>
      <c r="NJ10" s="336">
        <v>0</v>
      </c>
      <c r="NK10" s="336">
        <v>0</v>
      </c>
      <c r="NL10" s="336">
        <v>969941</v>
      </c>
      <c r="NM10" s="336">
        <v>13294365</v>
      </c>
      <c r="NN10" s="336">
        <v>0</v>
      </c>
      <c r="NO10" s="336">
        <v>18871401</v>
      </c>
      <c r="NP10" s="336">
        <v>0</v>
      </c>
      <c r="NQ10" s="336">
        <v>0</v>
      </c>
      <c r="NR10" s="336">
        <v>0</v>
      </c>
      <c r="NS10" s="336">
        <v>0</v>
      </c>
      <c r="NT10" s="336">
        <v>0</v>
      </c>
      <c r="NU10" s="336">
        <v>0</v>
      </c>
      <c r="NV10" s="336">
        <v>0</v>
      </c>
      <c r="NW10" s="336">
        <v>42760600</v>
      </c>
      <c r="NX10" s="336">
        <v>0</v>
      </c>
      <c r="NY10" s="336">
        <v>0</v>
      </c>
      <c r="NZ10" s="336">
        <v>0</v>
      </c>
      <c r="OA10" s="336">
        <v>0</v>
      </c>
      <c r="OB10" s="336">
        <v>0</v>
      </c>
      <c r="OC10" s="336">
        <v>0</v>
      </c>
      <c r="OD10" s="336">
        <v>940935</v>
      </c>
      <c r="OE10" s="336">
        <v>1431989</v>
      </c>
      <c r="OF10" s="336">
        <v>1647648</v>
      </c>
      <c r="OG10" s="336">
        <v>326489</v>
      </c>
      <c r="OH10" s="336">
        <v>0</v>
      </c>
      <c r="OI10" s="336">
        <v>0</v>
      </c>
      <c r="OJ10" s="336">
        <v>0</v>
      </c>
      <c r="OK10" s="336">
        <v>0</v>
      </c>
      <c r="OL10" s="336">
        <v>0</v>
      </c>
      <c r="OM10" s="336">
        <v>0</v>
      </c>
      <c r="ON10" s="336">
        <v>0</v>
      </c>
      <c r="OO10" s="336">
        <v>0</v>
      </c>
      <c r="OP10" s="336">
        <v>0</v>
      </c>
      <c r="OQ10" s="336">
        <v>-1215605</v>
      </c>
      <c r="OR10" s="336">
        <v>0</v>
      </c>
      <c r="OS10" s="336">
        <v>0</v>
      </c>
      <c r="OT10" s="336">
        <v>0</v>
      </c>
      <c r="OU10" s="336">
        <v>24566</v>
      </c>
      <c r="OV10" s="336">
        <v>0</v>
      </c>
      <c r="OW10" s="336">
        <v>0</v>
      </c>
      <c r="OX10" s="336">
        <v>0</v>
      </c>
      <c r="OY10" s="336">
        <v>0</v>
      </c>
      <c r="OZ10" s="336">
        <v>0</v>
      </c>
      <c r="PA10" s="336">
        <v>0</v>
      </c>
      <c r="PB10" s="336">
        <v>-14754022</v>
      </c>
      <c r="PC10" s="336">
        <v>0</v>
      </c>
      <c r="PD10" s="336">
        <v>11786184</v>
      </c>
      <c r="PE10" s="336">
        <v>232488</v>
      </c>
      <c r="PF10" s="336">
        <v>-1961699</v>
      </c>
      <c r="PG10" s="336">
        <v>0</v>
      </c>
      <c r="PH10" s="336">
        <v>0</v>
      </c>
      <c r="PI10" s="336">
        <v>0</v>
      </c>
      <c r="PJ10" s="336">
        <v>0</v>
      </c>
      <c r="PK10" s="336">
        <v>0</v>
      </c>
      <c r="PL10" s="336">
        <v>0</v>
      </c>
      <c r="PM10" s="336">
        <v>0</v>
      </c>
      <c r="PN10" s="336">
        <v>0</v>
      </c>
      <c r="PO10" s="336">
        <v>0</v>
      </c>
      <c r="PP10" s="336">
        <v>0</v>
      </c>
      <c r="PQ10" s="336">
        <v>0</v>
      </c>
      <c r="PR10" s="336">
        <v>0</v>
      </c>
      <c r="PS10" s="336">
        <v>0</v>
      </c>
      <c r="PT10" s="336">
        <v>0</v>
      </c>
      <c r="PU10" s="336">
        <v>0</v>
      </c>
      <c r="PV10" s="336">
        <v>0</v>
      </c>
      <c r="PW10" s="336">
        <v>-8871250</v>
      </c>
      <c r="PX10" s="336">
        <v>-193851</v>
      </c>
      <c r="PY10" s="336">
        <v>-10041308</v>
      </c>
      <c r="PZ10" s="336">
        <v>0</v>
      </c>
      <c r="QA10" s="336">
        <v>0</v>
      </c>
      <c r="QB10" s="336">
        <v>0</v>
      </c>
      <c r="QC10" s="336">
        <v>0</v>
      </c>
      <c r="QD10" s="336">
        <v>0</v>
      </c>
      <c r="QE10" s="336">
        <v>0</v>
      </c>
      <c r="QF10" s="336">
        <v>0</v>
      </c>
      <c r="QG10" s="336">
        <v>0</v>
      </c>
      <c r="QH10" s="336">
        <v>0</v>
      </c>
      <c r="QI10" s="336">
        <v>0</v>
      </c>
      <c r="QJ10" s="336">
        <v>0</v>
      </c>
      <c r="QK10" s="336">
        <v>3884027</v>
      </c>
      <c r="QL10" s="336">
        <v>0</v>
      </c>
      <c r="QM10" s="336">
        <v>0</v>
      </c>
      <c r="QN10" s="336">
        <v>0</v>
      </c>
      <c r="QO10" s="336">
        <v>0</v>
      </c>
      <c r="QP10" s="336">
        <v>0</v>
      </c>
      <c r="QQ10" s="336">
        <v>0</v>
      </c>
      <c r="QR10" s="336">
        <v>0</v>
      </c>
      <c r="QS10" s="336">
        <v>0</v>
      </c>
      <c r="QT10" s="336">
        <v>0</v>
      </c>
      <c r="QU10" s="336">
        <v>0</v>
      </c>
      <c r="QV10" s="336">
        <v>0</v>
      </c>
      <c r="QW10" s="336">
        <v>0</v>
      </c>
      <c r="QX10" s="336">
        <v>0</v>
      </c>
      <c r="QY10" s="336">
        <v>0</v>
      </c>
      <c r="QZ10" s="336">
        <v>0</v>
      </c>
      <c r="RA10" s="336">
        <v>0</v>
      </c>
      <c r="RB10" s="336">
        <v>0</v>
      </c>
      <c r="RC10" s="336">
        <v>0</v>
      </c>
      <c r="RD10" s="336">
        <v>0</v>
      </c>
      <c r="RE10" s="336">
        <v>0</v>
      </c>
      <c r="RF10" s="336">
        <v>0</v>
      </c>
      <c r="RG10" s="336">
        <v>0</v>
      </c>
      <c r="RH10" s="336">
        <v>0</v>
      </c>
      <c r="RI10" s="336">
        <v>0</v>
      </c>
      <c r="RJ10" s="336">
        <v>0</v>
      </c>
      <c r="RK10" s="336">
        <v>0</v>
      </c>
      <c r="RL10" s="336">
        <v>0</v>
      </c>
      <c r="RM10" s="336">
        <v>0</v>
      </c>
      <c r="RN10" s="336">
        <v>0</v>
      </c>
      <c r="RO10" s="336">
        <v>-15121676</v>
      </c>
      <c r="RP10" s="336">
        <v>0</v>
      </c>
      <c r="RQ10" s="336">
        <v>0</v>
      </c>
      <c r="RR10" s="336">
        <v>0</v>
      </c>
      <c r="RS10" s="336">
        <v>0</v>
      </c>
      <c r="RT10" s="336">
        <v>0</v>
      </c>
      <c r="RU10" s="336">
        <v>0</v>
      </c>
      <c r="RV10" s="336">
        <v>0</v>
      </c>
      <c r="RW10" s="336">
        <v>0</v>
      </c>
      <c r="RX10" s="336">
        <v>0</v>
      </c>
      <c r="RY10" s="336">
        <v>0</v>
      </c>
      <c r="RZ10" s="336">
        <v>0</v>
      </c>
      <c r="SA10" s="336">
        <v>0</v>
      </c>
      <c r="SB10" s="336">
        <v>0</v>
      </c>
      <c r="SC10" s="336">
        <v>0</v>
      </c>
      <c r="SD10" s="336">
        <v>0</v>
      </c>
      <c r="SE10" s="336">
        <v>0</v>
      </c>
      <c r="SF10" s="336">
        <v>0</v>
      </c>
      <c r="SG10" s="336">
        <v>0</v>
      </c>
      <c r="SH10" s="336">
        <v>0</v>
      </c>
      <c r="SI10" s="336">
        <v>0</v>
      </c>
      <c r="SJ10" s="336">
        <v>0</v>
      </c>
      <c r="SK10" s="336">
        <v>0</v>
      </c>
      <c r="SL10" s="336">
        <v>0</v>
      </c>
      <c r="SM10" s="336">
        <v>0</v>
      </c>
      <c r="SN10" s="336">
        <v>0</v>
      </c>
      <c r="SO10" s="336">
        <v>0</v>
      </c>
      <c r="SP10" s="336">
        <v>0</v>
      </c>
      <c r="SQ10" s="336">
        <v>0</v>
      </c>
      <c r="SR10" s="336">
        <v>0</v>
      </c>
      <c r="SS10" s="336">
        <v>0</v>
      </c>
      <c r="ST10" s="336">
        <v>0</v>
      </c>
      <c r="SU10" s="336">
        <v>0</v>
      </c>
      <c r="SV10" s="336">
        <v>0</v>
      </c>
      <c r="SW10" s="336">
        <v>0</v>
      </c>
      <c r="SX10" s="336">
        <v>0</v>
      </c>
      <c r="SY10" s="336">
        <v>4347061</v>
      </c>
      <c r="SZ10" s="336" t="s">
        <v>1420</v>
      </c>
      <c r="TA10" s="336" t="s">
        <v>1420</v>
      </c>
      <c r="TB10" s="336" t="s">
        <v>1420</v>
      </c>
      <c r="TC10" s="336">
        <v>155443</v>
      </c>
      <c r="TD10" s="336">
        <v>515133</v>
      </c>
      <c r="TE10" s="336">
        <v>17787</v>
      </c>
      <c r="TF10" s="336">
        <v>0</v>
      </c>
      <c r="TG10" s="336">
        <v>1780862</v>
      </c>
      <c r="TH10" s="336">
        <v>0</v>
      </c>
      <c r="TI10" s="336">
        <v>197460</v>
      </c>
      <c r="TJ10" s="336">
        <v>32729</v>
      </c>
      <c r="TK10" s="336">
        <v>0</v>
      </c>
      <c r="TL10" s="336">
        <v>1647647</v>
      </c>
      <c r="TM10" s="336">
        <v>0</v>
      </c>
      <c r="TN10" s="336">
        <v>0</v>
      </c>
      <c r="TO10" s="336">
        <v>0</v>
      </c>
      <c r="TP10" s="336">
        <v>0</v>
      </c>
      <c r="TQ10" s="336">
        <v>0</v>
      </c>
      <c r="TR10" s="336">
        <v>0</v>
      </c>
      <c r="TS10" s="336">
        <v>0</v>
      </c>
      <c r="TT10" s="336">
        <v>0</v>
      </c>
      <c r="TU10" s="336">
        <v>0</v>
      </c>
      <c r="TV10" s="336">
        <v>0</v>
      </c>
      <c r="TW10" s="336">
        <v>0</v>
      </c>
      <c r="TX10" s="336">
        <v>352363</v>
      </c>
      <c r="TY10" s="336">
        <v>0</v>
      </c>
      <c r="TZ10" s="336">
        <v>0</v>
      </c>
      <c r="UA10" s="336">
        <v>0</v>
      </c>
      <c r="UB10" s="336">
        <v>0</v>
      </c>
      <c r="UC10" s="336">
        <v>0</v>
      </c>
      <c r="UD10" s="336">
        <v>0</v>
      </c>
      <c r="UE10" s="336">
        <v>0</v>
      </c>
      <c r="UF10" s="336">
        <v>0</v>
      </c>
      <c r="UG10" s="336">
        <v>0</v>
      </c>
      <c r="UH10" s="336">
        <v>67929791</v>
      </c>
      <c r="UI10" s="336">
        <v>9335973</v>
      </c>
      <c r="UJ10" s="336">
        <v>2202947</v>
      </c>
      <c r="UK10" s="336">
        <v>0</v>
      </c>
      <c r="UL10" s="336">
        <v>51538299</v>
      </c>
      <c r="UM10" s="336">
        <v>11391856</v>
      </c>
      <c r="UN10" s="336">
        <v>21019908</v>
      </c>
      <c r="UO10" s="336">
        <v>16031628</v>
      </c>
      <c r="UP10" s="336">
        <v>33135707</v>
      </c>
      <c r="UQ10" s="336">
        <v>42760600</v>
      </c>
      <c r="UR10"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4347061</v>
      </c>
      <c r="US10" s="338">
        <f>SUM(Input[[#This Row],[Oth Exp E&amp;G]],Input[[#This Row],[Oth Exp Desg]],Input[[#This Row],[Oth Exp Aux]],Input[[#This Row],[Oth Exp R Exp]],Input[[#This Row],[Oth Exp Loan]],Input[[#This Row],[Oth Exp Annuity]],Input[[#This Row],[Oth Exp Unexp]],Input[[#This Row],[Oth Exp R of Ind]],Input[[#This Row],[Oth Exp Inv in P]])</f>
        <v>-1191039</v>
      </c>
      <c r="UT10" s="336">
        <v>15121676</v>
      </c>
      <c r="UU10" s="336">
        <v>-4347061</v>
      </c>
      <c r="UV10" s="339" t="s">
        <v>1473</v>
      </c>
      <c r="UW10" s="340">
        <v>4098808910</v>
      </c>
      <c r="UX10" s="339" t="s">
        <v>1474</v>
      </c>
      <c r="UY10" s="339" t="s">
        <v>1475</v>
      </c>
      <c r="UZ10" s="340">
        <v>4098808990</v>
      </c>
      <c r="VA10" s="339" t="s">
        <v>1476</v>
      </c>
      <c r="VB10" s="341" cm="1">
        <f t="array" ref="VB10">IFERROR(_xlfn.IFS(Input[[#This Row],[Type]]="HRI",VLOOKUP(Input[[#This Row],[Institution Name]],FTSEHRI[],9,FALSE),Input[[#This Row],[Type]]="UNIV",VLOOKUP(Input[[#This Row],[Institution Name]],FTSEUNIV[],9,FALSE),OR(Input[[#This Row],[Type]]="TSTC",Input[[#This Row],[Type]]="LSC"),VLOOKUP(Input[[#This Row],[Institution Name]],FTSETSTC[],8,FALSE)),"N/A")</f>
        <v>13933.47</v>
      </c>
      <c r="VC10" s="342" t="str" cm="1">
        <f t="array" ref="VC10">IFERROR(_xlfn.IFS(Input[[#This Row],[Type]]="HRI",VLOOKUP(Input[[#This Row],[Institution Name]],FTSEHRI[],11,FALSE),Input[[#This Row],[Type]]="UNIV",VLOOKUP(Input[[#This Row],[Institution Name]],FTSEUNIV[],11,FALSE),Input[[#This Row],[Type]]="TSTC",VLOOKUP(Input[[#This Row],[Institution Name]],FTSETSTC[],10,FALSE)),"N/A")</f>
        <v>N/A</v>
      </c>
      <c r="VD10"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109698786</v>
      </c>
      <c r="VE10"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13537649</v>
      </c>
      <c r="VF10" s="338">
        <f>SUM(Input[[#This Row],[Fed G&amp;C E&amp;G]],Input[[#This Row],[Fed G&amp;C Desg]],Input[[#This Row],[Fed G&amp;C R Exp]],Input[[#This Row],[Fed G&amp;C Loan]],Input[[#This Row],[Fed G&amp;C Annuity]],Input[[#This Row],[Fed G&amp;C Unexp]],Input[[#This Row],[Fed G&amp;C R of Ind]],Input[[#This Row],[Fed G&amp;C Inv in P]])</f>
        <v>28426958</v>
      </c>
      <c r="VG10"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16532221</v>
      </c>
      <c r="VH10"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85284807</v>
      </c>
      <c r="VI10"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28471606</v>
      </c>
      <c r="VJ10" s="338">
        <f>SUM(Input[[#This Row],[Oth Inc E&amp;G]],Input[[#This Row],[Oth Exp Desg]],Input[[#This Row],[Oth Exp R Exp]],Input[[#This Row],[Oth Exp Loan]],Input[[#This Row],[Oth Exp Annuity]],Input[[#This Row],[Oth Exp Unexp]],Input[[#This Row],[Oth Exp R of Ind]],Input[[#This Row],[Oth Exp Inv in P]])</f>
        <v>-1191039</v>
      </c>
      <c r="VK10" s="343">
        <f>SUM(Input[[#This Row],[Instr E&amp;G]],Input[[#This Row],[Instr Desg]],Input[[#This Row],[Instr R Exp]],Input[[#This Row],[Instr Loan]],Input[[#This Row],[Instr Annuity]],Input[[#This Row],[Instr Unexp]],Input[[#This Row],[Instr R of Ind]],Input[[#This Row],[Instr Inv in P]])</f>
        <v>67929791</v>
      </c>
      <c r="VL10" s="343">
        <f>SUM(Input[[#This Row],[Res E&amp;G]],Input[[#This Row],[Res Desg]],Input[[#This Row],[Res R Exp]],Input[[#This Row],[Res Loan]],Input[[#This Row],[Res Annuity]],Input[[#This Row],[Res Unexp]],Input[[#This Row],[Res R of Ind]],Input[[#This Row],[Res Inv in P]])</f>
        <v>9335973</v>
      </c>
      <c r="VM10" s="343">
        <f>SUM(Input[[#This Row],[Acad Sup E&amp;G]],Input[[#This Row],[Acad Sup Desg]],Input[[#This Row],[Acad Sup R Exp]],Input[[#This Row],[Acad Sup Loan]],Input[[#This Row],[Acad Sup Annuity]],Input[[#This Row],[Acad Sup Unexp]],Input[[#This Row],[Acad Sup R of Ind]],Input[[#This Row],[Acad Sup Inv in P]])</f>
        <v>51538299</v>
      </c>
      <c r="VN10" s="343">
        <f>SUM(Input[[#This Row],[Stu Svc E&amp;G]],Input[[#This Row],[Stu Svc Desg]],Input[[#This Row],[Stu Svc R Exp]],Input[[#This Row],[Stu Svc Loan]],Input[[#This Row],[Stu Svc Annuity]],Input[[#This Row],[Stu Svc Unexp]],Input[[#This Row],[Stu Svc R of Ind]],Input[[#This Row],[Stu Svc Inv in P]])</f>
        <v>11391856</v>
      </c>
      <c r="VO10" s="343">
        <f>SUM(Input[[#This Row],[Inst. Spt E&amp;G]],Input[[#This Row],[Inst. Spt Desg]],Input[[#This Row],[Inst. Spt R Exp]],Input[[#This Row],[Inst. Spt Loan]],Input[[#This Row],[Inst. Spt Annuity]],Input[[#This Row],[Inst. Spt Unexp]],Input[[#This Row],[Inst. Spt R of Ind]],Input[[#This Row],[Inst. Spt Inv in P]])</f>
        <v>21019908</v>
      </c>
      <c r="VP10" s="343">
        <f>SUM(Input[[#This Row],[M&amp;O Plnt E&amp;G]],Input[[#This Row],[M&amp;O Plnt Desg]],Input[[#This Row],[M&amp;O Plnt R Exp]],Input[[#This Row],[M&amp;O Plnt Loan]],Input[[#This Row],[M&amp;O Plnt Annuity]],Input[[#This Row],[M&amp;O Plnt Unexp]],Input[[#This Row],[M&amp;O Plnt R of Ind]],Input[[#This Row],[M&amp;O Plnt Inv in P]])</f>
        <v>16031628</v>
      </c>
      <c r="VQ10" s="343">
        <f>SUM(Input[[#This Row],[Schl &amp; Fell E&amp;G]],Input[[#This Row],[Schl &amp; Fell Desg]],Input[[#This Row],[Schl &amp; Fell R Exp]],Input[[#This Row],[Schl &amp; Fell Loan]],Input[[#This Row],[Schl &amp; Fell Annuity]],Input[[#This Row],[Schl &amp; Fell Unexp]],Input[[#This Row],[Schl &amp; Fell R of Ind]],Input[[#This Row],[Schl &amp; Fell Inv in P]])</f>
        <v>33135707</v>
      </c>
      <c r="VR10" s="343">
        <f>SUM(Input[[#This Row],[Cap Out fund E&amp;G]],Input[[#This Row],[Cap Out fund Desg]],Input[[#This Row],[Cap Out fund R Exp]],Input[[#This Row],[Cap Out fund Loan]],Input[[#This Row],[Cap Out fund Annuity]],Input[[#This Row],[Cap Out fund Unexp]],Input[[#This Row],[Cap Out fund R of Ind]],Input[[#This Row],[Cap Out fund Inv in P]])</f>
        <v>2699413</v>
      </c>
      <c r="VS10" s="343">
        <f>SUM(Input[[#This Row],[Oth Exp E&amp;G]],Input[[#This Row],[Oth Exp Desg]],Input[[#This Row],[Oth Exp R Exp]],Input[[#This Row],[Oth Exp Loan]],Input[[#This Row],[Oth Exp Annuity]],Input[[#This Row],[Oth Exp Unexp]],Input[[#This Row],[Oth Exp R of Ind]],Input[[#This Row],[Oth Exp Inv in P]],Input[[#This Row],[Oth Exp Inv in P]])</f>
        <v>-1166473</v>
      </c>
    </row>
    <row r="11" spans="1:591" s="344" customFormat="1" ht="27" customHeight="1" x14ac:dyDescent="0.55000000000000004">
      <c r="A11" s="339" t="s">
        <v>89</v>
      </c>
      <c r="B11" s="334" t="s">
        <v>833</v>
      </c>
      <c r="C11" s="334" t="s">
        <v>21</v>
      </c>
      <c r="D11" s="334">
        <v>340</v>
      </c>
      <c r="E11" s="334" t="s">
        <v>1622</v>
      </c>
      <c r="F11" s="335">
        <v>3592</v>
      </c>
      <c r="G11" s="336">
        <v>32669586</v>
      </c>
      <c r="H11" s="336">
        <v>0</v>
      </c>
      <c r="I11" s="336">
        <v>0</v>
      </c>
      <c r="J11" s="336">
        <v>0</v>
      </c>
      <c r="K11" s="336">
        <v>0</v>
      </c>
      <c r="L11" s="336">
        <v>0</v>
      </c>
      <c r="M11" s="336">
        <v>0</v>
      </c>
      <c r="N11" s="336">
        <v>0</v>
      </c>
      <c r="O11" s="336">
        <v>0</v>
      </c>
      <c r="P11" s="336">
        <v>202195</v>
      </c>
      <c r="Q11" s="336">
        <v>0</v>
      </c>
      <c r="R11" s="336">
        <v>0</v>
      </c>
      <c r="S11" s="336">
        <v>4893787</v>
      </c>
      <c r="T11" s="336">
        <v>0</v>
      </c>
      <c r="U11" s="336">
        <v>0</v>
      </c>
      <c r="V11" s="336">
        <v>0</v>
      </c>
      <c r="W11" s="336">
        <v>0</v>
      </c>
      <c r="X11" s="336">
        <v>0</v>
      </c>
      <c r="Y11" s="336">
        <v>5082034</v>
      </c>
      <c r="Z11" s="336">
        <v>0</v>
      </c>
      <c r="AA11" s="336">
        <v>0</v>
      </c>
      <c r="AB11" s="336">
        <v>0</v>
      </c>
      <c r="AC11" s="336">
        <v>0</v>
      </c>
      <c r="AD11" s="336">
        <v>0</v>
      </c>
      <c r="AE11" s="336">
        <v>0</v>
      </c>
      <c r="AF11" s="336">
        <v>0</v>
      </c>
      <c r="AG11" s="336">
        <v>0</v>
      </c>
      <c r="AH11" s="336">
        <v>0</v>
      </c>
      <c r="AI11" s="336">
        <v>0</v>
      </c>
      <c r="AJ11" s="336">
        <v>0</v>
      </c>
      <c r="AK11" s="336">
        <v>0</v>
      </c>
      <c r="AL11" s="336">
        <v>0</v>
      </c>
      <c r="AM11" s="336">
        <v>0</v>
      </c>
      <c r="AN11" s="336">
        <v>0</v>
      </c>
      <c r="AO11" s="336">
        <v>0</v>
      </c>
      <c r="AP11" s="336">
        <v>0</v>
      </c>
      <c r="AQ11" s="336">
        <v>-2900410</v>
      </c>
      <c r="AR11" s="336">
        <v>-111931</v>
      </c>
      <c r="AS11" s="336">
        <v>0</v>
      </c>
      <c r="AT11" s="336">
        <v>0</v>
      </c>
      <c r="AU11" s="336">
        <v>0</v>
      </c>
      <c r="AV11" s="336">
        <v>0</v>
      </c>
      <c r="AW11" s="336">
        <v>0</v>
      </c>
      <c r="AX11" s="336">
        <v>0</v>
      </c>
      <c r="AY11" s="336">
        <v>0</v>
      </c>
      <c r="AZ11" s="336">
        <v>0</v>
      </c>
      <c r="BA11" s="336">
        <v>0</v>
      </c>
      <c r="BB11" s="336">
        <v>0</v>
      </c>
      <c r="BC11" s="336">
        <v>0</v>
      </c>
      <c r="BD11" s="336">
        <v>0</v>
      </c>
      <c r="BE11" s="336">
        <v>0</v>
      </c>
      <c r="BF11" s="336">
        <v>0</v>
      </c>
      <c r="BG11" s="336">
        <v>0</v>
      </c>
      <c r="BH11" s="336">
        <v>0</v>
      </c>
      <c r="BI11" s="336">
        <v>0</v>
      </c>
      <c r="BJ11" s="336">
        <v>0</v>
      </c>
      <c r="BK11" s="336">
        <v>0</v>
      </c>
      <c r="BL11" s="336">
        <v>0</v>
      </c>
      <c r="BM11" s="336">
        <v>0</v>
      </c>
      <c r="BN11" s="336">
        <v>0</v>
      </c>
      <c r="BO11" s="336">
        <v>0</v>
      </c>
      <c r="BP11" s="336">
        <v>0</v>
      </c>
      <c r="BQ11" s="336">
        <v>0</v>
      </c>
      <c r="BR11" s="336">
        <v>0</v>
      </c>
      <c r="BS11" s="336">
        <v>0</v>
      </c>
      <c r="BT11" s="336">
        <v>0</v>
      </c>
      <c r="BU11" s="336">
        <v>0</v>
      </c>
      <c r="BV11" s="336">
        <v>0</v>
      </c>
      <c r="BW11" s="336">
        <v>0</v>
      </c>
      <c r="BX11" s="336">
        <v>0</v>
      </c>
      <c r="BY11" s="336">
        <v>0</v>
      </c>
      <c r="BZ11" s="336">
        <v>0</v>
      </c>
      <c r="CA11" s="336">
        <v>6803688</v>
      </c>
      <c r="CB11" s="336">
        <v>19303219</v>
      </c>
      <c r="CC11" s="336">
        <v>0</v>
      </c>
      <c r="CD11" s="336">
        <v>0</v>
      </c>
      <c r="CE11" s="336">
        <v>0</v>
      </c>
      <c r="CF11" s="336">
        <v>0</v>
      </c>
      <c r="CG11" s="336">
        <v>0</v>
      </c>
      <c r="CH11" s="336">
        <v>0</v>
      </c>
      <c r="CI11" s="336">
        <v>0</v>
      </c>
      <c r="CJ11" s="336">
        <v>0</v>
      </c>
      <c r="CK11" s="336">
        <v>0</v>
      </c>
      <c r="CL11" s="336">
        <v>0</v>
      </c>
      <c r="CM11" s="336">
        <v>0</v>
      </c>
      <c r="CN11" s="336">
        <v>0</v>
      </c>
      <c r="CO11" s="336">
        <v>0</v>
      </c>
      <c r="CP11" s="336">
        <v>0</v>
      </c>
      <c r="CQ11" s="336">
        <v>0</v>
      </c>
      <c r="CR11" s="336">
        <v>0</v>
      </c>
      <c r="CS11" s="336">
        <v>0</v>
      </c>
      <c r="CT11" s="336">
        <v>0</v>
      </c>
      <c r="CU11" s="336">
        <v>0</v>
      </c>
      <c r="CV11" s="336">
        <v>0</v>
      </c>
      <c r="CW11" s="336">
        <v>0</v>
      </c>
      <c r="CX11" s="336">
        <v>0</v>
      </c>
      <c r="CY11" s="336">
        <v>0</v>
      </c>
      <c r="CZ11" s="336">
        <v>0</v>
      </c>
      <c r="DA11" s="336">
        <v>0</v>
      </c>
      <c r="DB11" s="336">
        <v>-386015</v>
      </c>
      <c r="DC11" s="336">
        <v>-1450857</v>
      </c>
      <c r="DD11" s="336">
        <v>0</v>
      </c>
      <c r="DE11" s="336">
        <v>0</v>
      </c>
      <c r="DF11" s="336">
        <v>0</v>
      </c>
      <c r="DG11" s="336">
        <v>0</v>
      </c>
      <c r="DH11" s="336">
        <v>0</v>
      </c>
      <c r="DI11" s="336">
        <v>0</v>
      </c>
      <c r="DJ11" s="336">
        <v>0</v>
      </c>
      <c r="DK11" s="336">
        <v>0</v>
      </c>
      <c r="DL11" s="336">
        <v>-57190</v>
      </c>
      <c r="DM11" s="336">
        <v>0</v>
      </c>
      <c r="DN11" s="336">
        <v>0</v>
      </c>
      <c r="DO11" s="336">
        <v>0</v>
      </c>
      <c r="DP11" s="336">
        <v>0</v>
      </c>
      <c r="DQ11" s="336">
        <v>0</v>
      </c>
      <c r="DR11" s="336">
        <v>0</v>
      </c>
      <c r="DS11" s="336">
        <v>0</v>
      </c>
      <c r="DT11" s="336">
        <v>-2214970</v>
      </c>
      <c r="DU11" s="336">
        <v>-5928579</v>
      </c>
      <c r="DV11" s="336">
        <v>0</v>
      </c>
      <c r="DW11" s="336">
        <v>0</v>
      </c>
      <c r="DX11" s="336">
        <v>0</v>
      </c>
      <c r="DY11" s="336">
        <v>0</v>
      </c>
      <c r="DZ11" s="336">
        <v>0</v>
      </c>
      <c r="EA11" s="336">
        <v>0</v>
      </c>
      <c r="EB11" s="336">
        <v>0</v>
      </c>
      <c r="EC11" s="336">
        <v>0</v>
      </c>
      <c r="ED11" s="336">
        <v>0</v>
      </c>
      <c r="EE11" s="336">
        <v>0</v>
      </c>
      <c r="EF11" s="336">
        <v>0</v>
      </c>
      <c r="EG11" s="336">
        <v>0</v>
      </c>
      <c r="EH11" s="336">
        <v>0</v>
      </c>
      <c r="EI11" s="336">
        <v>0</v>
      </c>
      <c r="EJ11" s="336">
        <v>0</v>
      </c>
      <c r="EK11" s="336">
        <v>0</v>
      </c>
      <c r="EL11" s="336">
        <v>0</v>
      </c>
      <c r="EM11" s="336">
        <v>0</v>
      </c>
      <c r="EN11" s="336">
        <v>0</v>
      </c>
      <c r="EO11" s="336">
        <v>0</v>
      </c>
      <c r="EP11" s="336">
        <v>0</v>
      </c>
      <c r="EQ11" s="336">
        <v>0</v>
      </c>
      <c r="ER11" s="336">
        <v>0</v>
      </c>
      <c r="ES11" s="336">
        <v>0</v>
      </c>
      <c r="ET11" s="336">
        <v>0</v>
      </c>
      <c r="EU11" s="336">
        <v>0</v>
      </c>
      <c r="EV11" s="336">
        <v>0</v>
      </c>
      <c r="EW11" s="336">
        <v>0</v>
      </c>
      <c r="EX11" s="336">
        <v>0</v>
      </c>
      <c r="EY11" s="336">
        <v>0</v>
      </c>
      <c r="EZ11" s="336">
        <v>0</v>
      </c>
      <c r="FA11" s="336">
        <v>0</v>
      </c>
      <c r="FB11" s="336">
        <v>0</v>
      </c>
      <c r="FC11" s="336">
        <v>0</v>
      </c>
      <c r="FD11" s="336">
        <v>0</v>
      </c>
      <c r="FE11" s="336">
        <v>0</v>
      </c>
      <c r="FF11" s="336">
        <v>0</v>
      </c>
      <c r="FG11" s="336">
        <v>0</v>
      </c>
      <c r="FH11" s="336">
        <v>0</v>
      </c>
      <c r="FI11" s="336">
        <v>0</v>
      </c>
      <c r="FJ11" s="336">
        <v>0</v>
      </c>
      <c r="FK11" s="336">
        <v>0</v>
      </c>
      <c r="FL11" s="336">
        <v>0</v>
      </c>
      <c r="FM11" s="336">
        <v>42910</v>
      </c>
      <c r="FN11" s="336">
        <v>24329890</v>
      </c>
      <c r="FO11" s="336">
        <v>0</v>
      </c>
      <c r="FP11" s="336">
        <v>0</v>
      </c>
      <c r="FQ11" s="336">
        <v>0</v>
      </c>
      <c r="FR11" s="336">
        <v>0</v>
      </c>
      <c r="FS11" s="336">
        <v>0</v>
      </c>
      <c r="FT11" s="336">
        <v>0</v>
      </c>
      <c r="FU11" s="336">
        <v>0</v>
      </c>
      <c r="FV11" s="336">
        <v>0</v>
      </c>
      <c r="FW11" s="336">
        <v>0</v>
      </c>
      <c r="FX11" s="336">
        <v>0</v>
      </c>
      <c r="FY11" s="336">
        <v>0</v>
      </c>
      <c r="FZ11" s="336">
        <v>0</v>
      </c>
      <c r="GA11" s="336">
        <v>0</v>
      </c>
      <c r="GB11" s="336">
        <v>0</v>
      </c>
      <c r="GC11" s="336">
        <v>0</v>
      </c>
      <c r="GD11" s="336">
        <v>0</v>
      </c>
      <c r="GE11" s="336">
        <v>0</v>
      </c>
      <c r="GF11" s="336">
        <v>0</v>
      </c>
      <c r="GG11" s="336">
        <v>0</v>
      </c>
      <c r="GH11" s="336">
        <v>0</v>
      </c>
      <c r="GI11" s="336">
        <v>0</v>
      </c>
      <c r="GJ11" s="336">
        <v>0</v>
      </c>
      <c r="GK11" s="336">
        <v>0</v>
      </c>
      <c r="GL11" s="336">
        <v>0</v>
      </c>
      <c r="GM11" s="336">
        <v>0</v>
      </c>
      <c r="GN11" s="336">
        <v>-2490</v>
      </c>
      <c r="GO11" s="336">
        <v>-1713875</v>
      </c>
      <c r="GP11" s="336">
        <v>0</v>
      </c>
      <c r="GQ11" s="336">
        <v>0</v>
      </c>
      <c r="GR11" s="336">
        <v>0</v>
      </c>
      <c r="GS11" s="336">
        <v>0</v>
      </c>
      <c r="GT11" s="336">
        <v>0</v>
      </c>
      <c r="GU11" s="336">
        <v>0</v>
      </c>
      <c r="GV11" s="336">
        <v>0</v>
      </c>
      <c r="GW11" s="336">
        <v>0</v>
      </c>
      <c r="GX11" s="336">
        <v>-1059155</v>
      </c>
      <c r="GY11" s="336">
        <v>0</v>
      </c>
      <c r="GZ11" s="336">
        <v>0</v>
      </c>
      <c r="HA11" s="336">
        <v>0</v>
      </c>
      <c r="HB11" s="336">
        <v>0</v>
      </c>
      <c r="HC11" s="336">
        <v>0</v>
      </c>
      <c r="HD11" s="336">
        <v>0</v>
      </c>
      <c r="HE11" s="336">
        <v>0</v>
      </c>
      <c r="HF11" s="336">
        <v>-13914</v>
      </c>
      <c r="HG11" s="336">
        <v>-6528054</v>
      </c>
      <c r="HH11" s="336">
        <v>0</v>
      </c>
      <c r="HI11" s="336">
        <v>0</v>
      </c>
      <c r="HJ11" s="336">
        <v>0</v>
      </c>
      <c r="HK11" s="336">
        <v>0</v>
      </c>
      <c r="HL11" s="336">
        <v>0</v>
      </c>
      <c r="HM11" s="336">
        <v>0</v>
      </c>
      <c r="HN11" s="336">
        <v>0</v>
      </c>
      <c r="HO11" s="336">
        <v>0</v>
      </c>
      <c r="HP11" s="336">
        <v>12558</v>
      </c>
      <c r="HQ11" s="336">
        <v>0</v>
      </c>
      <c r="HR11" s="336">
        <v>14049888</v>
      </c>
      <c r="HS11" s="336">
        <v>0</v>
      </c>
      <c r="HT11" s="336">
        <v>0</v>
      </c>
      <c r="HU11" s="336">
        <v>0</v>
      </c>
      <c r="HV11" s="336">
        <v>0</v>
      </c>
      <c r="HW11" s="336">
        <v>0</v>
      </c>
      <c r="HX11" s="336">
        <v>0</v>
      </c>
      <c r="HY11" s="336">
        <v>0</v>
      </c>
      <c r="HZ11" s="336">
        <v>0</v>
      </c>
      <c r="IA11" s="336">
        <v>0</v>
      </c>
      <c r="IB11" s="336">
        <v>0</v>
      </c>
      <c r="IC11" s="336">
        <v>0</v>
      </c>
      <c r="ID11" s="336">
        <v>0</v>
      </c>
      <c r="IE11" s="336">
        <v>0</v>
      </c>
      <c r="IF11" s="336">
        <v>0</v>
      </c>
      <c r="IG11" s="336">
        <v>0</v>
      </c>
      <c r="IH11" s="336">
        <v>0</v>
      </c>
      <c r="II11" s="336">
        <v>0</v>
      </c>
      <c r="IJ11" s="336">
        <v>0</v>
      </c>
      <c r="IK11" s="336">
        <v>0</v>
      </c>
      <c r="IL11" s="336">
        <v>0</v>
      </c>
      <c r="IM11" s="336">
        <v>0</v>
      </c>
      <c r="IN11" s="336">
        <v>0</v>
      </c>
      <c r="IO11" s="336">
        <v>0</v>
      </c>
      <c r="IP11" s="336">
        <v>242334</v>
      </c>
      <c r="IQ11" s="336">
        <v>1699686</v>
      </c>
      <c r="IR11" s="336">
        <v>0</v>
      </c>
      <c r="IS11" s="336">
        <v>1374176</v>
      </c>
      <c r="IT11" s="336">
        <v>0</v>
      </c>
      <c r="IU11" s="336">
        <v>112559</v>
      </c>
      <c r="IV11" s="336">
        <v>13572</v>
      </c>
      <c r="IW11" s="336">
        <v>0</v>
      </c>
      <c r="IX11" s="336">
        <v>0</v>
      </c>
      <c r="IY11" s="336">
        <v>0</v>
      </c>
      <c r="IZ11" s="336">
        <v>0</v>
      </c>
      <c r="JA11" s="336">
        <v>0</v>
      </c>
      <c r="JB11" s="336">
        <v>0</v>
      </c>
      <c r="JC11" s="336">
        <v>0</v>
      </c>
      <c r="JD11" s="336">
        <v>0</v>
      </c>
      <c r="JE11" s="336">
        <v>0</v>
      </c>
      <c r="JF11" s="336">
        <v>0</v>
      </c>
      <c r="JG11" s="336">
        <v>0</v>
      </c>
      <c r="JH11" s="336">
        <v>0</v>
      </c>
      <c r="JI11" s="336">
        <v>261165</v>
      </c>
      <c r="JJ11" s="336">
        <v>0</v>
      </c>
      <c r="JK11" s="336">
        <v>6579691</v>
      </c>
      <c r="JL11" s="336">
        <v>0</v>
      </c>
      <c r="JM11" s="336">
        <v>0</v>
      </c>
      <c r="JN11" s="336">
        <v>1189962</v>
      </c>
      <c r="JO11" s="336">
        <v>0</v>
      </c>
      <c r="JP11" s="336">
        <v>0</v>
      </c>
      <c r="JQ11" s="336">
        <v>775</v>
      </c>
      <c r="JR11" s="336">
        <v>1338050</v>
      </c>
      <c r="JS11" s="336">
        <v>0</v>
      </c>
      <c r="JT11" s="336">
        <v>33663</v>
      </c>
      <c r="JU11" s="336">
        <v>0</v>
      </c>
      <c r="JV11" s="336">
        <v>0</v>
      </c>
      <c r="JW11" s="336">
        <v>0</v>
      </c>
      <c r="JX11" s="336">
        <v>0</v>
      </c>
      <c r="JY11" s="336">
        <v>0</v>
      </c>
      <c r="JZ11" s="336">
        <v>0</v>
      </c>
      <c r="KA11" s="336">
        <v>0</v>
      </c>
      <c r="KB11" s="336">
        <v>12766361</v>
      </c>
      <c r="KC11" s="336">
        <v>0</v>
      </c>
      <c r="KD11" s="336">
        <v>0</v>
      </c>
      <c r="KE11" s="336">
        <v>0</v>
      </c>
      <c r="KF11" s="336">
        <v>0</v>
      </c>
      <c r="KG11" s="336">
        <v>0</v>
      </c>
      <c r="KH11" s="336">
        <v>0</v>
      </c>
      <c r="KI11" s="336">
        <v>0</v>
      </c>
      <c r="KJ11" s="336">
        <v>1201399</v>
      </c>
      <c r="KK11" s="336">
        <v>397867</v>
      </c>
      <c r="KL11" s="336">
        <v>178358</v>
      </c>
      <c r="KM11" s="336">
        <v>45424</v>
      </c>
      <c r="KN11" s="336">
        <v>0</v>
      </c>
      <c r="KO11" s="336">
        <v>21246</v>
      </c>
      <c r="KP11" s="336">
        <v>0</v>
      </c>
      <c r="KQ11" s="336">
        <v>0</v>
      </c>
      <c r="KR11" s="336">
        <v>20943935</v>
      </c>
      <c r="KS11" s="336">
        <v>11923710</v>
      </c>
      <c r="KT11" s="336">
        <v>0</v>
      </c>
      <c r="KU11" s="336">
        <v>834523</v>
      </c>
      <c r="KV11" s="336">
        <v>0</v>
      </c>
      <c r="KW11" s="336">
        <v>0</v>
      </c>
      <c r="KX11" s="336">
        <v>0</v>
      </c>
      <c r="KY11" s="336">
        <v>0</v>
      </c>
      <c r="KZ11" s="336">
        <v>0</v>
      </c>
      <c r="LA11" s="336">
        <v>75594</v>
      </c>
      <c r="LB11" s="336">
        <v>293394</v>
      </c>
      <c r="LC11" s="336">
        <v>0</v>
      </c>
      <c r="LD11" s="336">
        <v>518041</v>
      </c>
      <c r="LE11" s="336">
        <v>0</v>
      </c>
      <c r="LF11" s="336">
        <v>0</v>
      </c>
      <c r="LG11" s="336">
        <v>0</v>
      </c>
      <c r="LH11" s="336">
        <v>0</v>
      </c>
      <c r="LI11" s="336">
        <v>0</v>
      </c>
      <c r="LJ11" s="336">
        <v>113879</v>
      </c>
      <c r="LK11" s="336">
        <v>360970</v>
      </c>
      <c r="LL11" s="336">
        <v>0</v>
      </c>
      <c r="LM11" s="336">
        <v>1339400</v>
      </c>
      <c r="LN11" s="336">
        <v>0</v>
      </c>
      <c r="LO11" s="336">
        <v>0</v>
      </c>
      <c r="LP11" s="336">
        <v>0</v>
      </c>
      <c r="LQ11" s="336">
        <v>0</v>
      </c>
      <c r="LR11" s="336">
        <v>0</v>
      </c>
      <c r="LS11" s="336">
        <v>0</v>
      </c>
      <c r="LT11" s="336">
        <v>0</v>
      </c>
      <c r="LU11" s="336">
        <v>0</v>
      </c>
      <c r="LV11" s="336">
        <v>0</v>
      </c>
      <c r="LW11" s="336">
        <v>0</v>
      </c>
      <c r="LX11" s="336">
        <v>0</v>
      </c>
      <c r="LY11" s="336">
        <v>0</v>
      </c>
      <c r="LZ11" s="336">
        <v>0</v>
      </c>
      <c r="MA11" s="336">
        <v>0</v>
      </c>
      <c r="MB11" s="336">
        <v>2995556</v>
      </c>
      <c r="MC11" s="336">
        <v>3075235</v>
      </c>
      <c r="MD11" s="336">
        <v>0</v>
      </c>
      <c r="ME11" s="336">
        <v>1206391</v>
      </c>
      <c r="MF11" s="336">
        <v>0</v>
      </c>
      <c r="MG11" s="336">
        <v>0</v>
      </c>
      <c r="MH11" s="336">
        <v>0</v>
      </c>
      <c r="MI11" s="336">
        <v>0</v>
      </c>
      <c r="MJ11" s="336">
        <v>0</v>
      </c>
      <c r="MK11" s="336">
        <v>2276860</v>
      </c>
      <c r="ML11" s="336">
        <v>9937595</v>
      </c>
      <c r="MM11" s="336">
        <v>0</v>
      </c>
      <c r="MN11" s="336">
        <v>1362162</v>
      </c>
      <c r="MO11" s="336">
        <v>296140</v>
      </c>
      <c r="MP11" s="336">
        <v>0</v>
      </c>
      <c r="MQ11" s="336">
        <v>0</v>
      </c>
      <c r="MR11" s="336">
        <v>0</v>
      </c>
      <c r="MS11" s="336">
        <v>0</v>
      </c>
      <c r="MT11" s="336">
        <v>2162368</v>
      </c>
      <c r="MU11" s="336">
        <v>4930910</v>
      </c>
      <c r="MV11" s="336">
        <v>0</v>
      </c>
      <c r="MW11" s="336">
        <v>460686</v>
      </c>
      <c r="MX11" s="336">
        <v>0</v>
      </c>
      <c r="MY11" s="336">
        <v>0</v>
      </c>
      <c r="MZ11" s="336">
        <v>0</v>
      </c>
      <c r="NA11" s="336">
        <v>0</v>
      </c>
      <c r="NB11" s="336">
        <v>0</v>
      </c>
      <c r="NC11" s="336">
        <v>5047502</v>
      </c>
      <c r="ND11" s="336">
        <v>1272793</v>
      </c>
      <c r="NE11" s="336">
        <v>0</v>
      </c>
      <c r="NF11" s="336">
        <v>0</v>
      </c>
      <c r="NG11" s="336">
        <v>0</v>
      </c>
      <c r="NH11" s="336">
        <v>0</v>
      </c>
      <c r="NI11" s="336">
        <v>105578</v>
      </c>
      <c r="NJ11" s="336">
        <v>1200</v>
      </c>
      <c r="NK11" s="336">
        <v>0</v>
      </c>
      <c r="NL11" s="336">
        <v>0</v>
      </c>
      <c r="NM11" s="336">
        <v>0</v>
      </c>
      <c r="NN11" s="336">
        <v>0</v>
      </c>
      <c r="NO11" s="336">
        <v>13227119</v>
      </c>
      <c r="NP11" s="336">
        <v>0</v>
      </c>
      <c r="NQ11" s="336">
        <v>0</v>
      </c>
      <c r="NR11" s="336">
        <v>0</v>
      </c>
      <c r="NS11" s="336">
        <v>0</v>
      </c>
      <c r="NT11" s="336">
        <v>0</v>
      </c>
      <c r="NU11" s="336">
        <v>0</v>
      </c>
      <c r="NV11" s="336">
        <v>0</v>
      </c>
      <c r="NW11" s="336">
        <v>9767749</v>
      </c>
      <c r="NX11" s="336">
        <v>0</v>
      </c>
      <c r="NY11" s="336">
        <v>0</v>
      </c>
      <c r="NZ11" s="336">
        <v>0</v>
      </c>
      <c r="OA11" s="336">
        <v>0</v>
      </c>
      <c r="OB11" s="336">
        <v>0</v>
      </c>
      <c r="OC11" s="336">
        <v>0</v>
      </c>
      <c r="OD11" s="336">
        <v>982632</v>
      </c>
      <c r="OE11" s="336">
        <v>761487</v>
      </c>
      <c r="OF11" s="336">
        <v>149458</v>
      </c>
      <c r="OG11" s="336">
        <v>242374</v>
      </c>
      <c r="OH11" s="336">
        <v>0</v>
      </c>
      <c r="OI11" s="336">
        <v>0</v>
      </c>
      <c r="OJ11" s="336">
        <v>0</v>
      </c>
      <c r="OK11" s="336">
        <v>0</v>
      </c>
      <c r="OL11" s="336">
        <v>0</v>
      </c>
      <c r="OM11" s="336">
        <v>734</v>
      </c>
      <c r="ON11" s="336">
        <v>25783</v>
      </c>
      <c r="OO11" s="336">
        <v>54</v>
      </c>
      <c r="OP11" s="336">
        <v>0</v>
      </c>
      <c r="OQ11" s="336">
        <v>0</v>
      </c>
      <c r="OR11" s="336">
        <v>0</v>
      </c>
      <c r="OS11" s="336">
        <v>0</v>
      </c>
      <c r="OT11" s="336">
        <v>0</v>
      </c>
      <c r="OU11" s="336">
        <v>-2874</v>
      </c>
      <c r="OV11" s="336">
        <v>0</v>
      </c>
      <c r="OW11" s="336">
        <v>0</v>
      </c>
      <c r="OX11" s="336">
        <v>0</v>
      </c>
      <c r="OY11" s="336">
        <v>0</v>
      </c>
      <c r="OZ11" s="336">
        <v>0</v>
      </c>
      <c r="PA11" s="336">
        <v>0</v>
      </c>
      <c r="PB11" s="336">
        <v>-11129382</v>
      </c>
      <c r="PC11" s="336">
        <v>0</v>
      </c>
      <c r="PD11" s="336">
        <v>0</v>
      </c>
      <c r="PE11" s="336">
        <v>-7126868</v>
      </c>
      <c r="PF11" s="336">
        <v>2551630</v>
      </c>
      <c r="PG11" s="336">
        <v>-4151928</v>
      </c>
      <c r="PH11" s="336">
        <v>-9078273</v>
      </c>
      <c r="PI11" s="336">
        <v>78767</v>
      </c>
      <c r="PJ11" s="336">
        <v>-35254</v>
      </c>
      <c r="PK11" s="336">
        <v>-10745909</v>
      </c>
      <c r="PL11" s="336">
        <v>4053060</v>
      </c>
      <c r="PM11" s="336">
        <v>20201377</v>
      </c>
      <c r="PN11" s="336">
        <v>0</v>
      </c>
      <c r="PO11" s="336">
        <v>0</v>
      </c>
      <c r="PP11" s="336">
        <v>0</v>
      </c>
      <c r="PQ11" s="336">
        <v>0</v>
      </c>
      <c r="PR11" s="336">
        <v>0</v>
      </c>
      <c r="PS11" s="336">
        <v>0</v>
      </c>
      <c r="PT11" s="336">
        <v>9397498</v>
      </c>
      <c r="PU11" s="336">
        <v>0</v>
      </c>
      <c r="PV11" s="336">
        <v>0</v>
      </c>
      <c r="PW11" s="336">
        <v>0</v>
      </c>
      <c r="PX11" s="336">
        <v>0</v>
      </c>
      <c r="PY11" s="336">
        <v>0</v>
      </c>
      <c r="PZ11" s="336">
        <v>0</v>
      </c>
      <c r="QA11" s="336">
        <v>0</v>
      </c>
      <c r="QB11" s="336">
        <v>0</v>
      </c>
      <c r="QC11" s="336">
        <v>0</v>
      </c>
      <c r="QD11" s="336">
        <v>-10501860</v>
      </c>
      <c r="QE11" s="336">
        <v>0</v>
      </c>
      <c r="QF11" s="336">
        <v>0</v>
      </c>
      <c r="QG11" s="336">
        <v>1104210</v>
      </c>
      <c r="QH11" s="336">
        <v>167527</v>
      </c>
      <c r="QI11" s="336">
        <v>97707</v>
      </c>
      <c r="QJ11" s="336">
        <v>-48996</v>
      </c>
      <c r="QK11" s="336">
        <v>1803190</v>
      </c>
      <c r="QL11" s="336">
        <v>102915</v>
      </c>
      <c r="QM11" s="336">
        <v>0</v>
      </c>
      <c r="QN11" s="336">
        <v>0</v>
      </c>
      <c r="QO11" s="336">
        <v>0</v>
      </c>
      <c r="QP11" s="336">
        <v>0</v>
      </c>
      <c r="QQ11" s="336">
        <v>0</v>
      </c>
      <c r="QR11" s="336">
        <v>0</v>
      </c>
      <c r="QS11" s="336">
        <v>0</v>
      </c>
      <c r="QT11" s="336">
        <v>70675</v>
      </c>
      <c r="QU11" s="336">
        <v>0</v>
      </c>
      <c r="QV11" s="336">
        <v>0</v>
      </c>
      <c r="QW11" s="336">
        <v>0</v>
      </c>
      <c r="QX11" s="336">
        <v>0</v>
      </c>
      <c r="QY11" s="336">
        <v>0</v>
      </c>
      <c r="QZ11" s="336">
        <v>0</v>
      </c>
      <c r="RA11" s="336">
        <v>0</v>
      </c>
      <c r="RB11" s="336">
        <v>0</v>
      </c>
      <c r="RC11" s="336">
        <v>0</v>
      </c>
      <c r="RD11" s="336">
        <v>0</v>
      </c>
      <c r="RE11" s="336">
        <v>6450000</v>
      </c>
      <c r="RF11" s="336">
        <v>0</v>
      </c>
      <c r="RG11" s="336">
        <v>0</v>
      </c>
      <c r="RH11" s="336">
        <v>0</v>
      </c>
      <c r="RI11" s="336">
        <v>0</v>
      </c>
      <c r="RJ11" s="336">
        <v>0</v>
      </c>
      <c r="RK11" s="336">
        <v>0</v>
      </c>
      <c r="RL11" s="336">
        <v>0</v>
      </c>
      <c r="RM11" s="336">
        <v>0</v>
      </c>
      <c r="RN11" s="336">
        <v>0</v>
      </c>
      <c r="RO11" s="336">
        <v>-15266839</v>
      </c>
      <c r="RP11" s="336">
        <v>0</v>
      </c>
      <c r="RQ11" s="336">
        <v>0</v>
      </c>
      <c r="RR11" s="336">
        <v>0</v>
      </c>
      <c r="RS11" s="336">
        <v>0</v>
      </c>
      <c r="RT11" s="336">
        <v>0</v>
      </c>
      <c r="RU11" s="336">
        <v>0</v>
      </c>
      <c r="RV11" s="336">
        <v>0</v>
      </c>
      <c r="RW11" s="336">
        <v>0</v>
      </c>
      <c r="RX11" s="336">
        <v>0</v>
      </c>
      <c r="RY11" s="336">
        <v>0</v>
      </c>
      <c r="RZ11" s="336">
        <v>0</v>
      </c>
      <c r="SA11" s="336">
        <v>0</v>
      </c>
      <c r="SB11" s="336">
        <v>0</v>
      </c>
      <c r="SC11" s="336">
        <v>0</v>
      </c>
      <c r="SD11" s="336">
        <v>0</v>
      </c>
      <c r="SE11" s="336">
        <v>0</v>
      </c>
      <c r="SF11" s="336">
        <v>0</v>
      </c>
      <c r="SG11" s="336">
        <v>0</v>
      </c>
      <c r="SH11" s="336">
        <v>0</v>
      </c>
      <c r="SI11" s="336">
        <v>0</v>
      </c>
      <c r="SJ11" s="336">
        <v>0</v>
      </c>
      <c r="SK11" s="336">
        <v>0</v>
      </c>
      <c r="SL11" s="336">
        <v>0</v>
      </c>
      <c r="SM11" s="336">
        <v>0</v>
      </c>
      <c r="SN11" s="336">
        <v>0</v>
      </c>
      <c r="SO11" s="336">
        <v>0</v>
      </c>
      <c r="SP11" s="336">
        <v>0</v>
      </c>
      <c r="SQ11" s="336">
        <v>982632</v>
      </c>
      <c r="SR11" s="336">
        <v>761487</v>
      </c>
      <c r="SS11" s="336">
        <v>149458</v>
      </c>
      <c r="ST11" s="336">
        <v>242374</v>
      </c>
      <c r="SU11" s="336">
        <v>0</v>
      </c>
      <c r="SV11" s="336">
        <v>0</v>
      </c>
      <c r="SW11" s="336">
        <v>11129382</v>
      </c>
      <c r="SX11" s="336">
        <v>0</v>
      </c>
      <c r="SY11" s="336">
        <v>0</v>
      </c>
      <c r="SZ11" s="336" t="s">
        <v>1420</v>
      </c>
      <c r="TA11" s="336" t="s">
        <v>1420</v>
      </c>
      <c r="TB11" s="336" t="s">
        <v>1420</v>
      </c>
      <c r="TC11" s="336">
        <v>117307</v>
      </c>
      <c r="TD11" s="336">
        <v>125000</v>
      </c>
      <c r="TE11" s="336">
        <v>0</v>
      </c>
      <c r="TF11" s="336">
        <v>0</v>
      </c>
      <c r="TG11" s="336">
        <v>1066840</v>
      </c>
      <c r="TH11" s="336">
        <v>-105222</v>
      </c>
      <c r="TI11" s="336">
        <v>599063</v>
      </c>
      <c r="TJ11" s="336">
        <v>183505</v>
      </c>
      <c r="TK11" s="336">
        <v>0</v>
      </c>
      <c r="TL11" s="336">
        <v>149458</v>
      </c>
      <c r="TM11" s="336">
        <v>0</v>
      </c>
      <c r="TN11" s="336">
        <v>0</v>
      </c>
      <c r="TO11" s="336">
        <v>0</v>
      </c>
      <c r="TP11" s="336">
        <v>0</v>
      </c>
      <c r="TQ11" s="336">
        <v>0</v>
      </c>
      <c r="TR11" s="336">
        <v>0</v>
      </c>
      <c r="TS11" s="336">
        <v>0</v>
      </c>
      <c r="TT11" s="336">
        <v>0</v>
      </c>
      <c r="TU11" s="336">
        <v>0</v>
      </c>
      <c r="TV11" s="336">
        <v>0</v>
      </c>
      <c r="TW11" s="336">
        <v>0</v>
      </c>
      <c r="TX11" s="336">
        <v>0</v>
      </c>
      <c r="TY11" s="336">
        <v>0</v>
      </c>
      <c r="TZ11" s="336">
        <v>0</v>
      </c>
      <c r="UA11" s="336">
        <v>0</v>
      </c>
      <c r="UB11" s="336">
        <v>0</v>
      </c>
      <c r="UC11" s="336">
        <v>0</v>
      </c>
      <c r="UD11" s="336">
        <v>0</v>
      </c>
      <c r="UE11" s="336">
        <v>0</v>
      </c>
      <c r="UF11" s="336">
        <v>0</v>
      </c>
      <c r="UG11" s="336">
        <v>0</v>
      </c>
      <c r="UH11" s="336">
        <v>33702168</v>
      </c>
      <c r="UI11" s="336">
        <v>887029</v>
      </c>
      <c r="UJ11" s="336">
        <v>1814249</v>
      </c>
      <c r="UK11" s="336">
        <v>0</v>
      </c>
      <c r="UL11" s="336">
        <v>7277182</v>
      </c>
      <c r="UM11" s="336">
        <v>13872757</v>
      </c>
      <c r="UN11" s="336">
        <v>7553964</v>
      </c>
      <c r="UO11" s="336">
        <v>6427073</v>
      </c>
      <c r="UP11" s="336">
        <v>13227119</v>
      </c>
      <c r="UQ11" s="336">
        <v>9767749</v>
      </c>
      <c r="UR11"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2135951</v>
      </c>
      <c r="US11" s="338">
        <f>SUM(Input[[#This Row],[Oth Exp E&amp;G]],Input[[#This Row],[Oth Exp Desg]],Input[[#This Row],[Oth Exp Aux]],Input[[#This Row],[Oth Exp R Exp]],Input[[#This Row],[Oth Exp Loan]],Input[[#This Row],[Oth Exp Annuity]],Input[[#This Row],[Oth Exp Unexp]],Input[[#This Row],[Oth Exp R of Ind]],Input[[#This Row],[Oth Exp Inv in P]])</f>
        <v>23697</v>
      </c>
      <c r="UT11" s="336">
        <v>3844413</v>
      </c>
      <c r="UU11" s="336">
        <v>1754194</v>
      </c>
      <c r="UV11" s="339" t="s">
        <v>1505</v>
      </c>
      <c r="UW11" s="340">
        <v>9403974273</v>
      </c>
      <c r="UX11" s="339" t="s">
        <v>1506</v>
      </c>
      <c r="UY11" s="339" t="s">
        <v>1436</v>
      </c>
      <c r="UZ11" s="340"/>
      <c r="VA11" s="339"/>
      <c r="VB11" s="341" cm="1">
        <f t="array" ref="VB11">IFERROR(_xlfn.IFS(Input[[#This Row],[Type]]="HRI",VLOOKUP(Input[[#This Row],[Institution Name]],FTSEHRI[],9,FALSE),Input[[#This Row],[Type]]="UNIV",VLOOKUP(Input[[#This Row],[Institution Name]],FTSEUNIV[],9,FALSE),OR(Input[[#This Row],[Type]]="TSTC",Input[[#This Row],[Type]]="LSC"),VLOOKUP(Input[[#This Row],[Institution Name]],FTSETSTC[],8,FALSE)),"N/A")</f>
        <v>3977.6</v>
      </c>
      <c r="VC11" s="342" t="str" cm="1">
        <f t="array" ref="VC11">IFERROR(_xlfn.IFS(Input[[#This Row],[Type]]="HRI",VLOOKUP(Input[[#This Row],[Institution Name]],FTSEHRI[],11,FALSE),Input[[#This Row],[Type]]="UNIV",VLOOKUP(Input[[#This Row],[Institution Name]],FTSEUNIV[],11,FALSE),Input[[#This Row],[Type]]="TSTC",VLOOKUP(Input[[#This Row],[Institution Name]],FTSETSTC[],10,FALSE)),"N/A")</f>
        <v>N/A</v>
      </c>
      <c r="VD11"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37765568</v>
      </c>
      <c r="VE11"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5082034</v>
      </c>
      <c r="VF11" s="338">
        <f>SUM(Input[[#This Row],[Fed G&amp;C E&amp;G]],Input[[#This Row],[Fed G&amp;C Desg]],Input[[#This Row],[Fed G&amp;C R Exp]],Input[[#This Row],[Fed G&amp;C Loan]],Input[[#This Row],[Fed G&amp;C Annuity]],Input[[#This Row],[Fed G&amp;C Unexp]],Input[[#This Row],[Fed G&amp;C R of Ind]],Input[[#This Row],[Fed G&amp;C Inv in P]])</f>
        <v>14062446</v>
      </c>
      <c r="VG11"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14292060</v>
      </c>
      <c r="VH11"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16069296</v>
      </c>
      <c r="VI11"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15055312</v>
      </c>
      <c r="VJ11" s="338">
        <f>SUM(Input[[#This Row],[Oth Inc E&amp;G]],Input[[#This Row],[Oth Exp Desg]],Input[[#This Row],[Oth Exp R Exp]],Input[[#This Row],[Oth Exp Loan]],Input[[#This Row],[Oth Exp Annuity]],Input[[#This Row],[Oth Exp Unexp]],Input[[#This Row],[Oth Exp R of Ind]],Input[[#This Row],[Oth Exp Inv in P]])</f>
        <v>22909</v>
      </c>
      <c r="VK11" s="343">
        <f>SUM(Input[[#This Row],[Instr E&amp;G]],Input[[#This Row],[Instr Desg]],Input[[#This Row],[Instr R Exp]],Input[[#This Row],[Instr Loan]],Input[[#This Row],[Instr Annuity]],Input[[#This Row],[Instr Unexp]],Input[[#This Row],[Instr R of Ind]],Input[[#This Row],[Instr Inv in P]])</f>
        <v>33702168</v>
      </c>
      <c r="VL11" s="343">
        <f>SUM(Input[[#This Row],[Res E&amp;G]],Input[[#This Row],[Res Desg]],Input[[#This Row],[Res R Exp]],Input[[#This Row],[Res Loan]],Input[[#This Row],[Res Annuity]],Input[[#This Row],[Res Unexp]],Input[[#This Row],[Res R of Ind]],Input[[#This Row],[Res Inv in P]])</f>
        <v>887029</v>
      </c>
      <c r="VM11" s="343">
        <f>SUM(Input[[#This Row],[Acad Sup E&amp;G]],Input[[#This Row],[Acad Sup Desg]],Input[[#This Row],[Acad Sup R Exp]],Input[[#This Row],[Acad Sup Loan]],Input[[#This Row],[Acad Sup Annuity]],Input[[#This Row],[Acad Sup Unexp]],Input[[#This Row],[Acad Sup R of Ind]],Input[[#This Row],[Acad Sup Inv in P]])</f>
        <v>7277182</v>
      </c>
      <c r="VN11" s="343">
        <f>SUM(Input[[#This Row],[Stu Svc E&amp;G]],Input[[#This Row],[Stu Svc Desg]],Input[[#This Row],[Stu Svc R Exp]],Input[[#This Row],[Stu Svc Loan]],Input[[#This Row],[Stu Svc Annuity]],Input[[#This Row],[Stu Svc Unexp]],Input[[#This Row],[Stu Svc R of Ind]],Input[[#This Row],[Stu Svc Inv in P]])</f>
        <v>13872757</v>
      </c>
      <c r="VO11" s="343">
        <f>SUM(Input[[#This Row],[Inst. Spt E&amp;G]],Input[[#This Row],[Inst. Spt Desg]],Input[[#This Row],[Inst. Spt R Exp]],Input[[#This Row],[Inst. Spt Loan]],Input[[#This Row],[Inst. Spt Annuity]],Input[[#This Row],[Inst. Spt Unexp]],Input[[#This Row],[Inst. Spt R of Ind]],Input[[#This Row],[Inst. Spt Inv in P]])</f>
        <v>7553964</v>
      </c>
      <c r="VP11" s="343">
        <f>SUM(Input[[#This Row],[M&amp;O Plnt E&amp;G]],Input[[#This Row],[M&amp;O Plnt Desg]],Input[[#This Row],[M&amp;O Plnt R Exp]],Input[[#This Row],[M&amp;O Plnt Loan]],Input[[#This Row],[M&amp;O Plnt Annuity]],Input[[#This Row],[M&amp;O Plnt Unexp]],Input[[#This Row],[M&amp;O Plnt R of Ind]],Input[[#This Row],[M&amp;O Plnt Inv in P]])</f>
        <v>6427073</v>
      </c>
      <c r="VQ11" s="343">
        <f>SUM(Input[[#This Row],[Schl &amp; Fell E&amp;G]],Input[[#This Row],[Schl &amp; Fell Desg]],Input[[#This Row],[Schl &amp; Fell R Exp]],Input[[#This Row],[Schl &amp; Fell Loan]],Input[[#This Row],[Schl &amp; Fell Annuity]],Input[[#This Row],[Schl &amp; Fell Unexp]],Input[[#This Row],[Schl &amp; Fell R of Ind]],Input[[#This Row],[Schl &amp; Fell Inv in P]])</f>
        <v>13227119</v>
      </c>
      <c r="VR11" s="343">
        <f>SUM(Input[[#This Row],[Cap Out fund E&amp;G]],Input[[#This Row],[Cap Out fund Desg]],Input[[#This Row],[Cap Out fund R Exp]],Input[[#This Row],[Cap Out fund Loan]],Input[[#This Row],[Cap Out fund Annuity]],Input[[#This Row],[Cap Out fund Unexp]],Input[[#This Row],[Cap Out fund R of Ind]],Input[[#This Row],[Cap Out fund Inv in P]])</f>
        <v>1986493</v>
      </c>
      <c r="VS11" s="343">
        <f>SUM(Input[[#This Row],[Oth Exp E&amp;G]],Input[[#This Row],[Oth Exp Desg]],Input[[#This Row],[Oth Exp R Exp]],Input[[#This Row],[Oth Exp Loan]],Input[[#This Row],[Oth Exp Annuity]],Input[[#This Row],[Oth Exp Unexp]],Input[[#This Row],[Oth Exp R of Ind]],Input[[#This Row],[Oth Exp Inv in P]],Input[[#This Row],[Oth Exp Inv in P]])</f>
        <v>20769</v>
      </c>
    </row>
    <row r="12" spans="1:591" s="344" customFormat="1" ht="27" customHeight="1" x14ac:dyDescent="0.55000000000000004">
      <c r="A12" s="339" t="s">
        <v>68</v>
      </c>
      <c r="B12" s="334" t="s">
        <v>830</v>
      </c>
      <c r="C12" s="334" t="s">
        <v>21</v>
      </c>
      <c r="D12" s="334">
        <v>150</v>
      </c>
      <c r="E12" s="334" t="s">
        <v>1622</v>
      </c>
      <c r="F12" s="335">
        <v>3630</v>
      </c>
      <c r="G12" s="336">
        <v>76838413</v>
      </c>
      <c r="H12" s="336">
        <v>0</v>
      </c>
      <c r="I12" s="336">
        <v>0</v>
      </c>
      <c r="J12" s="336">
        <v>0</v>
      </c>
      <c r="K12" s="336">
        <v>0</v>
      </c>
      <c r="L12" s="336">
        <v>0</v>
      </c>
      <c r="M12" s="336">
        <v>0</v>
      </c>
      <c r="N12" s="336">
        <v>0</v>
      </c>
      <c r="O12" s="336">
        <v>0</v>
      </c>
      <c r="P12" s="336">
        <v>0</v>
      </c>
      <c r="Q12" s="336">
        <v>106763</v>
      </c>
      <c r="R12" s="336">
        <v>0</v>
      </c>
      <c r="S12" s="336">
        <v>12659751</v>
      </c>
      <c r="T12" s="336">
        <v>0</v>
      </c>
      <c r="U12" s="336">
        <v>0</v>
      </c>
      <c r="V12" s="336">
        <v>0</v>
      </c>
      <c r="W12" s="336">
        <v>0</v>
      </c>
      <c r="X12" s="336">
        <v>0</v>
      </c>
      <c r="Y12" s="336">
        <v>0</v>
      </c>
      <c r="Z12" s="336">
        <v>0</v>
      </c>
      <c r="AA12" s="336">
        <v>0</v>
      </c>
      <c r="AB12" s="336">
        <v>0</v>
      </c>
      <c r="AC12" s="336">
        <v>0</v>
      </c>
      <c r="AD12" s="336">
        <v>0</v>
      </c>
      <c r="AE12" s="336">
        <v>0</v>
      </c>
      <c r="AF12" s="336">
        <v>0</v>
      </c>
      <c r="AG12" s="336">
        <v>0</v>
      </c>
      <c r="AH12" s="336">
        <v>32552500</v>
      </c>
      <c r="AI12" s="336">
        <v>0</v>
      </c>
      <c r="AJ12" s="336">
        <v>0</v>
      </c>
      <c r="AK12" s="336">
        <v>0</v>
      </c>
      <c r="AL12" s="336">
        <v>0</v>
      </c>
      <c r="AM12" s="336">
        <v>0</v>
      </c>
      <c r="AN12" s="336">
        <v>0</v>
      </c>
      <c r="AO12" s="336">
        <v>0</v>
      </c>
      <c r="AP12" s="336">
        <v>0</v>
      </c>
      <c r="AQ12" s="336">
        <v>-7318764</v>
      </c>
      <c r="AR12" s="336">
        <v>0</v>
      </c>
      <c r="AS12" s="336">
        <v>0</v>
      </c>
      <c r="AT12" s="336">
        <v>0</v>
      </c>
      <c r="AU12" s="336">
        <v>0</v>
      </c>
      <c r="AV12" s="336">
        <v>0</v>
      </c>
      <c r="AW12" s="336">
        <v>0</v>
      </c>
      <c r="AX12" s="336">
        <v>0</v>
      </c>
      <c r="AY12" s="336">
        <v>0</v>
      </c>
      <c r="AZ12" s="336">
        <v>0</v>
      </c>
      <c r="BA12" s="336">
        <v>0</v>
      </c>
      <c r="BB12" s="336">
        <v>0</v>
      </c>
      <c r="BC12" s="336">
        <v>0</v>
      </c>
      <c r="BD12" s="336">
        <v>0</v>
      </c>
      <c r="BE12" s="336">
        <v>0</v>
      </c>
      <c r="BF12" s="336">
        <v>0</v>
      </c>
      <c r="BG12" s="336">
        <v>0</v>
      </c>
      <c r="BH12" s="336">
        <v>0</v>
      </c>
      <c r="BI12" s="336">
        <v>0</v>
      </c>
      <c r="BJ12" s="336">
        <v>0</v>
      </c>
      <c r="BK12" s="336">
        <v>0</v>
      </c>
      <c r="BL12" s="336">
        <v>0</v>
      </c>
      <c r="BM12" s="336">
        <v>0</v>
      </c>
      <c r="BN12" s="336">
        <v>0</v>
      </c>
      <c r="BO12" s="336">
        <v>0</v>
      </c>
      <c r="BP12" s="336">
        <v>0</v>
      </c>
      <c r="BQ12" s="336">
        <v>0</v>
      </c>
      <c r="BR12" s="336">
        <v>0</v>
      </c>
      <c r="BS12" s="336">
        <v>0</v>
      </c>
      <c r="BT12" s="336">
        <v>0</v>
      </c>
      <c r="BU12" s="336">
        <v>0</v>
      </c>
      <c r="BV12" s="336">
        <v>0</v>
      </c>
      <c r="BW12" s="336">
        <v>0</v>
      </c>
      <c r="BX12" s="336">
        <v>0</v>
      </c>
      <c r="BY12" s="336">
        <v>0</v>
      </c>
      <c r="BZ12" s="336">
        <v>0</v>
      </c>
      <c r="CA12" s="336">
        <v>20637582</v>
      </c>
      <c r="CB12" s="336">
        <v>54144399</v>
      </c>
      <c r="CC12" s="336">
        <v>0</v>
      </c>
      <c r="CD12" s="336">
        <v>0</v>
      </c>
      <c r="CE12" s="336">
        <v>0</v>
      </c>
      <c r="CF12" s="336">
        <v>0</v>
      </c>
      <c r="CG12" s="336">
        <v>0</v>
      </c>
      <c r="CH12" s="336">
        <v>0</v>
      </c>
      <c r="CI12" s="336">
        <v>0</v>
      </c>
      <c r="CJ12" s="336">
        <v>0</v>
      </c>
      <c r="CK12" s="336">
        <v>0</v>
      </c>
      <c r="CL12" s="336">
        <v>0</v>
      </c>
      <c r="CM12" s="336">
        <v>0</v>
      </c>
      <c r="CN12" s="336">
        <v>0</v>
      </c>
      <c r="CO12" s="336">
        <v>0</v>
      </c>
      <c r="CP12" s="336">
        <v>0</v>
      </c>
      <c r="CQ12" s="336">
        <v>0</v>
      </c>
      <c r="CR12" s="336">
        <v>0</v>
      </c>
      <c r="CS12" s="336">
        <v>0</v>
      </c>
      <c r="CT12" s="336">
        <v>0</v>
      </c>
      <c r="CU12" s="336">
        <v>0</v>
      </c>
      <c r="CV12" s="336">
        <v>0</v>
      </c>
      <c r="CW12" s="336">
        <v>0</v>
      </c>
      <c r="CX12" s="336">
        <v>0</v>
      </c>
      <c r="CY12" s="336">
        <v>0</v>
      </c>
      <c r="CZ12" s="336">
        <v>0</v>
      </c>
      <c r="DA12" s="336">
        <v>0</v>
      </c>
      <c r="DB12" s="336">
        <v>-826220</v>
      </c>
      <c r="DC12" s="336">
        <v>-3008343</v>
      </c>
      <c r="DD12" s="336">
        <v>0</v>
      </c>
      <c r="DE12" s="336">
        <v>0</v>
      </c>
      <c r="DF12" s="336">
        <v>0</v>
      </c>
      <c r="DG12" s="336">
        <v>0</v>
      </c>
      <c r="DH12" s="336">
        <v>0</v>
      </c>
      <c r="DI12" s="336">
        <v>0</v>
      </c>
      <c r="DJ12" s="336">
        <v>0</v>
      </c>
      <c r="DK12" s="336">
        <v>0</v>
      </c>
      <c r="DL12" s="336">
        <v>0</v>
      </c>
      <c r="DM12" s="336">
        <v>0</v>
      </c>
      <c r="DN12" s="336">
        <v>0</v>
      </c>
      <c r="DO12" s="336">
        <v>0</v>
      </c>
      <c r="DP12" s="336">
        <v>0</v>
      </c>
      <c r="DQ12" s="336">
        <v>0</v>
      </c>
      <c r="DR12" s="336">
        <v>0</v>
      </c>
      <c r="DS12" s="336">
        <v>0</v>
      </c>
      <c r="DT12" s="336">
        <v>-10197151</v>
      </c>
      <c r="DU12" s="336">
        <v>-25912379</v>
      </c>
      <c r="DV12" s="336">
        <v>0</v>
      </c>
      <c r="DW12" s="336">
        <v>0</v>
      </c>
      <c r="DX12" s="336">
        <v>0</v>
      </c>
      <c r="DY12" s="336">
        <v>0</v>
      </c>
      <c r="DZ12" s="336">
        <v>0</v>
      </c>
      <c r="EA12" s="336">
        <v>0</v>
      </c>
      <c r="EB12" s="336">
        <v>0</v>
      </c>
      <c r="EC12" s="336">
        <v>0</v>
      </c>
      <c r="ED12" s="336">
        <v>0</v>
      </c>
      <c r="EE12" s="336">
        <v>0</v>
      </c>
      <c r="EF12" s="336">
        <v>0</v>
      </c>
      <c r="EG12" s="336">
        <v>0</v>
      </c>
      <c r="EH12" s="336">
        <v>0</v>
      </c>
      <c r="EI12" s="336">
        <v>0</v>
      </c>
      <c r="EJ12" s="336">
        <v>0</v>
      </c>
      <c r="EK12" s="336">
        <v>0</v>
      </c>
      <c r="EL12" s="336">
        <v>0</v>
      </c>
      <c r="EM12" s="336">
        <v>0</v>
      </c>
      <c r="EN12" s="336">
        <v>0</v>
      </c>
      <c r="EO12" s="336">
        <v>0</v>
      </c>
      <c r="EP12" s="336">
        <v>0</v>
      </c>
      <c r="EQ12" s="336">
        <v>0</v>
      </c>
      <c r="ER12" s="336">
        <v>0</v>
      </c>
      <c r="ES12" s="336">
        <v>0</v>
      </c>
      <c r="ET12" s="336">
        <v>0</v>
      </c>
      <c r="EU12" s="336">
        <v>0</v>
      </c>
      <c r="EV12" s="336">
        <v>0</v>
      </c>
      <c r="EW12" s="336">
        <v>0</v>
      </c>
      <c r="EX12" s="336">
        <v>0</v>
      </c>
      <c r="EY12" s="336">
        <v>0</v>
      </c>
      <c r="EZ12" s="336">
        <v>0</v>
      </c>
      <c r="FA12" s="336">
        <v>0</v>
      </c>
      <c r="FB12" s="336">
        <v>0</v>
      </c>
      <c r="FC12" s="336">
        <v>0</v>
      </c>
      <c r="FD12" s="336">
        <v>0</v>
      </c>
      <c r="FE12" s="336">
        <v>0</v>
      </c>
      <c r="FF12" s="336">
        <v>0</v>
      </c>
      <c r="FG12" s="336">
        <v>0</v>
      </c>
      <c r="FH12" s="336">
        <v>0</v>
      </c>
      <c r="FI12" s="336">
        <v>0</v>
      </c>
      <c r="FJ12" s="336">
        <v>0</v>
      </c>
      <c r="FK12" s="336">
        <v>0</v>
      </c>
      <c r="FL12" s="336">
        <v>0</v>
      </c>
      <c r="FM12" s="336">
        <v>143716</v>
      </c>
      <c r="FN12" s="336">
        <v>28765860</v>
      </c>
      <c r="FO12" s="336">
        <v>8145076</v>
      </c>
      <c r="FP12" s="336">
        <v>0</v>
      </c>
      <c r="FQ12" s="336">
        <v>0</v>
      </c>
      <c r="FR12" s="336">
        <v>0</v>
      </c>
      <c r="FS12" s="336">
        <v>0</v>
      </c>
      <c r="FT12" s="336">
        <v>0</v>
      </c>
      <c r="FU12" s="336">
        <v>0</v>
      </c>
      <c r="FV12" s="336">
        <v>0</v>
      </c>
      <c r="FW12" s="336">
        <v>0</v>
      </c>
      <c r="FX12" s="336">
        <v>0</v>
      </c>
      <c r="FY12" s="336">
        <v>0</v>
      </c>
      <c r="FZ12" s="336">
        <v>0</v>
      </c>
      <c r="GA12" s="336">
        <v>0</v>
      </c>
      <c r="GB12" s="336">
        <v>0</v>
      </c>
      <c r="GC12" s="336">
        <v>0</v>
      </c>
      <c r="GD12" s="336">
        <v>0</v>
      </c>
      <c r="GE12" s="336">
        <v>0</v>
      </c>
      <c r="GF12" s="336">
        <v>0</v>
      </c>
      <c r="GG12" s="336">
        <v>0</v>
      </c>
      <c r="GH12" s="336">
        <v>0</v>
      </c>
      <c r="GI12" s="336">
        <v>0</v>
      </c>
      <c r="GJ12" s="336">
        <v>0</v>
      </c>
      <c r="GK12" s="336">
        <v>0</v>
      </c>
      <c r="GL12" s="336">
        <v>0</v>
      </c>
      <c r="GM12" s="336">
        <v>0</v>
      </c>
      <c r="GN12" s="336">
        <v>0</v>
      </c>
      <c r="GO12" s="336">
        <v>-1607750</v>
      </c>
      <c r="GP12" s="336">
        <v>-536411</v>
      </c>
      <c r="GQ12" s="336">
        <v>0</v>
      </c>
      <c r="GR12" s="336">
        <v>0</v>
      </c>
      <c r="GS12" s="336">
        <v>0</v>
      </c>
      <c r="GT12" s="336">
        <v>0</v>
      </c>
      <c r="GU12" s="336">
        <v>0</v>
      </c>
      <c r="GV12" s="336">
        <v>0</v>
      </c>
      <c r="GW12" s="336">
        <v>0</v>
      </c>
      <c r="GX12" s="336">
        <v>0</v>
      </c>
      <c r="GY12" s="336">
        <v>0</v>
      </c>
      <c r="GZ12" s="336">
        <v>0</v>
      </c>
      <c r="HA12" s="336">
        <v>0</v>
      </c>
      <c r="HB12" s="336">
        <v>0</v>
      </c>
      <c r="HC12" s="336">
        <v>0</v>
      </c>
      <c r="HD12" s="336">
        <v>0</v>
      </c>
      <c r="HE12" s="336">
        <v>0</v>
      </c>
      <c r="HF12" s="336">
        <v>-76765</v>
      </c>
      <c r="HG12" s="336">
        <v>-13757264</v>
      </c>
      <c r="HH12" s="336">
        <v>-3814205</v>
      </c>
      <c r="HI12" s="336">
        <v>0</v>
      </c>
      <c r="HJ12" s="336">
        <v>0</v>
      </c>
      <c r="HK12" s="336">
        <v>0</v>
      </c>
      <c r="HL12" s="336">
        <v>0</v>
      </c>
      <c r="HM12" s="336">
        <v>0</v>
      </c>
      <c r="HN12" s="336">
        <v>0</v>
      </c>
      <c r="HO12" s="336">
        <v>0</v>
      </c>
      <c r="HP12" s="336">
        <v>5051505</v>
      </c>
      <c r="HQ12" s="336">
        <v>0</v>
      </c>
      <c r="HR12" s="336">
        <v>78237276</v>
      </c>
      <c r="HS12" s="336">
        <v>0</v>
      </c>
      <c r="HT12" s="336">
        <v>0</v>
      </c>
      <c r="HU12" s="336">
        <v>8851512</v>
      </c>
      <c r="HV12" s="336">
        <v>0</v>
      </c>
      <c r="HW12" s="336">
        <v>0</v>
      </c>
      <c r="HX12" s="336">
        <v>0</v>
      </c>
      <c r="HY12" s="336">
        <v>0</v>
      </c>
      <c r="HZ12" s="336">
        <v>0</v>
      </c>
      <c r="IA12" s="336">
        <v>0</v>
      </c>
      <c r="IB12" s="336">
        <v>0</v>
      </c>
      <c r="IC12" s="336">
        <v>0</v>
      </c>
      <c r="ID12" s="336">
        <v>0</v>
      </c>
      <c r="IE12" s="336">
        <v>0</v>
      </c>
      <c r="IF12" s="336">
        <v>0</v>
      </c>
      <c r="IG12" s="336">
        <v>0</v>
      </c>
      <c r="IH12" s="336">
        <v>0</v>
      </c>
      <c r="II12" s="336">
        <v>0</v>
      </c>
      <c r="IJ12" s="336">
        <v>0</v>
      </c>
      <c r="IK12" s="336">
        <v>0</v>
      </c>
      <c r="IL12" s="336">
        <v>0</v>
      </c>
      <c r="IM12" s="336">
        <v>0</v>
      </c>
      <c r="IN12" s="336">
        <v>0</v>
      </c>
      <c r="IO12" s="336">
        <v>0</v>
      </c>
      <c r="IP12" s="336">
        <v>1644929</v>
      </c>
      <c r="IQ12" s="336">
        <v>7794031</v>
      </c>
      <c r="IR12" s="336">
        <v>24779</v>
      </c>
      <c r="IS12" s="336">
        <v>926853</v>
      </c>
      <c r="IT12" s="336">
        <v>0</v>
      </c>
      <c r="IU12" s="336">
        <v>130446</v>
      </c>
      <c r="IV12" s="336">
        <v>0</v>
      </c>
      <c r="IW12" s="336">
        <v>0</v>
      </c>
      <c r="IX12" s="336">
        <v>0</v>
      </c>
      <c r="IY12" s="336">
        <v>0</v>
      </c>
      <c r="IZ12" s="336">
        <v>0</v>
      </c>
      <c r="JA12" s="336">
        <v>0</v>
      </c>
      <c r="JB12" s="336">
        <v>0</v>
      </c>
      <c r="JC12" s="336">
        <v>0</v>
      </c>
      <c r="JD12" s="336">
        <v>0</v>
      </c>
      <c r="JE12" s="336">
        <v>0</v>
      </c>
      <c r="JF12" s="336">
        <v>0</v>
      </c>
      <c r="JG12" s="336">
        <v>0</v>
      </c>
      <c r="JH12" s="336">
        <v>0</v>
      </c>
      <c r="JI12" s="336">
        <v>3096758</v>
      </c>
      <c r="JJ12" s="336">
        <v>1430</v>
      </c>
      <c r="JK12" s="336">
        <v>9760491</v>
      </c>
      <c r="JL12" s="336">
        <v>0</v>
      </c>
      <c r="JM12" s="336">
        <v>0</v>
      </c>
      <c r="JN12" s="336">
        <v>0</v>
      </c>
      <c r="JO12" s="336">
        <v>0</v>
      </c>
      <c r="JP12" s="336">
        <v>0</v>
      </c>
      <c r="JQ12" s="336">
        <v>0</v>
      </c>
      <c r="JR12" s="336">
        <v>1352647</v>
      </c>
      <c r="JS12" s="336">
        <v>64090</v>
      </c>
      <c r="JT12" s="336">
        <v>767528</v>
      </c>
      <c r="JU12" s="336">
        <v>0</v>
      </c>
      <c r="JV12" s="336">
        <v>0</v>
      </c>
      <c r="JW12" s="336">
        <v>0</v>
      </c>
      <c r="JX12" s="336">
        <v>0</v>
      </c>
      <c r="JY12" s="336">
        <v>0</v>
      </c>
      <c r="JZ12" s="336">
        <v>0</v>
      </c>
      <c r="KA12" s="336">
        <v>0</v>
      </c>
      <c r="KB12" s="336">
        <v>18007104</v>
      </c>
      <c r="KC12" s="336">
        <v>0</v>
      </c>
      <c r="KD12" s="336">
        <v>0</v>
      </c>
      <c r="KE12" s="336">
        <v>0</v>
      </c>
      <c r="KF12" s="336">
        <v>0</v>
      </c>
      <c r="KG12" s="336">
        <v>0</v>
      </c>
      <c r="KH12" s="336">
        <v>0</v>
      </c>
      <c r="KI12" s="336">
        <v>1511227</v>
      </c>
      <c r="KJ12" s="336">
        <v>419873</v>
      </c>
      <c r="KK12" s="336">
        <v>2517830</v>
      </c>
      <c r="KL12" s="336">
        <v>3030031</v>
      </c>
      <c r="KM12" s="336">
        <v>0</v>
      </c>
      <c r="KN12" s="336">
        <v>0</v>
      </c>
      <c r="KO12" s="336">
        <v>293315</v>
      </c>
      <c r="KP12" s="336">
        <v>0</v>
      </c>
      <c r="KQ12" s="336">
        <v>0</v>
      </c>
      <c r="KR12" s="336">
        <v>48425667</v>
      </c>
      <c r="KS12" s="336">
        <v>5810747</v>
      </c>
      <c r="KT12" s="336">
        <v>0</v>
      </c>
      <c r="KU12" s="336">
        <v>632683</v>
      </c>
      <c r="KV12" s="336">
        <v>0</v>
      </c>
      <c r="KW12" s="336">
        <v>0</v>
      </c>
      <c r="KX12" s="336">
        <v>0</v>
      </c>
      <c r="KY12" s="336">
        <v>0</v>
      </c>
      <c r="KZ12" s="336">
        <v>0</v>
      </c>
      <c r="LA12" s="336">
        <v>10858163</v>
      </c>
      <c r="LB12" s="336">
        <v>1041947</v>
      </c>
      <c r="LC12" s="336">
        <v>0</v>
      </c>
      <c r="LD12" s="336">
        <v>15360384</v>
      </c>
      <c r="LE12" s="336">
        <v>0</v>
      </c>
      <c r="LF12" s="336">
        <v>0</v>
      </c>
      <c r="LG12" s="336">
        <v>0</v>
      </c>
      <c r="LH12" s="336">
        <v>0</v>
      </c>
      <c r="LI12" s="336">
        <v>0</v>
      </c>
      <c r="LJ12" s="336">
        <v>10357496</v>
      </c>
      <c r="LK12" s="336">
        <v>49238</v>
      </c>
      <c r="LL12" s="336">
        <v>0</v>
      </c>
      <c r="LM12" s="336">
        <v>5359400</v>
      </c>
      <c r="LN12" s="336">
        <v>0</v>
      </c>
      <c r="LO12" s="336">
        <v>0</v>
      </c>
      <c r="LP12" s="336">
        <v>0</v>
      </c>
      <c r="LQ12" s="336">
        <v>0</v>
      </c>
      <c r="LR12" s="336">
        <v>0</v>
      </c>
      <c r="LS12" s="336">
        <v>0</v>
      </c>
      <c r="LT12" s="336">
        <v>0</v>
      </c>
      <c r="LU12" s="336">
        <v>0</v>
      </c>
      <c r="LV12" s="336">
        <v>0</v>
      </c>
      <c r="LW12" s="336">
        <v>0</v>
      </c>
      <c r="LX12" s="336">
        <v>0</v>
      </c>
      <c r="LY12" s="336">
        <v>0</v>
      </c>
      <c r="LZ12" s="336">
        <v>0</v>
      </c>
      <c r="MA12" s="336">
        <v>0</v>
      </c>
      <c r="MB12" s="336">
        <v>10281572</v>
      </c>
      <c r="MC12" s="336">
        <v>8447394</v>
      </c>
      <c r="MD12" s="336">
        <v>0</v>
      </c>
      <c r="ME12" s="336">
        <v>14444395</v>
      </c>
      <c r="MF12" s="336">
        <v>0</v>
      </c>
      <c r="MG12" s="336">
        <v>0</v>
      </c>
      <c r="MH12" s="336">
        <v>0</v>
      </c>
      <c r="MI12" s="336">
        <v>0</v>
      </c>
      <c r="MJ12" s="336">
        <v>0</v>
      </c>
      <c r="MK12" s="336">
        <v>7483102</v>
      </c>
      <c r="ML12" s="336">
        <v>13942730</v>
      </c>
      <c r="MM12" s="336">
        <v>0</v>
      </c>
      <c r="MN12" s="336">
        <v>3725075</v>
      </c>
      <c r="MO12" s="336">
        <v>79456</v>
      </c>
      <c r="MP12" s="336">
        <v>0</v>
      </c>
      <c r="MQ12" s="336">
        <v>0</v>
      </c>
      <c r="MR12" s="336">
        <v>0</v>
      </c>
      <c r="MS12" s="336">
        <v>0</v>
      </c>
      <c r="MT12" s="336">
        <v>15678767</v>
      </c>
      <c r="MU12" s="336">
        <v>10250360</v>
      </c>
      <c r="MV12" s="336">
        <v>0</v>
      </c>
      <c r="MW12" s="336">
        <v>3512439</v>
      </c>
      <c r="MX12" s="336">
        <v>0</v>
      </c>
      <c r="MY12" s="336">
        <v>0</v>
      </c>
      <c r="MZ12" s="336">
        <v>0</v>
      </c>
      <c r="NA12" s="336">
        <v>0</v>
      </c>
      <c r="NB12" s="336">
        <v>0</v>
      </c>
      <c r="NC12" s="336">
        <v>7008071</v>
      </c>
      <c r="ND12" s="336">
        <v>14495918</v>
      </c>
      <c r="NE12" s="336">
        <v>0</v>
      </c>
      <c r="NF12" s="336">
        <v>637</v>
      </c>
      <c r="NG12" s="336">
        <v>0</v>
      </c>
      <c r="NH12" s="336">
        <v>0</v>
      </c>
      <c r="NI12" s="336">
        <v>7440708</v>
      </c>
      <c r="NJ12" s="336">
        <v>0</v>
      </c>
      <c r="NK12" s="336">
        <v>0</v>
      </c>
      <c r="NL12" s="336">
        <v>695051</v>
      </c>
      <c r="NM12" s="336">
        <v>10972093</v>
      </c>
      <c r="NN12" s="336">
        <v>0</v>
      </c>
      <c r="NO12" s="336">
        <v>8130143</v>
      </c>
      <c r="NP12" s="336">
        <v>0</v>
      </c>
      <c r="NQ12" s="336">
        <v>0</v>
      </c>
      <c r="NR12" s="336">
        <v>0</v>
      </c>
      <c r="NS12" s="336">
        <v>0</v>
      </c>
      <c r="NT12" s="336">
        <v>0</v>
      </c>
      <c r="NU12" s="336">
        <v>0</v>
      </c>
      <c r="NV12" s="336">
        <v>0</v>
      </c>
      <c r="NW12" s="336">
        <v>34738490</v>
      </c>
      <c r="NX12" s="336">
        <v>0</v>
      </c>
      <c r="NY12" s="336">
        <v>0</v>
      </c>
      <c r="NZ12" s="336">
        <v>0</v>
      </c>
      <c r="OA12" s="336">
        <v>0</v>
      </c>
      <c r="OB12" s="336">
        <v>0</v>
      </c>
      <c r="OC12" s="336">
        <v>0</v>
      </c>
      <c r="OD12" s="336">
        <v>5731</v>
      </c>
      <c r="OE12" s="336">
        <v>473235</v>
      </c>
      <c r="OF12" s="336">
        <v>292554</v>
      </c>
      <c r="OG12" s="336">
        <v>4496877</v>
      </c>
      <c r="OH12" s="336">
        <v>0</v>
      </c>
      <c r="OI12" s="336">
        <v>0</v>
      </c>
      <c r="OJ12" s="336">
        <v>0</v>
      </c>
      <c r="OK12" s="336">
        <v>0</v>
      </c>
      <c r="OL12" s="336">
        <v>0</v>
      </c>
      <c r="OM12" s="336">
        <v>67894</v>
      </c>
      <c r="ON12" s="336">
        <v>829303</v>
      </c>
      <c r="OO12" s="336">
        <v>77</v>
      </c>
      <c r="OP12" s="336">
        <v>0</v>
      </c>
      <c r="OQ12" s="336">
        <v>0</v>
      </c>
      <c r="OR12" s="336">
        <v>0</v>
      </c>
      <c r="OS12" s="336">
        <v>0</v>
      </c>
      <c r="OT12" s="336">
        <v>0</v>
      </c>
      <c r="OU12" s="336">
        <v>18755</v>
      </c>
      <c r="OV12" s="336">
        <v>0</v>
      </c>
      <c r="OW12" s="336">
        <v>0</v>
      </c>
      <c r="OX12" s="336">
        <v>0</v>
      </c>
      <c r="OY12" s="336">
        <v>0</v>
      </c>
      <c r="OZ12" s="336">
        <v>0</v>
      </c>
      <c r="PA12" s="336">
        <v>0</v>
      </c>
      <c r="PB12" s="336">
        <v>6004444</v>
      </c>
      <c r="PC12" s="336">
        <v>0</v>
      </c>
      <c r="PD12" s="336">
        <v>0</v>
      </c>
      <c r="PE12" s="336">
        <v>3440746</v>
      </c>
      <c r="PF12" s="336">
        <v>11080564</v>
      </c>
      <c r="PG12" s="336">
        <v>21853963</v>
      </c>
      <c r="PH12" s="336">
        <v>-44889242</v>
      </c>
      <c r="PI12" s="336">
        <v>0</v>
      </c>
      <c r="PJ12" s="336">
        <v>2019794</v>
      </c>
      <c r="PK12" s="336">
        <v>12526344</v>
      </c>
      <c r="PL12" s="336">
        <v>0</v>
      </c>
      <c r="PM12" s="336">
        <v>0</v>
      </c>
      <c r="PN12" s="336">
        <v>0</v>
      </c>
      <c r="PO12" s="336">
        <v>0</v>
      </c>
      <c r="PP12" s="336">
        <v>0</v>
      </c>
      <c r="PQ12" s="336">
        <v>0</v>
      </c>
      <c r="PR12" s="336">
        <v>0</v>
      </c>
      <c r="PS12" s="336">
        <v>0</v>
      </c>
      <c r="PT12" s="336">
        <v>0</v>
      </c>
      <c r="PU12" s="336">
        <v>0</v>
      </c>
      <c r="PV12" s="336">
        <v>0</v>
      </c>
      <c r="PW12" s="336">
        <v>-8652947</v>
      </c>
      <c r="PX12" s="336">
        <v>-1173444</v>
      </c>
      <c r="PY12" s="336">
        <v>-5130962</v>
      </c>
      <c r="PZ12" s="336">
        <v>0</v>
      </c>
      <c r="QA12" s="336">
        <v>0</v>
      </c>
      <c r="QB12" s="336">
        <v>0</v>
      </c>
      <c r="QC12" s="336">
        <v>532356</v>
      </c>
      <c r="QD12" s="336">
        <v>0</v>
      </c>
      <c r="QE12" s="336">
        <v>0</v>
      </c>
      <c r="QF12" s="336">
        <v>0</v>
      </c>
      <c r="QG12" s="336">
        <v>23742611</v>
      </c>
      <c r="QH12" s="336">
        <v>0</v>
      </c>
      <c r="QI12" s="336">
        <v>0</v>
      </c>
      <c r="QJ12" s="336">
        <v>0</v>
      </c>
      <c r="QK12" s="336">
        <v>9420008</v>
      </c>
      <c r="QL12" s="336">
        <v>0</v>
      </c>
      <c r="QM12" s="336">
        <v>0</v>
      </c>
      <c r="QN12" s="336">
        <v>0</v>
      </c>
      <c r="QO12" s="336">
        <v>0</v>
      </c>
      <c r="QP12" s="336">
        <v>0</v>
      </c>
      <c r="QQ12" s="336">
        <v>0</v>
      </c>
      <c r="QR12" s="336">
        <v>0</v>
      </c>
      <c r="QS12" s="336">
        <v>0</v>
      </c>
      <c r="QT12" s="336">
        <v>1368702</v>
      </c>
      <c r="QU12" s="336">
        <v>0</v>
      </c>
      <c r="QV12" s="336">
        <v>0</v>
      </c>
      <c r="QW12" s="336">
        <v>0</v>
      </c>
      <c r="QX12" s="336">
        <v>0</v>
      </c>
      <c r="QY12" s="336">
        <v>0</v>
      </c>
      <c r="QZ12" s="336">
        <v>0</v>
      </c>
      <c r="RA12" s="336">
        <v>0</v>
      </c>
      <c r="RB12" s="336">
        <v>0</v>
      </c>
      <c r="RC12" s="336">
        <v>0</v>
      </c>
      <c r="RD12" s="336">
        <v>0</v>
      </c>
      <c r="RE12" s="336">
        <v>0</v>
      </c>
      <c r="RF12" s="336">
        <v>0</v>
      </c>
      <c r="RG12" s="336">
        <v>0</v>
      </c>
      <c r="RH12" s="336">
        <v>0</v>
      </c>
      <c r="RI12" s="336">
        <v>0</v>
      </c>
      <c r="RJ12" s="336">
        <v>0</v>
      </c>
      <c r="RK12" s="336">
        <v>0</v>
      </c>
      <c r="RL12" s="336">
        <v>0</v>
      </c>
      <c r="RM12" s="336">
        <v>0</v>
      </c>
      <c r="RN12" s="336">
        <v>0</v>
      </c>
      <c r="RO12" s="336">
        <v>-24106391</v>
      </c>
      <c r="RP12" s="336">
        <v>0</v>
      </c>
      <c r="RQ12" s="336">
        <v>0</v>
      </c>
      <c r="RR12" s="336">
        <v>0</v>
      </c>
      <c r="RS12" s="336">
        <v>0</v>
      </c>
      <c r="RT12" s="336">
        <v>0</v>
      </c>
      <c r="RU12" s="336">
        <v>0</v>
      </c>
      <c r="RV12" s="336">
        <v>0</v>
      </c>
      <c r="RW12" s="336">
        <v>0</v>
      </c>
      <c r="RX12" s="336">
        <v>66462912</v>
      </c>
      <c r="RY12" s="336">
        <v>0</v>
      </c>
      <c r="RZ12" s="336">
        <v>0</v>
      </c>
      <c r="SA12" s="336">
        <v>0</v>
      </c>
      <c r="SB12" s="336">
        <v>0</v>
      </c>
      <c r="SC12" s="336">
        <v>0</v>
      </c>
      <c r="SD12" s="336">
        <v>0</v>
      </c>
      <c r="SE12" s="336">
        <v>0</v>
      </c>
      <c r="SF12" s="336">
        <v>0</v>
      </c>
      <c r="SG12" s="336">
        <v>0</v>
      </c>
      <c r="SH12" s="336">
        <v>0</v>
      </c>
      <c r="SI12" s="336">
        <v>0</v>
      </c>
      <c r="SJ12" s="336">
        <v>0</v>
      </c>
      <c r="SK12" s="336">
        <v>0</v>
      </c>
      <c r="SL12" s="336">
        <v>0</v>
      </c>
      <c r="SM12" s="336">
        <v>0</v>
      </c>
      <c r="SN12" s="336">
        <v>0</v>
      </c>
      <c r="SO12" s="336">
        <v>0</v>
      </c>
      <c r="SP12" s="336">
        <v>12750</v>
      </c>
      <c r="SQ12" s="336">
        <v>5731</v>
      </c>
      <c r="SR12" s="336">
        <v>473235</v>
      </c>
      <c r="SS12" s="336">
        <v>292554</v>
      </c>
      <c r="ST12" s="336">
        <v>4496877</v>
      </c>
      <c r="SU12" s="336">
        <v>0</v>
      </c>
      <c r="SV12" s="336">
        <v>0</v>
      </c>
      <c r="SW12" s="336">
        <v>-6004444</v>
      </c>
      <c r="SX12" s="336">
        <v>0</v>
      </c>
      <c r="SY12" s="336">
        <v>0</v>
      </c>
      <c r="SZ12" s="336" t="s">
        <v>1420</v>
      </c>
      <c r="TA12" s="336" t="s">
        <v>1420</v>
      </c>
      <c r="TB12" s="336" t="s">
        <v>1420</v>
      </c>
      <c r="TC12" s="336">
        <v>12357</v>
      </c>
      <c r="TD12" s="336">
        <v>2866867</v>
      </c>
      <c r="TE12" s="336">
        <v>467897</v>
      </c>
      <c r="TF12" s="336">
        <v>0</v>
      </c>
      <c r="TG12" s="336">
        <v>1139630</v>
      </c>
      <c r="TH12" s="336">
        <v>81990</v>
      </c>
      <c r="TI12" s="336">
        <v>281440</v>
      </c>
      <c r="TJ12" s="336">
        <v>125663</v>
      </c>
      <c r="TK12" s="336">
        <v>0</v>
      </c>
      <c r="TL12" s="336">
        <v>292553</v>
      </c>
      <c r="TM12" s="336">
        <v>0</v>
      </c>
      <c r="TN12" s="336">
        <v>0</v>
      </c>
      <c r="TO12" s="336">
        <v>1169995</v>
      </c>
      <c r="TP12" s="336">
        <v>0</v>
      </c>
      <c r="TQ12" s="336">
        <v>0</v>
      </c>
      <c r="TR12" s="336">
        <v>0</v>
      </c>
      <c r="TS12" s="336">
        <v>0</v>
      </c>
      <c r="TT12" s="336">
        <v>0</v>
      </c>
      <c r="TU12" s="336">
        <v>0</v>
      </c>
      <c r="TV12" s="336">
        <v>0</v>
      </c>
      <c r="TW12" s="336">
        <v>0</v>
      </c>
      <c r="TX12" s="336">
        <v>0</v>
      </c>
      <c r="TY12" s="336">
        <v>0</v>
      </c>
      <c r="TZ12" s="336">
        <v>0</v>
      </c>
      <c r="UA12" s="336">
        <v>0</v>
      </c>
      <c r="UB12" s="336">
        <v>0</v>
      </c>
      <c r="UC12" s="336">
        <v>0</v>
      </c>
      <c r="UD12" s="336">
        <v>0</v>
      </c>
      <c r="UE12" s="336">
        <v>0</v>
      </c>
      <c r="UF12" s="336">
        <v>0</v>
      </c>
      <c r="UG12" s="336">
        <v>0</v>
      </c>
      <c r="UH12" s="336">
        <v>54869097</v>
      </c>
      <c r="UI12" s="336">
        <v>27260494</v>
      </c>
      <c r="UJ12" s="336">
        <v>15766134</v>
      </c>
      <c r="UK12" s="336">
        <v>0</v>
      </c>
      <c r="UL12" s="336">
        <v>33173361</v>
      </c>
      <c r="UM12" s="336">
        <v>25230363</v>
      </c>
      <c r="UN12" s="336">
        <v>29441566</v>
      </c>
      <c r="UO12" s="336">
        <v>28945334</v>
      </c>
      <c r="UP12" s="336">
        <v>19797287</v>
      </c>
      <c r="UQ12" s="336">
        <v>34738490</v>
      </c>
      <c r="UR12"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5268397</v>
      </c>
      <c r="US12" s="338">
        <f>SUM(Input[[#This Row],[Oth Exp E&amp;G]],Input[[#This Row],[Oth Exp Desg]],Input[[#This Row],[Oth Exp Aux]],Input[[#This Row],[Oth Exp R Exp]],Input[[#This Row],[Oth Exp Loan]],Input[[#This Row],[Oth Exp Annuity]],Input[[#This Row],[Oth Exp Unexp]],Input[[#This Row],[Oth Exp R of Ind]],Input[[#This Row],[Oth Exp Inv in P]])</f>
        <v>916029</v>
      </c>
      <c r="UT12" s="336">
        <v>39946291</v>
      </c>
      <c r="UU12" s="336">
        <v>33162619</v>
      </c>
      <c r="UV12" s="339" t="s">
        <v>1432</v>
      </c>
      <c r="UW12" s="340">
        <v>9798459761</v>
      </c>
      <c r="UX12" s="339" t="s">
        <v>1433</v>
      </c>
      <c r="UY12" s="339" t="s">
        <v>1437</v>
      </c>
      <c r="UZ12" s="340">
        <v>9362611907</v>
      </c>
      <c r="VA12" s="339" t="s">
        <v>1438</v>
      </c>
      <c r="VB12" s="341" cm="1">
        <f t="array" ref="VB12">IFERROR(_xlfn.IFS(Input[[#This Row],[Type]]="HRI",VLOOKUP(Input[[#This Row],[Institution Name]],FTSEHRI[],9,FALSE),Input[[#This Row],[Type]]="UNIV",VLOOKUP(Input[[#This Row],[Institution Name]],FTSEUNIV[],9,FALSE),OR(Input[[#This Row],[Type]]="TSTC",Input[[#This Row],[Type]]="LSC"),VLOOKUP(Input[[#This Row],[Institution Name]],FTSETSTC[],8,FALSE)),"N/A")</f>
        <v>8505.59</v>
      </c>
      <c r="VC12" s="342" t="str" cm="1">
        <f t="array" ref="VC12">IFERROR(_xlfn.IFS(Input[[#This Row],[Type]]="HRI",VLOOKUP(Input[[#This Row],[Institution Name]],FTSEHRI[],11,FALSE),Input[[#This Row],[Type]]="UNIV",VLOOKUP(Input[[#This Row],[Institution Name]],FTSEUNIV[],11,FALSE),Input[[#This Row],[Type]]="TSTC",VLOOKUP(Input[[#This Row],[Institution Name]],FTSETSTC[],10,FALSE)),"N/A")</f>
        <v>N/A</v>
      </c>
      <c r="VD12"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89604927</v>
      </c>
      <c r="VE12"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32552500</v>
      </c>
      <c r="VF12" s="338">
        <f>SUM(Input[[#This Row],[Fed G&amp;C E&amp;G]],Input[[#This Row],[Fed G&amp;C Desg]],Input[[#This Row],[Fed G&amp;C R Exp]],Input[[#This Row],[Fed G&amp;C Loan]],Input[[#This Row],[Fed G&amp;C Annuity]],Input[[#This Row],[Fed G&amp;C Unexp]],Input[[#This Row],[Fed G&amp;C R of Ind]],Input[[#This Row],[Fed G&amp;C Inv in P]])</f>
        <v>92140293</v>
      </c>
      <c r="VG12"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30728129</v>
      </c>
      <c r="VH12"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34837888</v>
      </c>
      <c r="VI12"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13467797</v>
      </c>
      <c r="VJ12" s="338">
        <f>SUM(Input[[#This Row],[Oth Inc E&amp;G]],Input[[#This Row],[Oth Exp Desg]],Input[[#This Row],[Oth Exp R Exp]],Input[[#This Row],[Oth Exp Loan]],Input[[#This Row],[Oth Exp Annuity]],Input[[#This Row],[Oth Exp Unexp]],Input[[#This Row],[Oth Exp R of Ind]],Input[[#This Row],[Oth Exp Inv in P]])</f>
        <v>2359285</v>
      </c>
      <c r="VK12" s="343">
        <f>SUM(Input[[#This Row],[Instr E&amp;G]],Input[[#This Row],[Instr Desg]],Input[[#This Row],[Instr R Exp]],Input[[#This Row],[Instr Loan]],Input[[#This Row],[Instr Annuity]],Input[[#This Row],[Instr Unexp]],Input[[#This Row],[Instr R of Ind]],Input[[#This Row],[Instr Inv in P]])</f>
        <v>54869097</v>
      </c>
      <c r="VL12" s="343">
        <f>SUM(Input[[#This Row],[Res E&amp;G]],Input[[#This Row],[Res Desg]],Input[[#This Row],[Res R Exp]],Input[[#This Row],[Res Loan]],Input[[#This Row],[Res Annuity]],Input[[#This Row],[Res Unexp]],Input[[#This Row],[Res R of Ind]],Input[[#This Row],[Res Inv in P]])</f>
        <v>27260494</v>
      </c>
      <c r="VM12" s="343">
        <f>SUM(Input[[#This Row],[Acad Sup E&amp;G]],Input[[#This Row],[Acad Sup Desg]],Input[[#This Row],[Acad Sup R Exp]],Input[[#This Row],[Acad Sup Loan]],Input[[#This Row],[Acad Sup Annuity]],Input[[#This Row],[Acad Sup Unexp]],Input[[#This Row],[Acad Sup R of Ind]],Input[[#This Row],[Acad Sup Inv in P]])</f>
        <v>33173361</v>
      </c>
      <c r="VN12" s="343">
        <f>SUM(Input[[#This Row],[Stu Svc E&amp;G]],Input[[#This Row],[Stu Svc Desg]],Input[[#This Row],[Stu Svc R Exp]],Input[[#This Row],[Stu Svc Loan]],Input[[#This Row],[Stu Svc Annuity]],Input[[#This Row],[Stu Svc Unexp]],Input[[#This Row],[Stu Svc R of Ind]],Input[[#This Row],[Stu Svc Inv in P]])</f>
        <v>25230363</v>
      </c>
      <c r="VO12" s="343">
        <f>SUM(Input[[#This Row],[Inst. Spt E&amp;G]],Input[[#This Row],[Inst. Spt Desg]],Input[[#This Row],[Inst. Spt R Exp]],Input[[#This Row],[Inst. Spt Loan]],Input[[#This Row],[Inst. Spt Annuity]],Input[[#This Row],[Inst. Spt Unexp]],Input[[#This Row],[Inst. Spt R of Ind]],Input[[#This Row],[Inst. Spt Inv in P]])</f>
        <v>29441566</v>
      </c>
      <c r="VP12" s="343">
        <f>SUM(Input[[#This Row],[M&amp;O Plnt E&amp;G]],Input[[#This Row],[M&amp;O Plnt Desg]],Input[[#This Row],[M&amp;O Plnt R Exp]],Input[[#This Row],[M&amp;O Plnt Loan]],Input[[#This Row],[M&amp;O Plnt Annuity]],Input[[#This Row],[M&amp;O Plnt Unexp]],Input[[#This Row],[M&amp;O Plnt R of Ind]],Input[[#This Row],[M&amp;O Plnt Inv in P]])</f>
        <v>28945334</v>
      </c>
      <c r="VQ12" s="343">
        <f>SUM(Input[[#This Row],[Schl &amp; Fell E&amp;G]],Input[[#This Row],[Schl &amp; Fell Desg]],Input[[#This Row],[Schl &amp; Fell R Exp]],Input[[#This Row],[Schl &amp; Fell Loan]],Input[[#This Row],[Schl &amp; Fell Annuity]],Input[[#This Row],[Schl &amp; Fell Unexp]],Input[[#This Row],[Schl &amp; Fell R of Ind]],Input[[#This Row],[Schl &amp; Fell Inv in P]])</f>
        <v>19797287</v>
      </c>
      <c r="VR12" s="343">
        <f>SUM(Input[[#This Row],[Cap Out fund E&amp;G]],Input[[#This Row],[Cap Out fund Desg]],Input[[#This Row],[Cap Out fund R Exp]],Input[[#This Row],[Cap Out fund Loan]],Input[[#This Row],[Cap Out fund Annuity]],Input[[#This Row],[Cap Out fund Unexp]],Input[[#This Row],[Cap Out fund R of Ind]],Input[[#This Row],[Cap Out fund Inv in P]])</f>
        <v>4975843</v>
      </c>
      <c r="VS12" s="343">
        <f>SUM(Input[[#This Row],[Oth Exp E&amp;G]],Input[[#This Row],[Oth Exp Desg]],Input[[#This Row],[Oth Exp R Exp]],Input[[#This Row],[Oth Exp Loan]],Input[[#This Row],[Oth Exp Annuity]],Input[[#This Row],[Oth Exp Unexp]],Input[[#This Row],[Oth Exp R of Ind]],Input[[#This Row],[Oth Exp Inv in P]],Input[[#This Row],[Oth Exp Inv in P]])</f>
        <v>934707</v>
      </c>
    </row>
    <row r="13" spans="1:591" s="344" customFormat="1" ht="27" customHeight="1" x14ac:dyDescent="0.55000000000000004">
      <c r="A13" s="339" t="s">
        <v>82</v>
      </c>
      <c r="B13" s="334" t="s">
        <v>825</v>
      </c>
      <c r="C13" s="334" t="s">
        <v>21</v>
      </c>
      <c r="D13" s="334">
        <v>281</v>
      </c>
      <c r="E13" s="334" t="s">
        <v>1623</v>
      </c>
      <c r="F13" s="335">
        <v>3606</v>
      </c>
      <c r="G13" s="336">
        <v>94724373</v>
      </c>
      <c r="H13" s="336">
        <v>0</v>
      </c>
      <c r="I13" s="336">
        <v>0</v>
      </c>
      <c r="J13" s="336">
        <v>0</v>
      </c>
      <c r="K13" s="336">
        <v>0</v>
      </c>
      <c r="L13" s="336">
        <v>0</v>
      </c>
      <c r="M13" s="336">
        <v>0</v>
      </c>
      <c r="N13" s="336">
        <v>0</v>
      </c>
      <c r="O13" s="336">
        <v>0</v>
      </c>
      <c r="P13" s="336">
        <v>-1212585</v>
      </c>
      <c r="Q13" s="336">
        <v>0</v>
      </c>
      <c r="R13" s="336">
        <v>0</v>
      </c>
      <c r="S13" s="336">
        <v>26169703</v>
      </c>
      <c r="T13" s="336">
        <v>0</v>
      </c>
      <c r="U13" s="336">
        <v>0</v>
      </c>
      <c r="V13" s="336">
        <v>0</v>
      </c>
      <c r="W13" s="336">
        <v>0</v>
      </c>
      <c r="X13" s="336">
        <v>0</v>
      </c>
      <c r="Y13" s="336">
        <v>18787013</v>
      </c>
      <c r="Z13" s="336">
        <v>0</v>
      </c>
      <c r="AA13" s="336">
        <v>0</v>
      </c>
      <c r="AB13" s="336">
        <v>0</v>
      </c>
      <c r="AC13" s="336">
        <v>0</v>
      </c>
      <c r="AD13" s="336">
        <v>0</v>
      </c>
      <c r="AE13" s="336">
        <v>0</v>
      </c>
      <c r="AF13" s="336">
        <v>0</v>
      </c>
      <c r="AG13" s="336">
        <v>0</v>
      </c>
      <c r="AH13" s="336">
        <v>0</v>
      </c>
      <c r="AI13" s="336">
        <v>0</v>
      </c>
      <c r="AJ13" s="336">
        <v>0</v>
      </c>
      <c r="AK13" s="336">
        <v>0</v>
      </c>
      <c r="AL13" s="336">
        <v>0</v>
      </c>
      <c r="AM13" s="336">
        <v>0</v>
      </c>
      <c r="AN13" s="336">
        <v>0</v>
      </c>
      <c r="AO13" s="336">
        <v>0</v>
      </c>
      <c r="AP13" s="336">
        <v>0</v>
      </c>
      <c r="AQ13" s="336">
        <v>0</v>
      </c>
      <c r="AR13" s="336">
        <v>0</v>
      </c>
      <c r="AS13" s="336">
        <v>0</v>
      </c>
      <c r="AT13" s="336">
        <v>0</v>
      </c>
      <c r="AU13" s="336">
        <v>0</v>
      </c>
      <c r="AV13" s="336">
        <v>0</v>
      </c>
      <c r="AW13" s="336">
        <v>0</v>
      </c>
      <c r="AX13" s="336">
        <v>0</v>
      </c>
      <c r="AY13" s="336">
        <v>0</v>
      </c>
      <c r="AZ13" s="336">
        <v>0</v>
      </c>
      <c r="BA13" s="336">
        <v>0</v>
      </c>
      <c r="BB13" s="336">
        <v>0</v>
      </c>
      <c r="BC13" s="336">
        <v>0</v>
      </c>
      <c r="BD13" s="336">
        <v>0</v>
      </c>
      <c r="BE13" s="336">
        <v>0</v>
      </c>
      <c r="BF13" s="336">
        <v>0</v>
      </c>
      <c r="BG13" s="336">
        <v>0</v>
      </c>
      <c r="BH13" s="336">
        <v>0</v>
      </c>
      <c r="BI13" s="336">
        <v>0</v>
      </c>
      <c r="BJ13" s="336">
        <v>0</v>
      </c>
      <c r="BK13" s="336">
        <v>0</v>
      </c>
      <c r="BL13" s="336">
        <v>0</v>
      </c>
      <c r="BM13" s="336">
        <v>0</v>
      </c>
      <c r="BN13" s="336">
        <v>0</v>
      </c>
      <c r="BO13" s="336">
        <v>0</v>
      </c>
      <c r="BP13" s="336">
        <v>0</v>
      </c>
      <c r="BQ13" s="336">
        <v>0</v>
      </c>
      <c r="BR13" s="336">
        <v>0</v>
      </c>
      <c r="BS13" s="336">
        <v>0</v>
      </c>
      <c r="BT13" s="336">
        <v>0</v>
      </c>
      <c r="BU13" s="336">
        <v>0</v>
      </c>
      <c r="BV13" s="336">
        <v>0</v>
      </c>
      <c r="BW13" s="336">
        <v>0</v>
      </c>
      <c r="BX13" s="336">
        <v>0</v>
      </c>
      <c r="BY13" s="336">
        <v>0</v>
      </c>
      <c r="BZ13" s="336">
        <v>0</v>
      </c>
      <c r="CA13" s="336">
        <v>36951982</v>
      </c>
      <c r="CB13" s="336">
        <v>104749957</v>
      </c>
      <c r="CC13" s="336">
        <v>0</v>
      </c>
      <c r="CD13" s="336">
        <v>0</v>
      </c>
      <c r="CE13" s="336">
        <v>0</v>
      </c>
      <c r="CF13" s="336">
        <v>0</v>
      </c>
      <c r="CG13" s="336">
        <v>0</v>
      </c>
      <c r="CH13" s="336">
        <v>0</v>
      </c>
      <c r="CI13" s="336">
        <v>0</v>
      </c>
      <c r="CJ13" s="336">
        <v>-3315698</v>
      </c>
      <c r="CK13" s="336">
        <v>-644519</v>
      </c>
      <c r="CL13" s="336">
        <v>0</v>
      </c>
      <c r="CM13" s="336">
        <v>0</v>
      </c>
      <c r="CN13" s="336">
        <v>0</v>
      </c>
      <c r="CO13" s="336">
        <v>0</v>
      </c>
      <c r="CP13" s="336">
        <v>0</v>
      </c>
      <c r="CQ13" s="336">
        <v>0</v>
      </c>
      <c r="CR13" s="336">
        <v>0</v>
      </c>
      <c r="CS13" s="336">
        <v>0</v>
      </c>
      <c r="CT13" s="336">
        <v>0</v>
      </c>
      <c r="CU13" s="336">
        <v>0</v>
      </c>
      <c r="CV13" s="336">
        <v>0</v>
      </c>
      <c r="CW13" s="336">
        <v>0</v>
      </c>
      <c r="CX13" s="336">
        <v>0</v>
      </c>
      <c r="CY13" s="336">
        <v>0</v>
      </c>
      <c r="CZ13" s="336">
        <v>0</v>
      </c>
      <c r="DA13" s="336">
        <v>0</v>
      </c>
      <c r="DB13" s="336">
        <v>-8234234</v>
      </c>
      <c r="DC13" s="336">
        <v>-3917117</v>
      </c>
      <c r="DD13" s="336">
        <v>0</v>
      </c>
      <c r="DE13" s="336">
        <v>0</v>
      </c>
      <c r="DF13" s="336">
        <v>0</v>
      </c>
      <c r="DG13" s="336">
        <v>0</v>
      </c>
      <c r="DH13" s="336">
        <v>0</v>
      </c>
      <c r="DI13" s="336">
        <v>0</v>
      </c>
      <c r="DJ13" s="336">
        <v>0</v>
      </c>
      <c r="DK13" s="336">
        <v>0</v>
      </c>
      <c r="DL13" s="336">
        <v>0</v>
      </c>
      <c r="DM13" s="336">
        <v>0</v>
      </c>
      <c r="DN13" s="336">
        <v>0</v>
      </c>
      <c r="DO13" s="336">
        <v>0</v>
      </c>
      <c r="DP13" s="336">
        <v>0</v>
      </c>
      <c r="DQ13" s="336">
        <v>0</v>
      </c>
      <c r="DR13" s="336">
        <v>0</v>
      </c>
      <c r="DS13" s="336">
        <v>0</v>
      </c>
      <c r="DT13" s="336">
        <v>0</v>
      </c>
      <c r="DU13" s="336">
        <v>-54117718</v>
      </c>
      <c r="DV13" s="336">
        <v>0</v>
      </c>
      <c r="DW13" s="336">
        <v>0</v>
      </c>
      <c r="DX13" s="336">
        <v>0</v>
      </c>
      <c r="DY13" s="336">
        <v>0</v>
      </c>
      <c r="DZ13" s="336">
        <v>0</v>
      </c>
      <c r="EA13" s="336">
        <v>0</v>
      </c>
      <c r="EB13" s="336">
        <v>0</v>
      </c>
      <c r="EC13" s="336">
        <v>0</v>
      </c>
      <c r="ED13" s="336">
        <v>0</v>
      </c>
      <c r="EE13" s="336">
        <v>0</v>
      </c>
      <c r="EF13" s="336">
        <v>0</v>
      </c>
      <c r="EG13" s="336">
        <v>0</v>
      </c>
      <c r="EH13" s="336">
        <v>0</v>
      </c>
      <c r="EI13" s="336">
        <v>0</v>
      </c>
      <c r="EJ13" s="336">
        <v>0</v>
      </c>
      <c r="EK13" s="336">
        <v>0</v>
      </c>
      <c r="EL13" s="336">
        <v>0</v>
      </c>
      <c r="EM13" s="336">
        <v>0</v>
      </c>
      <c r="EN13" s="336">
        <v>0</v>
      </c>
      <c r="EO13" s="336">
        <v>0</v>
      </c>
      <c r="EP13" s="336">
        <v>0</v>
      </c>
      <c r="EQ13" s="336">
        <v>0</v>
      </c>
      <c r="ER13" s="336">
        <v>0</v>
      </c>
      <c r="ES13" s="336">
        <v>0</v>
      </c>
      <c r="ET13" s="336">
        <v>0</v>
      </c>
      <c r="EU13" s="336">
        <v>0</v>
      </c>
      <c r="EV13" s="336">
        <v>0</v>
      </c>
      <c r="EW13" s="336">
        <v>0</v>
      </c>
      <c r="EX13" s="336">
        <v>0</v>
      </c>
      <c r="EY13" s="336">
        <v>0</v>
      </c>
      <c r="EZ13" s="336">
        <v>0</v>
      </c>
      <c r="FA13" s="336">
        <v>0</v>
      </c>
      <c r="FB13" s="336">
        <v>0</v>
      </c>
      <c r="FC13" s="336">
        <v>0</v>
      </c>
      <c r="FD13" s="336">
        <v>0</v>
      </c>
      <c r="FE13" s="336">
        <v>0</v>
      </c>
      <c r="FF13" s="336">
        <v>0</v>
      </c>
      <c r="FG13" s="336">
        <v>0</v>
      </c>
      <c r="FH13" s="336">
        <v>0</v>
      </c>
      <c r="FI13" s="336">
        <v>0</v>
      </c>
      <c r="FJ13" s="336">
        <v>0</v>
      </c>
      <c r="FK13" s="336">
        <v>0</v>
      </c>
      <c r="FL13" s="336">
        <v>0</v>
      </c>
      <c r="FM13" s="336">
        <v>439377</v>
      </c>
      <c r="FN13" s="336">
        <v>93802414</v>
      </c>
      <c r="FO13" s="336">
        <v>10475358</v>
      </c>
      <c r="FP13" s="336">
        <v>0</v>
      </c>
      <c r="FQ13" s="336">
        <v>0</v>
      </c>
      <c r="FR13" s="336">
        <v>0</v>
      </c>
      <c r="FS13" s="336">
        <v>0</v>
      </c>
      <c r="FT13" s="336">
        <v>0</v>
      </c>
      <c r="FU13" s="336">
        <v>0</v>
      </c>
      <c r="FV13" s="336">
        <v>0</v>
      </c>
      <c r="FW13" s="336">
        <v>0</v>
      </c>
      <c r="FX13" s="336">
        <v>0</v>
      </c>
      <c r="FY13" s="336">
        <v>0</v>
      </c>
      <c r="FZ13" s="336">
        <v>0</v>
      </c>
      <c r="GA13" s="336">
        <v>0</v>
      </c>
      <c r="GB13" s="336">
        <v>0</v>
      </c>
      <c r="GC13" s="336">
        <v>0</v>
      </c>
      <c r="GD13" s="336">
        <v>0</v>
      </c>
      <c r="GE13" s="336">
        <v>0</v>
      </c>
      <c r="GF13" s="336">
        <v>0</v>
      </c>
      <c r="GG13" s="336">
        <v>0</v>
      </c>
      <c r="GH13" s="336">
        <v>0</v>
      </c>
      <c r="GI13" s="336">
        <v>0</v>
      </c>
      <c r="GJ13" s="336">
        <v>0</v>
      </c>
      <c r="GK13" s="336">
        <v>0</v>
      </c>
      <c r="GL13" s="336">
        <v>0</v>
      </c>
      <c r="GM13" s="336">
        <v>0</v>
      </c>
      <c r="GN13" s="336">
        <v>0</v>
      </c>
      <c r="GO13" s="336">
        <v>-6906741</v>
      </c>
      <c r="GP13" s="336">
        <v>-215451</v>
      </c>
      <c r="GQ13" s="336">
        <v>0</v>
      </c>
      <c r="GR13" s="336">
        <v>0</v>
      </c>
      <c r="GS13" s="336">
        <v>0</v>
      </c>
      <c r="GT13" s="336">
        <v>0</v>
      </c>
      <c r="GU13" s="336">
        <v>0</v>
      </c>
      <c r="GV13" s="336">
        <v>0</v>
      </c>
      <c r="GW13" s="336">
        <v>0</v>
      </c>
      <c r="GX13" s="336">
        <v>0</v>
      </c>
      <c r="GY13" s="336">
        <v>0</v>
      </c>
      <c r="GZ13" s="336">
        <v>0</v>
      </c>
      <c r="HA13" s="336">
        <v>0</v>
      </c>
      <c r="HB13" s="336">
        <v>0</v>
      </c>
      <c r="HC13" s="336">
        <v>0</v>
      </c>
      <c r="HD13" s="336">
        <v>0</v>
      </c>
      <c r="HE13" s="336">
        <v>0</v>
      </c>
      <c r="HF13" s="336">
        <v>0</v>
      </c>
      <c r="HG13" s="336">
        <v>0</v>
      </c>
      <c r="HH13" s="336">
        <v>0</v>
      </c>
      <c r="HI13" s="336">
        <v>0</v>
      </c>
      <c r="HJ13" s="336">
        <v>0</v>
      </c>
      <c r="HK13" s="336">
        <v>0</v>
      </c>
      <c r="HL13" s="336">
        <v>0</v>
      </c>
      <c r="HM13" s="336">
        <v>0</v>
      </c>
      <c r="HN13" s="336">
        <v>0</v>
      </c>
      <c r="HO13" s="336">
        <v>0</v>
      </c>
      <c r="HP13" s="336">
        <v>0</v>
      </c>
      <c r="HQ13" s="336">
        <v>0</v>
      </c>
      <c r="HR13" s="336">
        <v>62168828</v>
      </c>
      <c r="HS13" s="336">
        <v>0</v>
      </c>
      <c r="HT13" s="336">
        <v>0</v>
      </c>
      <c r="HU13" s="336">
        <v>0</v>
      </c>
      <c r="HV13" s="336">
        <v>0</v>
      </c>
      <c r="HW13" s="336">
        <v>0</v>
      </c>
      <c r="HX13" s="336">
        <v>0</v>
      </c>
      <c r="HY13" s="336">
        <v>0</v>
      </c>
      <c r="HZ13" s="336">
        <v>0</v>
      </c>
      <c r="IA13" s="336">
        <v>0</v>
      </c>
      <c r="IB13" s="336">
        <v>0</v>
      </c>
      <c r="IC13" s="336">
        <v>0</v>
      </c>
      <c r="ID13" s="336">
        <v>0</v>
      </c>
      <c r="IE13" s="336">
        <v>0</v>
      </c>
      <c r="IF13" s="336">
        <v>0</v>
      </c>
      <c r="IG13" s="336">
        <v>0</v>
      </c>
      <c r="IH13" s="336">
        <v>0</v>
      </c>
      <c r="II13" s="336">
        <v>0</v>
      </c>
      <c r="IJ13" s="336">
        <v>0</v>
      </c>
      <c r="IK13" s="336">
        <v>0</v>
      </c>
      <c r="IL13" s="336">
        <v>0</v>
      </c>
      <c r="IM13" s="336">
        <v>0</v>
      </c>
      <c r="IN13" s="336">
        <v>0</v>
      </c>
      <c r="IO13" s="336">
        <v>0</v>
      </c>
      <c r="IP13" s="336">
        <v>0</v>
      </c>
      <c r="IQ13" s="336">
        <v>8627729</v>
      </c>
      <c r="IR13" s="336">
        <v>13310</v>
      </c>
      <c r="IS13" s="336">
        <v>0</v>
      </c>
      <c r="IT13" s="336">
        <v>0</v>
      </c>
      <c r="IU13" s="336">
        <v>2499485</v>
      </c>
      <c r="IV13" s="336">
        <v>0</v>
      </c>
      <c r="IW13" s="336">
        <v>0</v>
      </c>
      <c r="IX13" s="336">
        <v>0</v>
      </c>
      <c r="IY13" s="336">
        <v>0</v>
      </c>
      <c r="IZ13" s="336">
        <v>0</v>
      </c>
      <c r="JA13" s="336">
        <v>0</v>
      </c>
      <c r="JB13" s="336">
        <v>5304601</v>
      </c>
      <c r="JC13" s="336">
        <v>0</v>
      </c>
      <c r="JD13" s="336">
        <v>0</v>
      </c>
      <c r="JE13" s="336">
        <v>0</v>
      </c>
      <c r="JF13" s="336">
        <v>0</v>
      </c>
      <c r="JG13" s="336">
        <v>0</v>
      </c>
      <c r="JH13" s="336">
        <v>0</v>
      </c>
      <c r="JI13" s="336">
        <v>93146</v>
      </c>
      <c r="JJ13" s="336">
        <v>358100</v>
      </c>
      <c r="JK13" s="336">
        <v>6951411</v>
      </c>
      <c r="JL13" s="336">
        <v>0</v>
      </c>
      <c r="JM13" s="336">
        <v>4916392</v>
      </c>
      <c r="JN13" s="336">
        <v>0</v>
      </c>
      <c r="JO13" s="336">
        <v>0</v>
      </c>
      <c r="JP13" s="336">
        <v>0</v>
      </c>
      <c r="JQ13" s="336">
        <v>155544</v>
      </c>
      <c r="JR13" s="336">
        <v>2111618</v>
      </c>
      <c r="JS13" s="336">
        <v>561877</v>
      </c>
      <c r="JT13" s="336">
        <v>1104208</v>
      </c>
      <c r="JU13" s="336">
        <v>0</v>
      </c>
      <c r="JV13" s="336">
        <v>8000</v>
      </c>
      <c r="JW13" s="336">
        <v>0</v>
      </c>
      <c r="JX13" s="336">
        <v>0</v>
      </c>
      <c r="JY13" s="336">
        <v>0</v>
      </c>
      <c r="JZ13" s="336">
        <v>0</v>
      </c>
      <c r="KA13" s="336">
        <v>26692</v>
      </c>
      <c r="KB13" s="336">
        <v>50851334</v>
      </c>
      <c r="KC13" s="336">
        <v>726940</v>
      </c>
      <c r="KD13" s="336">
        <v>0</v>
      </c>
      <c r="KE13" s="336">
        <v>0</v>
      </c>
      <c r="KF13" s="336">
        <v>0</v>
      </c>
      <c r="KG13" s="336">
        <v>0</v>
      </c>
      <c r="KH13" s="336">
        <v>0</v>
      </c>
      <c r="KI13" s="336">
        <v>4490836</v>
      </c>
      <c r="KJ13" s="336">
        <v>694497</v>
      </c>
      <c r="KK13" s="336">
        <v>1985439</v>
      </c>
      <c r="KL13" s="336">
        <v>2614902</v>
      </c>
      <c r="KM13" s="336">
        <v>-167604</v>
      </c>
      <c r="KN13" s="336">
        <v>0</v>
      </c>
      <c r="KO13" s="336">
        <v>-751109</v>
      </c>
      <c r="KP13" s="336">
        <v>0</v>
      </c>
      <c r="KQ13" s="336">
        <v>0</v>
      </c>
      <c r="KR13" s="336">
        <v>69960512</v>
      </c>
      <c r="KS13" s="336">
        <v>41330579</v>
      </c>
      <c r="KT13" s="336">
        <v>0</v>
      </c>
      <c r="KU13" s="336">
        <v>1640452</v>
      </c>
      <c r="KV13" s="336">
        <v>0</v>
      </c>
      <c r="KW13" s="336">
        <v>0</v>
      </c>
      <c r="KX13" s="336">
        <v>0</v>
      </c>
      <c r="KY13" s="336">
        <v>0</v>
      </c>
      <c r="KZ13" s="336">
        <v>0</v>
      </c>
      <c r="LA13" s="336">
        <v>2259893</v>
      </c>
      <c r="LB13" s="336">
        <v>4568990</v>
      </c>
      <c r="LC13" s="336">
        <v>0</v>
      </c>
      <c r="LD13" s="336">
        <v>7501763</v>
      </c>
      <c r="LE13" s="336">
        <v>0</v>
      </c>
      <c r="LF13" s="336">
        <v>0</v>
      </c>
      <c r="LG13" s="336">
        <v>0</v>
      </c>
      <c r="LH13" s="336">
        <v>0</v>
      </c>
      <c r="LI13" s="336">
        <v>0</v>
      </c>
      <c r="LJ13" s="336">
        <v>9451285</v>
      </c>
      <c r="LK13" s="336">
        <v>859131</v>
      </c>
      <c r="LL13" s="336">
        <v>0</v>
      </c>
      <c r="LM13" s="336">
        <v>8729287</v>
      </c>
      <c r="LN13" s="336">
        <v>0</v>
      </c>
      <c r="LO13" s="336">
        <v>0</v>
      </c>
      <c r="LP13" s="336">
        <v>0</v>
      </c>
      <c r="LQ13" s="336">
        <v>0</v>
      </c>
      <c r="LR13" s="336">
        <v>0</v>
      </c>
      <c r="LS13" s="336">
        <v>0</v>
      </c>
      <c r="LT13" s="336">
        <v>0</v>
      </c>
      <c r="LU13" s="336">
        <v>0</v>
      </c>
      <c r="LV13" s="336">
        <v>0</v>
      </c>
      <c r="LW13" s="336">
        <v>0</v>
      </c>
      <c r="LX13" s="336">
        <v>0</v>
      </c>
      <c r="LY13" s="336">
        <v>0</v>
      </c>
      <c r="LZ13" s="336">
        <v>0</v>
      </c>
      <c r="MA13" s="336">
        <v>0</v>
      </c>
      <c r="MB13" s="336">
        <v>14230488</v>
      </c>
      <c r="MC13" s="336">
        <v>36262136</v>
      </c>
      <c r="MD13" s="336">
        <v>0</v>
      </c>
      <c r="ME13" s="336">
        <v>6509883</v>
      </c>
      <c r="MF13" s="336">
        <v>0</v>
      </c>
      <c r="MG13" s="336">
        <v>0</v>
      </c>
      <c r="MH13" s="336">
        <v>0</v>
      </c>
      <c r="MI13" s="336">
        <v>0</v>
      </c>
      <c r="MJ13" s="336">
        <v>0</v>
      </c>
      <c r="MK13" s="336">
        <v>5193932</v>
      </c>
      <c r="ML13" s="336">
        <v>27141103</v>
      </c>
      <c r="MM13" s="336">
        <v>0</v>
      </c>
      <c r="MN13" s="336">
        <v>300913</v>
      </c>
      <c r="MO13" s="336">
        <v>0</v>
      </c>
      <c r="MP13" s="336">
        <v>0</v>
      </c>
      <c r="MQ13" s="336">
        <v>21704</v>
      </c>
      <c r="MR13" s="336">
        <v>0</v>
      </c>
      <c r="MS13" s="336">
        <v>0</v>
      </c>
      <c r="MT13" s="336">
        <v>7394566</v>
      </c>
      <c r="MU13" s="336">
        <v>22901914</v>
      </c>
      <c r="MV13" s="336">
        <v>0</v>
      </c>
      <c r="MW13" s="336">
        <v>643833</v>
      </c>
      <c r="MX13" s="336">
        <v>0</v>
      </c>
      <c r="MY13" s="336">
        <v>0</v>
      </c>
      <c r="MZ13" s="336">
        <v>0</v>
      </c>
      <c r="NA13" s="336">
        <v>0</v>
      </c>
      <c r="NB13" s="336">
        <v>0</v>
      </c>
      <c r="NC13" s="336">
        <v>11097673</v>
      </c>
      <c r="ND13" s="336">
        <v>14929423</v>
      </c>
      <c r="NE13" s="336">
        <v>-43</v>
      </c>
      <c r="NF13" s="336">
        <v>861514</v>
      </c>
      <c r="NG13" s="336">
        <v>0</v>
      </c>
      <c r="NH13" s="336">
        <v>0</v>
      </c>
      <c r="NI13" s="336">
        <v>0</v>
      </c>
      <c r="NJ13" s="336">
        <v>0</v>
      </c>
      <c r="NK13" s="336">
        <v>1024127</v>
      </c>
      <c r="NL13" s="336">
        <v>5012655</v>
      </c>
      <c r="NM13" s="336">
        <v>7416672</v>
      </c>
      <c r="NN13" s="336">
        <v>443768</v>
      </c>
      <c r="NO13" s="336">
        <v>14746996</v>
      </c>
      <c r="NP13" s="336">
        <v>0</v>
      </c>
      <c r="NQ13" s="336">
        <v>0</v>
      </c>
      <c r="NR13" s="336">
        <v>0</v>
      </c>
      <c r="NS13" s="336">
        <v>0</v>
      </c>
      <c r="NT13" s="336">
        <v>0</v>
      </c>
      <c r="NU13" s="336">
        <v>123984</v>
      </c>
      <c r="NV13" s="336">
        <v>6080639</v>
      </c>
      <c r="NW13" s="336">
        <v>57292014</v>
      </c>
      <c r="NX13" s="336">
        <v>1546148</v>
      </c>
      <c r="NY13" s="336">
        <v>0</v>
      </c>
      <c r="NZ13" s="336">
        <v>0</v>
      </c>
      <c r="OA13" s="336">
        <v>0</v>
      </c>
      <c r="OB13" s="336">
        <v>0</v>
      </c>
      <c r="OC13" s="336">
        <v>0</v>
      </c>
      <c r="OD13" s="336">
        <v>1794948</v>
      </c>
      <c r="OE13" s="336">
        <v>9455832</v>
      </c>
      <c r="OF13" s="336">
        <v>140762</v>
      </c>
      <c r="OG13" s="336">
        <v>632757</v>
      </c>
      <c r="OH13" s="336">
        <v>0</v>
      </c>
      <c r="OI13" s="336">
        <v>0</v>
      </c>
      <c r="OJ13" s="336">
        <v>0</v>
      </c>
      <c r="OK13" s="336">
        <v>0</v>
      </c>
      <c r="OL13" s="336">
        <v>0</v>
      </c>
      <c r="OM13" s="336">
        <v>192037</v>
      </c>
      <c r="ON13" s="336">
        <v>116650</v>
      </c>
      <c r="OO13" s="336">
        <v>0</v>
      </c>
      <c r="OP13" s="336">
        <v>0</v>
      </c>
      <c r="OQ13" s="336">
        <v>0</v>
      </c>
      <c r="OR13" s="336">
        <v>0</v>
      </c>
      <c r="OS13" s="336">
        <v>0</v>
      </c>
      <c r="OT13" s="336">
        <v>0</v>
      </c>
      <c r="OU13" s="336">
        <v>0</v>
      </c>
      <c r="OV13" s="336">
        <v>0</v>
      </c>
      <c r="OW13" s="336">
        <v>0</v>
      </c>
      <c r="OX13" s="336">
        <v>0</v>
      </c>
      <c r="OY13" s="336">
        <v>0</v>
      </c>
      <c r="OZ13" s="336">
        <v>0</v>
      </c>
      <c r="PA13" s="336">
        <v>0</v>
      </c>
      <c r="PB13" s="336">
        <v>-42282640</v>
      </c>
      <c r="PC13" s="336">
        <v>0</v>
      </c>
      <c r="PD13" s="336">
        <v>0</v>
      </c>
      <c r="PE13" s="336">
        <v>-11822573</v>
      </c>
      <c r="PF13" s="336">
        <v>-695742</v>
      </c>
      <c r="PG13" s="336">
        <v>150000</v>
      </c>
      <c r="PH13" s="336">
        <v>5005344</v>
      </c>
      <c r="PI13" s="336">
        <v>0</v>
      </c>
      <c r="PJ13" s="336">
        <v>0</v>
      </c>
      <c r="PK13" s="336">
        <v>-7086590</v>
      </c>
      <c r="PL13" s="336">
        <v>0</v>
      </c>
      <c r="PM13" s="336">
        <v>0</v>
      </c>
      <c r="PN13" s="336">
        <v>0</v>
      </c>
      <c r="PO13" s="336">
        <v>0</v>
      </c>
      <c r="PP13" s="336">
        <v>0</v>
      </c>
      <c r="PQ13" s="336">
        <v>0</v>
      </c>
      <c r="PR13" s="336">
        <v>0</v>
      </c>
      <c r="PS13" s="336">
        <v>0</v>
      </c>
      <c r="PT13" s="336">
        <v>0</v>
      </c>
      <c r="PU13" s="336">
        <v>0</v>
      </c>
      <c r="PV13" s="336">
        <v>0</v>
      </c>
      <c r="PW13" s="336">
        <v>0</v>
      </c>
      <c r="PX13" s="336">
        <v>0</v>
      </c>
      <c r="PY13" s="336">
        <v>0</v>
      </c>
      <c r="PZ13" s="336">
        <v>0</v>
      </c>
      <c r="QA13" s="336">
        <v>0</v>
      </c>
      <c r="QB13" s="336">
        <v>0</v>
      </c>
      <c r="QC13" s="336">
        <v>0</v>
      </c>
      <c r="QD13" s="336">
        <v>0</v>
      </c>
      <c r="QE13" s="336">
        <v>0</v>
      </c>
      <c r="QF13" s="336">
        <v>0</v>
      </c>
      <c r="QG13" s="336">
        <v>9654932</v>
      </c>
      <c r="QH13" s="336">
        <v>0</v>
      </c>
      <c r="QI13" s="336">
        <v>0</v>
      </c>
      <c r="QJ13" s="336">
        <v>0</v>
      </c>
      <c r="QK13" s="336">
        <v>20298201</v>
      </c>
      <c r="QL13" s="336">
        <v>0</v>
      </c>
      <c r="QM13" s="336">
        <v>0</v>
      </c>
      <c r="QN13" s="336">
        <v>0</v>
      </c>
      <c r="QO13" s="336">
        <v>0</v>
      </c>
      <c r="QP13" s="336">
        <v>0</v>
      </c>
      <c r="QQ13" s="336">
        <v>0</v>
      </c>
      <c r="QR13" s="336">
        <v>0</v>
      </c>
      <c r="QS13" s="336">
        <v>0</v>
      </c>
      <c r="QT13" s="336">
        <v>2244993</v>
      </c>
      <c r="QU13" s="336">
        <v>0</v>
      </c>
      <c r="QV13" s="336">
        <v>0</v>
      </c>
      <c r="QW13" s="336">
        <v>0</v>
      </c>
      <c r="QX13" s="336">
        <v>0</v>
      </c>
      <c r="QY13" s="336">
        <v>0</v>
      </c>
      <c r="QZ13" s="336">
        <v>0</v>
      </c>
      <c r="RA13" s="336">
        <v>0</v>
      </c>
      <c r="RB13" s="336">
        <v>0</v>
      </c>
      <c r="RC13" s="336">
        <v>0</v>
      </c>
      <c r="RD13" s="336">
        <v>0</v>
      </c>
      <c r="RE13" s="336">
        <v>0</v>
      </c>
      <c r="RF13" s="336">
        <v>0</v>
      </c>
      <c r="RG13" s="336">
        <v>0</v>
      </c>
      <c r="RH13" s="336">
        <v>0</v>
      </c>
      <c r="RI13" s="336">
        <v>0</v>
      </c>
      <c r="RJ13" s="336">
        <v>0</v>
      </c>
      <c r="RK13" s="336">
        <v>0</v>
      </c>
      <c r="RL13" s="336">
        <v>0</v>
      </c>
      <c r="RM13" s="336">
        <v>0</v>
      </c>
      <c r="RN13" s="336">
        <v>0</v>
      </c>
      <c r="RO13" s="336">
        <v>-49422728</v>
      </c>
      <c r="RP13" s="336">
        <v>0</v>
      </c>
      <c r="RQ13" s="336">
        <v>0</v>
      </c>
      <c r="RR13" s="336">
        <v>0</v>
      </c>
      <c r="RS13" s="336">
        <v>0</v>
      </c>
      <c r="RT13" s="336">
        <v>0</v>
      </c>
      <c r="RU13" s="336">
        <v>0</v>
      </c>
      <c r="RV13" s="336">
        <v>0</v>
      </c>
      <c r="RW13" s="336">
        <v>0</v>
      </c>
      <c r="RX13" s="336">
        <v>0</v>
      </c>
      <c r="RY13" s="336">
        <v>0</v>
      </c>
      <c r="RZ13" s="336">
        <v>0</v>
      </c>
      <c r="SA13" s="336">
        <v>0</v>
      </c>
      <c r="SB13" s="336">
        <v>0</v>
      </c>
      <c r="SC13" s="336">
        <v>0</v>
      </c>
      <c r="SD13" s="336">
        <v>0</v>
      </c>
      <c r="SE13" s="336">
        <v>0</v>
      </c>
      <c r="SF13" s="336">
        <v>0</v>
      </c>
      <c r="SG13" s="336">
        <v>0</v>
      </c>
      <c r="SH13" s="336">
        <v>0</v>
      </c>
      <c r="SI13" s="336">
        <v>0</v>
      </c>
      <c r="SJ13" s="336">
        <v>0</v>
      </c>
      <c r="SK13" s="336">
        <v>0</v>
      </c>
      <c r="SL13" s="336">
        <v>0</v>
      </c>
      <c r="SM13" s="336">
        <v>0</v>
      </c>
      <c r="SN13" s="336">
        <v>4096131</v>
      </c>
      <c r="SO13" s="336">
        <v>0</v>
      </c>
      <c r="SP13" s="336">
        <v>0</v>
      </c>
      <c r="SQ13" s="336">
        <v>1794948</v>
      </c>
      <c r="SR13" s="336">
        <v>9455832</v>
      </c>
      <c r="SS13" s="336">
        <v>140762</v>
      </c>
      <c r="ST13" s="336">
        <v>632757</v>
      </c>
      <c r="SU13" s="336">
        <v>0</v>
      </c>
      <c r="SV13" s="336">
        <v>0</v>
      </c>
      <c r="SW13" s="336">
        <v>42282640</v>
      </c>
      <c r="SX13" s="336">
        <v>0</v>
      </c>
      <c r="SY13" s="336">
        <v>0</v>
      </c>
      <c r="SZ13" s="336" t="s">
        <v>1420</v>
      </c>
      <c r="TA13" s="336" t="s">
        <v>1420</v>
      </c>
      <c r="TB13" s="336" t="s">
        <v>1420</v>
      </c>
      <c r="TC13" s="336">
        <v>435073</v>
      </c>
      <c r="TD13" s="336">
        <v>349665</v>
      </c>
      <c r="TE13" s="336">
        <v>210374</v>
      </c>
      <c r="TF13" s="336">
        <v>0</v>
      </c>
      <c r="TG13" s="336">
        <v>6963570</v>
      </c>
      <c r="TH13" s="336">
        <v>193608</v>
      </c>
      <c r="TI13" s="336">
        <v>2522401</v>
      </c>
      <c r="TJ13" s="336">
        <v>1208846</v>
      </c>
      <c r="TK13" s="336">
        <v>0</v>
      </c>
      <c r="TL13" s="336">
        <v>140762</v>
      </c>
      <c r="TM13" s="336">
        <v>25818351</v>
      </c>
      <c r="TN13" s="336">
        <v>0</v>
      </c>
      <c r="TO13" s="336">
        <v>1133662</v>
      </c>
      <c r="TP13" s="336">
        <v>665315</v>
      </c>
      <c r="TQ13" s="336">
        <v>0</v>
      </c>
      <c r="TR13" s="336">
        <v>0</v>
      </c>
      <c r="TS13" s="336">
        <v>0</v>
      </c>
      <c r="TT13" s="336">
        <v>72136</v>
      </c>
      <c r="TU13" s="336">
        <v>89493</v>
      </c>
      <c r="TV13" s="336">
        <v>0</v>
      </c>
      <c r="TW13" s="336">
        <v>0</v>
      </c>
      <c r="TX13" s="336">
        <v>4961</v>
      </c>
      <c r="TY13" s="336">
        <v>670119</v>
      </c>
      <c r="TZ13" s="336">
        <v>0</v>
      </c>
      <c r="UA13" s="336">
        <v>4762203</v>
      </c>
      <c r="UB13" s="336">
        <v>0</v>
      </c>
      <c r="UC13" s="336">
        <v>0</v>
      </c>
      <c r="UD13" s="336">
        <v>0</v>
      </c>
      <c r="UE13" s="336">
        <v>18186950</v>
      </c>
      <c r="UF13" s="336">
        <v>0</v>
      </c>
      <c r="UG13" s="336">
        <v>0</v>
      </c>
      <c r="UH13" s="336">
        <v>112931543</v>
      </c>
      <c r="UI13" s="336">
        <v>14330646</v>
      </c>
      <c r="UJ13" s="336">
        <v>19039703</v>
      </c>
      <c r="UK13" s="336">
        <v>0</v>
      </c>
      <c r="UL13" s="336">
        <v>57002507</v>
      </c>
      <c r="UM13" s="336">
        <v>32657652</v>
      </c>
      <c r="UN13" s="336">
        <v>30940313</v>
      </c>
      <c r="UO13" s="336">
        <v>27912694</v>
      </c>
      <c r="UP13" s="336">
        <v>27620091</v>
      </c>
      <c r="UQ13" s="336">
        <v>65042785</v>
      </c>
      <c r="UR13"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12024299</v>
      </c>
      <c r="US13" s="338">
        <f>SUM(Input[[#This Row],[Oth Exp E&amp;G]],Input[[#This Row],[Oth Exp Desg]],Input[[#This Row],[Oth Exp Aux]],Input[[#This Row],[Oth Exp R Exp]],Input[[#This Row],[Oth Exp Loan]],Input[[#This Row],[Oth Exp Annuity]],Input[[#This Row],[Oth Exp Unexp]],Input[[#This Row],[Oth Exp R of Ind]],Input[[#This Row],[Oth Exp Inv in P]])</f>
        <v>308687</v>
      </c>
      <c r="UT13" s="336">
        <v>6339169</v>
      </c>
      <c r="UU13" s="336">
        <v>29953133</v>
      </c>
      <c r="UV13" s="339" t="s">
        <v>1477</v>
      </c>
      <c r="UW13" s="340">
        <v>9362943405</v>
      </c>
      <c r="UX13" s="339" t="s">
        <v>1478</v>
      </c>
      <c r="UY13" s="339" t="s">
        <v>1479</v>
      </c>
      <c r="UZ13" s="340">
        <v>9362942766</v>
      </c>
      <c r="VA13" s="339" t="s">
        <v>1480</v>
      </c>
      <c r="VB13" s="341" cm="1">
        <f t="array" ref="VB13">IFERROR(_xlfn.IFS(Input[[#This Row],[Type]]="HRI",VLOOKUP(Input[[#This Row],[Institution Name]],FTSEHRI[],9,FALSE),Input[[#This Row],[Type]]="UNIV",VLOOKUP(Input[[#This Row],[Institution Name]],FTSEUNIV[],9,FALSE),OR(Input[[#This Row],[Type]]="TSTC",Input[[#This Row],[Type]]="LSC"),VLOOKUP(Input[[#This Row],[Institution Name]],FTSETSTC[],8,FALSE)),"N/A")</f>
        <v>17233.689999999999</v>
      </c>
      <c r="VC13" s="342" t="str" cm="1">
        <f t="array" ref="VC13">IFERROR(_xlfn.IFS(Input[[#This Row],[Type]]="HRI",VLOOKUP(Input[[#This Row],[Institution Name]],FTSEHRI[],11,FALSE),Input[[#This Row],[Type]]="UNIV",VLOOKUP(Input[[#This Row],[Institution Name]],FTSEUNIV[],11,FALSE),Input[[#This Row],[Type]]="TSTC",VLOOKUP(Input[[#This Row],[Institution Name]],FTSETSTC[],10,FALSE)),"N/A")</f>
        <v>N/A</v>
      </c>
      <c r="VD13"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119681491</v>
      </c>
      <c r="VE13"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18787013</v>
      </c>
      <c r="VF13" s="338">
        <f>SUM(Input[[#This Row],[Fed G&amp;C E&amp;G]],Input[[#This Row],[Fed G&amp;C Desg]],Input[[#This Row],[Fed G&amp;C R Exp]],Input[[#This Row],[Fed G&amp;C Loan]],Input[[#This Row],[Fed G&amp;C Annuity]],Input[[#This Row],[Fed G&amp;C Unexp]],Input[[#This Row],[Fed G&amp;C R of Ind]],Input[[#This Row],[Fed G&amp;C Inv in P]])</f>
        <v>62168828</v>
      </c>
      <c r="VG13"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38653656</v>
      </c>
      <c r="VH13"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71472653</v>
      </c>
      <c r="VI13"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87335050</v>
      </c>
      <c r="VJ13" s="338">
        <f>SUM(Input[[#This Row],[Oth Inc E&amp;G]],Input[[#This Row],[Oth Exp Desg]],Input[[#This Row],[Oth Exp R Exp]],Input[[#This Row],[Oth Exp Loan]],Input[[#This Row],[Oth Exp Annuity]],Input[[#This Row],[Oth Exp Unexp]],Input[[#This Row],[Oth Exp R of Ind]],Input[[#This Row],[Oth Exp Inv in P]])</f>
        <v>4607486</v>
      </c>
      <c r="VK13" s="343">
        <f>SUM(Input[[#This Row],[Instr E&amp;G]],Input[[#This Row],[Instr Desg]],Input[[#This Row],[Instr R Exp]],Input[[#This Row],[Instr Loan]],Input[[#This Row],[Instr Annuity]],Input[[#This Row],[Instr Unexp]],Input[[#This Row],[Instr R of Ind]],Input[[#This Row],[Instr Inv in P]])</f>
        <v>112931543</v>
      </c>
      <c r="VL13" s="343">
        <f>SUM(Input[[#This Row],[Res E&amp;G]],Input[[#This Row],[Res Desg]],Input[[#This Row],[Res R Exp]],Input[[#This Row],[Res Loan]],Input[[#This Row],[Res Annuity]],Input[[#This Row],[Res Unexp]],Input[[#This Row],[Res R of Ind]],Input[[#This Row],[Res Inv in P]])</f>
        <v>14330646</v>
      </c>
      <c r="VM13" s="343">
        <f>SUM(Input[[#This Row],[Acad Sup E&amp;G]],Input[[#This Row],[Acad Sup Desg]],Input[[#This Row],[Acad Sup R Exp]],Input[[#This Row],[Acad Sup Loan]],Input[[#This Row],[Acad Sup Annuity]],Input[[#This Row],[Acad Sup Unexp]],Input[[#This Row],[Acad Sup R of Ind]],Input[[#This Row],[Acad Sup Inv in P]])</f>
        <v>57002507</v>
      </c>
      <c r="VN13" s="343">
        <f>SUM(Input[[#This Row],[Stu Svc E&amp;G]],Input[[#This Row],[Stu Svc Desg]],Input[[#This Row],[Stu Svc R Exp]],Input[[#This Row],[Stu Svc Loan]],Input[[#This Row],[Stu Svc Annuity]],Input[[#This Row],[Stu Svc Unexp]],Input[[#This Row],[Stu Svc R of Ind]],Input[[#This Row],[Stu Svc Inv in P]])</f>
        <v>32657652</v>
      </c>
      <c r="VO13" s="343">
        <f>SUM(Input[[#This Row],[Inst. Spt E&amp;G]],Input[[#This Row],[Inst. Spt Desg]],Input[[#This Row],[Inst. Spt R Exp]],Input[[#This Row],[Inst. Spt Loan]],Input[[#This Row],[Inst. Spt Annuity]],Input[[#This Row],[Inst. Spt Unexp]],Input[[#This Row],[Inst. Spt R of Ind]],Input[[#This Row],[Inst. Spt Inv in P]])</f>
        <v>30940313</v>
      </c>
      <c r="VP13" s="343">
        <f>SUM(Input[[#This Row],[M&amp;O Plnt E&amp;G]],Input[[#This Row],[M&amp;O Plnt Desg]],Input[[#This Row],[M&amp;O Plnt R Exp]],Input[[#This Row],[M&amp;O Plnt Loan]],Input[[#This Row],[M&amp;O Plnt Annuity]],Input[[#This Row],[M&amp;O Plnt Unexp]],Input[[#This Row],[M&amp;O Plnt R of Ind]],Input[[#This Row],[M&amp;O Plnt Inv in P]])</f>
        <v>27912737</v>
      </c>
      <c r="VQ13" s="343">
        <f>SUM(Input[[#This Row],[Schl &amp; Fell E&amp;G]],Input[[#This Row],[Schl &amp; Fell Desg]],Input[[#This Row],[Schl &amp; Fell R Exp]],Input[[#This Row],[Schl &amp; Fell Loan]],Input[[#This Row],[Schl &amp; Fell Annuity]],Input[[#This Row],[Schl &amp; Fell Unexp]],Input[[#This Row],[Schl &amp; Fell R of Ind]],Input[[#This Row],[Schl &amp; Fell Inv in P]])</f>
        <v>27176323</v>
      </c>
      <c r="VR13" s="343">
        <f>SUM(Input[[#This Row],[Cap Out fund E&amp;G]],Input[[#This Row],[Cap Out fund Desg]],Input[[#This Row],[Cap Out fund R Exp]],Input[[#This Row],[Cap Out fund Loan]],Input[[#This Row],[Cap Out fund Annuity]],Input[[#This Row],[Cap Out fund Unexp]],Input[[#This Row],[Cap Out fund R of Ind]],Input[[#This Row],[Cap Out fund Inv in P]])</f>
        <v>11883537</v>
      </c>
      <c r="VS13" s="343">
        <f>SUM(Input[[#This Row],[Oth Exp E&amp;G]],Input[[#This Row],[Oth Exp Desg]],Input[[#This Row],[Oth Exp R Exp]],Input[[#This Row],[Oth Exp Loan]],Input[[#This Row],[Oth Exp Annuity]],Input[[#This Row],[Oth Exp Unexp]],Input[[#This Row],[Oth Exp R of Ind]],Input[[#This Row],[Oth Exp Inv in P]],Input[[#This Row],[Oth Exp Inv in P]])</f>
        <v>308687</v>
      </c>
    </row>
    <row r="14" spans="1:591" s="344" customFormat="1" ht="27" customHeight="1" x14ac:dyDescent="0.55000000000000004">
      <c r="A14" s="339" t="s">
        <v>1418</v>
      </c>
      <c r="B14" s="350" t="s">
        <v>1826</v>
      </c>
      <c r="C14" s="350" t="s">
        <v>746</v>
      </c>
      <c r="D14" s="334">
        <v>280</v>
      </c>
      <c r="E14" s="334" t="s">
        <v>1623</v>
      </c>
      <c r="F14" s="335">
        <v>3606</v>
      </c>
      <c r="G14" s="336">
        <v>111644834</v>
      </c>
      <c r="H14" s="336">
        <v>0</v>
      </c>
      <c r="I14" s="336">
        <v>0</v>
      </c>
      <c r="J14" s="336">
        <v>0</v>
      </c>
      <c r="K14" s="336">
        <v>0</v>
      </c>
      <c r="L14" s="336">
        <v>0</v>
      </c>
      <c r="M14" s="336">
        <v>0</v>
      </c>
      <c r="N14" s="336">
        <v>0</v>
      </c>
      <c r="O14" s="336">
        <v>0</v>
      </c>
      <c r="P14" s="336">
        <v>0</v>
      </c>
      <c r="Q14" s="336">
        <v>0</v>
      </c>
      <c r="R14" s="336">
        <v>0</v>
      </c>
      <c r="S14" s="336">
        <v>26171356</v>
      </c>
      <c r="T14" s="336">
        <v>0</v>
      </c>
      <c r="U14" s="336">
        <v>0</v>
      </c>
      <c r="V14" s="336">
        <v>0</v>
      </c>
      <c r="W14" s="336">
        <v>0</v>
      </c>
      <c r="X14" s="336">
        <v>0</v>
      </c>
      <c r="Y14" s="336">
        <v>18787013</v>
      </c>
      <c r="Z14" s="336">
        <v>0</v>
      </c>
      <c r="AA14" s="336">
        <v>0</v>
      </c>
      <c r="AB14" s="336">
        <v>0</v>
      </c>
      <c r="AC14" s="336">
        <v>0</v>
      </c>
      <c r="AD14" s="336">
        <v>0</v>
      </c>
      <c r="AE14" s="336">
        <v>0</v>
      </c>
      <c r="AF14" s="336">
        <v>0</v>
      </c>
      <c r="AG14" s="336">
        <v>0</v>
      </c>
      <c r="AH14" s="336">
        <v>0</v>
      </c>
      <c r="AI14" s="336">
        <v>0</v>
      </c>
      <c r="AJ14" s="336">
        <v>0</v>
      </c>
      <c r="AK14" s="336">
        <v>0</v>
      </c>
      <c r="AL14" s="336">
        <v>0</v>
      </c>
      <c r="AM14" s="336">
        <v>0</v>
      </c>
      <c r="AN14" s="336">
        <v>0</v>
      </c>
      <c r="AO14" s="336">
        <v>0</v>
      </c>
      <c r="AP14" s="336">
        <v>0</v>
      </c>
      <c r="AQ14" s="336">
        <v>0</v>
      </c>
      <c r="AR14" s="336">
        <v>0</v>
      </c>
      <c r="AS14" s="336">
        <v>0</v>
      </c>
      <c r="AT14" s="336">
        <v>0</v>
      </c>
      <c r="AU14" s="336">
        <v>0</v>
      </c>
      <c r="AV14" s="336">
        <v>0</v>
      </c>
      <c r="AW14" s="336">
        <v>0</v>
      </c>
      <c r="AX14" s="336">
        <v>0</v>
      </c>
      <c r="AY14" s="336">
        <v>0</v>
      </c>
      <c r="AZ14" s="336">
        <v>0</v>
      </c>
      <c r="BA14" s="336">
        <v>0</v>
      </c>
      <c r="BB14" s="336">
        <v>0</v>
      </c>
      <c r="BC14" s="336">
        <v>0</v>
      </c>
      <c r="BD14" s="336">
        <v>0</v>
      </c>
      <c r="BE14" s="336">
        <v>0</v>
      </c>
      <c r="BF14" s="336">
        <v>0</v>
      </c>
      <c r="BG14" s="336">
        <v>0</v>
      </c>
      <c r="BH14" s="336">
        <v>0</v>
      </c>
      <c r="BI14" s="336">
        <v>0</v>
      </c>
      <c r="BJ14" s="336">
        <v>0</v>
      </c>
      <c r="BK14" s="336">
        <v>0</v>
      </c>
      <c r="BL14" s="336">
        <v>0</v>
      </c>
      <c r="BM14" s="336">
        <v>0</v>
      </c>
      <c r="BN14" s="336">
        <v>0</v>
      </c>
      <c r="BO14" s="336">
        <v>0</v>
      </c>
      <c r="BP14" s="336">
        <v>0</v>
      </c>
      <c r="BQ14" s="336">
        <v>0</v>
      </c>
      <c r="BR14" s="336">
        <v>0</v>
      </c>
      <c r="BS14" s="336">
        <v>0</v>
      </c>
      <c r="BT14" s="336">
        <v>0</v>
      </c>
      <c r="BU14" s="336">
        <v>0</v>
      </c>
      <c r="BV14" s="336">
        <v>0</v>
      </c>
      <c r="BW14" s="336">
        <v>0</v>
      </c>
      <c r="BX14" s="336">
        <v>0</v>
      </c>
      <c r="BY14" s="336">
        <v>0</v>
      </c>
      <c r="BZ14" s="336">
        <v>0</v>
      </c>
      <c r="CA14" s="336">
        <v>40199472</v>
      </c>
      <c r="CB14" s="336">
        <v>114314227</v>
      </c>
      <c r="CC14" s="336">
        <v>0</v>
      </c>
      <c r="CD14" s="336">
        <v>0</v>
      </c>
      <c r="CE14" s="336">
        <v>0</v>
      </c>
      <c r="CF14" s="336">
        <v>0</v>
      </c>
      <c r="CG14" s="336">
        <v>0</v>
      </c>
      <c r="CH14" s="336">
        <v>0</v>
      </c>
      <c r="CI14" s="336">
        <v>0</v>
      </c>
      <c r="CJ14" s="336">
        <v>-3315698</v>
      </c>
      <c r="CK14" s="336">
        <v>-664046</v>
      </c>
      <c r="CL14" s="336">
        <v>0</v>
      </c>
      <c r="CM14" s="336">
        <v>0</v>
      </c>
      <c r="CN14" s="336">
        <v>0</v>
      </c>
      <c r="CO14" s="336">
        <v>0</v>
      </c>
      <c r="CP14" s="336">
        <v>0</v>
      </c>
      <c r="CQ14" s="336">
        <v>0</v>
      </c>
      <c r="CR14" s="336">
        <v>0</v>
      </c>
      <c r="CS14" s="336">
        <v>0</v>
      </c>
      <c r="CT14" s="336">
        <v>0</v>
      </c>
      <c r="CU14" s="336">
        <v>0</v>
      </c>
      <c r="CV14" s="336">
        <v>0</v>
      </c>
      <c r="CW14" s="336">
        <v>0</v>
      </c>
      <c r="CX14" s="336">
        <v>0</v>
      </c>
      <c r="CY14" s="336">
        <v>0</v>
      </c>
      <c r="CZ14" s="336">
        <v>0</v>
      </c>
      <c r="DA14" s="336">
        <v>0</v>
      </c>
      <c r="DB14" s="336">
        <v>-8234234</v>
      </c>
      <c r="DC14" s="336">
        <v>-3917117</v>
      </c>
      <c r="DD14" s="336">
        <v>0</v>
      </c>
      <c r="DE14" s="336">
        <v>0</v>
      </c>
      <c r="DF14" s="336">
        <v>0</v>
      </c>
      <c r="DG14" s="336">
        <v>0</v>
      </c>
      <c r="DH14" s="336">
        <v>0</v>
      </c>
      <c r="DI14" s="336">
        <v>0</v>
      </c>
      <c r="DJ14" s="336">
        <v>0</v>
      </c>
      <c r="DK14" s="336">
        <v>0</v>
      </c>
      <c r="DL14" s="336">
        <v>0</v>
      </c>
      <c r="DM14" s="336">
        <v>0</v>
      </c>
      <c r="DN14" s="336">
        <v>0</v>
      </c>
      <c r="DO14" s="336">
        <v>0</v>
      </c>
      <c r="DP14" s="336">
        <v>0</v>
      </c>
      <c r="DQ14" s="336">
        <v>0</v>
      </c>
      <c r="DR14" s="336">
        <v>0</v>
      </c>
      <c r="DS14" s="336">
        <v>0</v>
      </c>
      <c r="DT14" s="336">
        <v>0</v>
      </c>
      <c r="DU14" s="336">
        <v>-54117718</v>
      </c>
      <c r="DV14" s="336">
        <v>0</v>
      </c>
      <c r="DW14" s="336">
        <v>0</v>
      </c>
      <c r="DX14" s="336">
        <v>0</v>
      </c>
      <c r="DY14" s="336">
        <v>0</v>
      </c>
      <c r="DZ14" s="336">
        <v>0</v>
      </c>
      <c r="EA14" s="336">
        <v>0</v>
      </c>
      <c r="EB14" s="336">
        <v>0</v>
      </c>
      <c r="EC14" s="336">
        <v>0</v>
      </c>
      <c r="ED14" s="336">
        <v>0</v>
      </c>
      <c r="EE14" s="336">
        <v>0</v>
      </c>
      <c r="EF14" s="336">
        <v>0</v>
      </c>
      <c r="EG14" s="336">
        <v>0</v>
      </c>
      <c r="EH14" s="336">
        <v>0</v>
      </c>
      <c r="EI14" s="336">
        <v>0</v>
      </c>
      <c r="EJ14" s="336">
        <v>0</v>
      </c>
      <c r="EK14" s="336">
        <v>0</v>
      </c>
      <c r="EL14" s="336">
        <v>0</v>
      </c>
      <c r="EM14" s="336">
        <v>0</v>
      </c>
      <c r="EN14" s="336">
        <v>0</v>
      </c>
      <c r="EO14" s="336">
        <v>0</v>
      </c>
      <c r="EP14" s="336">
        <v>0</v>
      </c>
      <c r="EQ14" s="336">
        <v>0</v>
      </c>
      <c r="ER14" s="336">
        <v>0</v>
      </c>
      <c r="ES14" s="336">
        <v>0</v>
      </c>
      <c r="ET14" s="336">
        <v>0</v>
      </c>
      <c r="EU14" s="336">
        <v>0</v>
      </c>
      <c r="EV14" s="336">
        <v>0</v>
      </c>
      <c r="EW14" s="336">
        <v>0</v>
      </c>
      <c r="EX14" s="336">
        <v>0</v>
      </c>
      <c r="EY14" s="336">
        <v>0</v>
      </c>
      <c r="EZ14" s="336">
        <v>0</v>
      </c>
      <c r="FA14" s="336">
        <v>0</v>
      </c>
      <c r="FB14" s="336">
        <v>0</v>
      </c>
      <c r="FC14" s="336">
        <v>0</v>
      </c>
      <c r="FD14" s="336">
        <v>0</v>
      </c>
      <c r="FE14" s="336">
        <v>0</v>
      </c>
      <c r="FF14" s="336">
        <v>0</v>
      </c>
      <c r="FG14" s="336">
        <v>0</v>
      </c>
      <c r="FH14" s="336">
        <v>0</v>
      </c>
      <c r="FI14" s="336">
        <v>0</v>
      </c>
      <c r="FJ14" s="336">
        <v>0</v>
      </c>
      <c r="FK14" s="336">
        <v>0</v>
      </c>
      <c r="FL14" s="336">
        <v>0</v>
      </c>
      <c r="FM14" s="336">
        <v>439377</v>
      </c>
      <c r="FN14" s="336">
        <v>93802414</v>
      </c>
      <c r="FO14" s="336">
        <v>10475358</v>
      </c>
      <c r="FP14" s="336">
        <v>0</v>
      </c>
      <c r="FQ14" s="336">
        <v>0</v>
      </c>
      <c r="FR14" s="336">
        <v>0</v>
      </c>
      <c r="FS14" s="336">
        <v>0</v>
      </c>
      <c r="FT14" s="336">
        <v>0</v>
      </c>
      <c r="FU14" s="336">
        <v>0</v>
      </c>
      <c r="FV14" s="336">
        <v>0</v>
      </c>
      <c r="FW14" s="336">
        <v>0</v>
      </c>
      <c r="FX14" s="336">
        <v>0</v>
      </c>
      <c r="FY14" s="336">
        <v>0</v>
      </c>
      <c r="FZ14" s="336">
        <v>0</v>
      </c>
      <c r="GA14" s="336">
        <v>0</v>
      </c>
      <c r="GB14" s="336">
        <v>0</v>
      </c>
      <c r="GC14" s="336">
        <v>0</v>
      </c>
      <c r="GD14" s="336">
        <v>0</v>
      </c>
      <c r="GE14" s="336">
        <v>0</v>
      </c>
      <c r="GF14" s="336">
        <v>0</v>
      </c>
      <c r="GG14" s="336">
        <v>0</v>
      </c>
      <c r="GH14" s="336">
        <v>0</v>
      </c>
      <c r="GI14" s="336">
        <v>0</v>
      </c>
      <c r="GJ14" s="336">
        <v>0</v>
      </c>
      <c r="GK14" s="336">
        <v>0</v>
      </c>
      <c r="GL14" s="336">
        <v>0</v>
      </c>
      <c r="GM14" s="336">
        <v>0</v>
      </c>
      <c r="GN14" s="336">
        <v>0</v>
      </c>
      <c r="GO14" s="336">
        <v>-6906741</v>
      </c>
      <c r="GP14" s="336">
        <v>-215451</v>
      </c>
      <c r="GQ14" s="336">
        <v>0</v>
      </c>
      <c r="GR14" s="336">
        <v>0</v>
      </c>
      <c r="GS14" s="336">
        <v>0</v>
      </c>
      <c r="GT14" s="336">
        <v>0</v>
      </c>
      <c r="GU14" s="336">
        <v>0</v>
      </c>
      <c r="GV14" s="336">
        <v>0</v>
      </c>
      <c r="GW14" s="336">
        <v>0</v>
      </c>
      <c r="GX14" s="336">
        <v>0</v>
      </c>
      <c r="GY14" s="336">
        <v>0</v>
      </c>
      <c r="GZ14" s="336">
        <v>0</v>
      </c>
      <c r="HA14" s="336">
        <v>0</v>
      </c>
      <c r="HB14" s="336">
        <v>0</v>
      </c>
      <c r="HC14" s="336">
        <v>0</v>
      </c>
      <c r="HD14" s="336">
        <v>0</v>
      </c>
      <c r="HE14" s="336">
        <v>0</v>
      </c>
      <c r="HF14" s="336">
        <v>0</v>
      </c>
      <c r="HG14" s="336">
        <v>0</v>
      </c>
      <c r="HH14" s="336">
        <v>0</v>
      </c>
      <c r="HI14" s="336">
        <v>0</v>
      </c>
      <c r="HJ14" s="336">
        <v>0</v>
      </c>
      <c r="HK14" s="336">
        <v>0</v>
      </c>
      <c r="HL14" s="336">
        <v>0</v>
      </c>
      <c r="HM14" s="336">
        <v>0</v>
      </c>
      <c r="HN14" s="336">
        <v>0</v>
      </c>
      <c r="HO14" s="336">
        <v>0</v>
      </c>
      <c r="HP14" s="336">
        <v>0</v>
      </c>
      <c r="HQ14" s="336">
        <v>0</v>
      </c>
      <c r="HR14" s="336">
        <v>62514290</v>
      </c>
      <c r="HS14" s="336">
        <v>0</v>
      </c>
      <c r="HT14" s="336">
        <v>0</v>
      </c>
      <c r="HU14" s="336">
        <v>0</v>
      </c>
      <c r="HV14" s="336">
        <v>0</v>
      </c>
      <c r="HW14" s="336">
        <v>0</v>
      </c>
      <c r="HX14" s="336">
        <v>0</v>
      </c>
      <c r="HY14" s="336">
        <v>0</v>
      </c>
      <c r="HZ14" s="336">
        <v>0</v>
      </c>
      <c r="IA14" s="336">
        <v>0</v>
      </c>
      <c r="IB14" s="336">
        <v>0</v>
      </c>
      <c r="IC14" s="336">
        <v>0</v>
      </c>
      <c r="ID14" s="336">
        <v>0</v>
      </c>
      <c r="IE14" s="336">
        <v>0</v>
      </c>
      <c r="IF14" s="336">
        <v>0</v>
      </c>
      <c r="IG14" s="336">
        <v>0</v>
      </c>
      <c r="IH14" s="336">
        <v>0</v>
      </c>
      <c r="II14" s="336">
        <v>372381</v>
      </c>
      <c r="IJ14" s="336">
        <v>0</v>
      </c>
      <c r="IK14" s="336">
        <v>0</v>
      </c>
      <c r="IL14" s="336">
        <v>0</v>
      </c>
      <c r="IM14" s="336">
        <v>0</v>
      </c>
      <c r="IN14" s="336">
        <v>0</v>
      </c>
      <c r="IO14" s="336">
        <v>0</v>
      </c>
      <c r="IP14" s="336">
        <v>0</v>
      </c>
      <c r="IQ14" s="336">
        <v>8627729</v>
      </c>
      <c r="IR14" s="336">
        <v>13310</v>
      </c>
      <c r="IS14" s="336">
        <v>0</v>
      </c>
      <c r="IT14" s="336">
        <v>0</v>
      </c>
      <c r="IU14" s="336">
        <v>2511499</v>
      </c>
      <c r="IV14" s="336">
        <v>0</v>
      </c>
      <c r="IW14" s="336">
        <v>0</v>
      </c>
      <c r="IX14" s="336">
        <v>0</v>
      </c>
      <c r="IY14" s="336">
        <v>0</v>
      </c>
      <c r="IZ14" s="336">
        <v>0</v>
      </c>
      <c r="JA14" s="336">
        <v>0</v>
      </c>
      <c r="JB14" s="336">
        <v>6037291</v>
      </c>
      <c r="JC14" s="336">
        <v>0</v>
      </c>
      <c r="JD14" s="336">
        <v>0</v>
      </c>
      <c r="JE14" s="336">
        <v>0</v>
      </c>
      <c r="JF14" s="336">
        <v>0</v>
      </c>
      <c r="JG14" s="336">
        <v>0</v>
      </c>
      <c r="JH14" s="336">
        <v>0</v>
      </c>
      <c r="JI14" s="336">
        <v>93146</v>
      </c>
      <c r="JJ14" s="336">
        <v>358100</v>
      </c>
      <c r="JK14" s="336">
        <v>7988292</v>
      </c>
      <c r="JL14" s="336">
        <v>0</v>
      </c>
      <c r="JM14" s="336">
        <v>4916392</v>
      </c>
      <c r="JN14" s="336">
        <v>0</v>
      </c>
      <c r="JO14" s="336">
        <v>0</v>
      </c>
      <c r="JP14" s="336">
        <v>0</v>
      </c>
      <c r="JQ14" s="336">
        <v>155544</v>
      </c>
      <c r="JR14" s="336">
        <v>2435348</v>
      </c>
      <c r="JS14" s="336">
        <v>561877</v>
      </c>
      <c r="JT14" s="336">
        <v>1104208</v>
      </c>
      <c r="JU14" s="336">
        <v>0</v>
      </c>
      <c r="JV14" s="336">
        <v>8000</v>
      </c>
      <c r="JW14" s="336">
        <v>0</v>
      </c>
      <c r="JX14" s="336">
        <v>0</v>
      </c>
      <c r="JY14" s="336">
        <v>0</v>
      </c>
      <c r="JZ14" s="336">
        <v>0</v>
      </c>
      <c r="KA14" s="336">
        <v>26692</v>
      </c>
      <c r="KB14" s="336">
        <v>50851334</v>
      </c>
      <c r="KC14" s="336">
        <v>726940</v>
      </c>
      <c r="KD14" s="336">
        <v>0</v>
      </c>
      <c r="KE14" s="336">
        <v>0</v>
      </c>
      <c r="KF14" s="336">
        <v>0</v>
      </c>
      <c r="KG14" s="336">
        <v>0</v>
      </c>
      <c r="KH14" s="336">
        <v>0</v>
      </c>
      <c r="KI14" s="336">
        <v>4493166</v>
      </c>
      <c r="KJ14" s="336">
        <v>695915</v>
      </c>
      <c r="KK14" s="336">
        <v>1985439</v>
      </c>
      <c r="KL14" s="336">
        <v>2492714</v>
      </c>
      <c r="KM14" s="336">
        <v>-167604</v>
      </c>
      <c r="KN14" s="336">
        <v>0</v>
      </c>
      <c r="KO14" s="336">
        <v>-751109</v>
      </c>
      <c r="KP14" s="336">
        <v>0</v>
      </c>
      <c r="KQ14" s="336">
        <v>0</v>
      </c>
      <c r="KR14" s="336">
        <v>80444299</v>
      </c>
      <c r="KS14" s="336">
        <v>42121377</v>
      </c>
      <c r="KT14" s="336">
        <v>0</v>
      </c>
      <c r="KU14" s="336">
        <v>2748944</v>
      </c>
      <c r="KV14" s="336">
        <v>0</v>
      </c>
      <c r="KW14" s="336">
        <v>0</v>
      </c>
      <c r="KX14" s="336">
        <v>0</v>
      </c>
      <c r="KY14" s="336">
        <v>0</v>
      </c>
      <c r="KZ14" s="336">
        <v>0</v>
      </c>
      <c r="LA14" s="336">
        <v>3059656</v>
      </c>
      <c r="LB14" s="336">
        <v>4779575</v>
      </c>
      <c r="LC14" s="336">
        <v>0</v>
      </c>
      <c r="LD14" s="336">
        <v>7528009</v>
      </c>
      <c r="LE14" s="336">
        <v>0</v>
      </c>
      <c r="LF14" s="336">
        <v>0</v>
      </c>
      <c r="LG14" s="336">
        <v>0</v>
      </c>
      <c r="LH14" s="336">
        <v>0</v>
      </c>
      <c r="LI14" s="336">
        <v>0</v>
      </c>
      <c r="LJ14" s="336">
        <v>9451285</v>
      </c>
      <c r="LK14" s="336">
        <v>859131</v>
      </c>
      <c r="LL14" s="336">
        <v>0</v>
      </c>
      <c r="LM14" s="336">
        <v>8898737</v>
      </c>
      <c r="LN14" s="336">
        <v>0</v>
      </c>
      <c r="LO14" s="336">
        <v>0</v>
      </c>
      <c r="LP14" s="336">
        <v>0</v>
      </c>
      <c r="LQ14" s="336">
        <v>0</v>
      </c>
      <c r="LR14" s="336">
        <v>0</v>
      </c>
      <c r="LS14" s="336">
        <v>0</v>
      </c>
      <c r="LT14" s="336">
        <v>0</v>
      </c>
      <c r="LU14" s="336">
        <v>1099525</v>
      </c>
      <c r="LV14" s="336">
        <v>0</v>
      </c>
      <c r="LW14" s="336">
        <v>0</v>
      </c>
      <c r="LX14" s="336">
        <v>0</v>
      </c>
      <c r="LY14" s="336">
        <v>0</v>
      </c>
      <c r="LZ14" s="336">
        <v>0</v>
      </c>
      <c r="MA14" s="336">
        <v>0</v>
      </c>
      <c r="MB14" s="336">
        <v>18510868</v>
      </c>
      <c r="MC14" s="336">
        <v>37210974</v>
      </c>
      <c r="MD14" s="336">
        <v>0</v>
      </c>
      <c r="ME14" s="336">
        <v>7177207</v>
      </c>
      <c r="MF14" s="336">
        <v>0</v>
      </c>
      <c r="MG14" s="336">
        <v>0</v>
      </c>
      <c r="MH14" s="336">
        <v>0</v>
      </c>
      <c r="MI14" s="336">
        <v>0</v>
      </c>
      <c r="MJ14" s="336">
        <v>0</v>
      </c>
      <c r="MK14" s="336">
        <v>6726690</v>
      </c>
      <c r="ML14" s="336">
        <v>27479694</v>
      </c>
      <c r="MM14" s="336">
        <v>0</v>
      </c>
      <c r="MN14" s="336">
        <v>296812</v>
      </c>
      <c r="MO14" s="336">
        <v>0</v>
      </c>
      <c r="MP14" s="336">
        <v>0</v>
      </c>
      <c r="MQ14" s="336">
        <v>21704</v>
      </c>
      <c r="MR14" s="336">
        <v>0</v>
      </c>
      <c r="MS14" s="336">
        <v>0</v>
      </c>
      <c r="MT14" s="336">
        <v>7394566</v>
      </c>
      <c r="MU14" s="336">
        <v>22901914</v>
      </c>
      <c r="MV14" s="336">
        <v>0</v>
      </c>
      <c r="MW14" s="336">
        <v>643833</v>
      </c>
      <c r="MX14" s="336">
        <v>0</v>
      </c>
      <c r="MY14" s="336">
        <v>0</v>
      </c>
      <c r="MZ14" s="336">
        <v>0</v>
      </c>
      <c r="NA14" s="336">
        <v>0</v>
      </c>
      <c r="NB14" s="336">
        <v>0</v>
      </c>
      <c r="NC14" s="336">
        <v>11598282</v>
      </c>
      <c r="ND14" s="336">
        <v>15041623</v>
      </c>
      <c r="NE14" s="336">
        <v>-43</v>
      </c>
      <c r="NF14" s="336">
        <v>861514</v>
      </c>
      <c r="NG14" s="336">
        <v>0</v>
      </c>
      <c r="NH14" s="336">
        <v>0</v>
      </c>
      <c r="NI14" s="336">
        <v>0</v>
      </c>
      <c r="NJ14" s="336">
        <v>0</v>
      </c>
      <c r="NK14" s="336">
        <v>1024127</v>
      </c>
      <c r="NL14" s="336">
        <v>5012655</v>
      </c>
      <c r="NM14" s="336">
        <v>7441052</v>
      </c>
      <c r="NN14" s="336">
        <v>443768</v>
      </c>
      <c r="NO14" s="336">
        <v>14801871</v>
      </c>
      <c r="NP14" s="336">
        <v>0</v>
      </c>
      <c r="NQ14" s="336">
        <v>0</v>
      </c>
      <c r="NR14" s="336">
        <v>0</v>
      </c>
      <c r="NS14" s="336">
        <v>0</v>
      </c>
      <c r="NT14" s="336">
        <v>0</v>
      </c>
      <c r="NU14" s="336">
        <v>123984</v>
      </c>
      <c r="NV14" s="336">
        <v>6080639</v>
      </c>
      <c r="NW14" s="336">
        <v>57292014</v>
      </c>
      <c r="NX14" s="336">
        <v>1546148</v>
      </c>
      <c r="NY14" s="336">
        <v>0</v>
      </c>
      <c r="NZ14" s="336">
        <v>0</v>
      </c>
      <c r="OA14" s="336">
        <v>0</v>
      </c>
      <c r="OB14" s="336">
        <v>0</v>
      </c>
      <c r="OC14" s="336">
        <v>0</v>
      </c>
      <c r="OD14" s="336">
        <v>1999265</v>
      </c>
      <c r="OE14" s="336">
        <v>9474335</v>
      </c>
      <c r="OF14" s="336">
        <v>4432782</v>
      </c>
      <c r="OG14" s="336">
        <v>632757</v>
      </c>
      <c r="OH14" s="336">
        <v>0</v>
      </c>
      <c r="OI14" s="336">
        <v>0</v>
      </c>
      <c r="OJ14" s="336">
        <v>0</v>
      </c>
      <c r="OK14" s="336">
        <v>0</v>
      </c>
      <c r="OL14" s="336">
        <v>0</v>
      </c>
      <c r="OM14" s="336">
        <v>192037</v>
      </c>
      <c r="ON14" s="336">
        <v>116650</v>
      </c>
      <c r="OO14" s="336">
        <v>0</v>
      </c>
      <c r="OP14" s="336">
        <v>0</v>
      </c>
      <c r="OQ14" s="336">
        <v>0</v>
      </c>
      <c r="OR14" s="336">
        <v>0</v>
      </c>
      <c r="OS14" s="336">
        <v>0</v>
      </c>
      <c r="OT14" s="336">
        <v>0</v>
      </c>
      <c r="OU14" s="336">
        <v>0</v>
      </c>
      <c r="OV14" s="336">
        <v>0</v>
      </c>
      <c r="OW14" s="336">
        <v>0</v>
      </c>
      <c r="OX14" s="336">
        <v>0</v>
      </c>
      <c r="OY14" s="336">
        <v>0</v>
      </c>
      <c r="OZ14" s="336">
        <v>0</v>
      </c>
      <c r="PA14" s="336">
        <v>0</v>
      </c>
      <c r="PB14" s="336">
        <v>-56074024</v>
      </c>
      <c r="PC14" s="336">
        <v>0</v>
      </c>
      <c r="PD14" s="336">
        <v>0</v>
      </c>
      <c r="PE14" s="336">
        <v>-11822573</v>
      </c>
      <c r="PF14" s="336">
        <v>-2991689</v>
      </c>
      <c r="PG14" s="336">
        <v>150000</v>
      </c>
      <c r="PH14" s="336">
        <v>5005344</v>
      </c>
      <c r="PI14" s="336">
        <v>0</v>
      </c>
      <c r="PJ14" s="336">
        <v>0</v>
      </c>
      <c r="PK14" s="336">
        <v>5687664</v>
      </c>
      <c r="PL14" s="336">
        <v>0</v>
      </c>
      <c r="PM14" s="336">
        <v>0</v>
      </c>
      <c r="PN14" s="336">
        <v>0</v>
      </c>
      <c r="PO14" s="336">
        <v>0</v>
      </c>
      <c r="PP14" s="336">
        <v>0</v>
      </c>
      <c r="PQ14" s="336">
        <v>0</v>
      </c>
      <c r="PR14" s="336">
        <v>0</v>
      </c>
      <c r="PS14" s="336">
        <v>0</v>
      </c>
      <c r="PT14" s="336">
        <v>0</v>
      </c>
      <c r="PU14" s="336">
        <v>0</v>
      </c>
      <c r="PV14" s="336">
        <v>0</v>
      </c>
      <c r="PW14" s="336">
        <v>0</v>
      </c>
      <c r="PX14" s="336">
        <v>0</v>
      </c>
      <c r="PY14" s="336">
        <v>0</v>
      </c>
      <c r="PZ14" s="336">
        <v>0</v>
      </c>
      <c r="QA14" s="336">
        <v>0</v>
      </c>
      <c r="QB14" s="336">
        <v>0</v>
      </c>
      <c r="QC14" s="336">
        <v>0</v>
      </c>
      <c r="QD14" s="336">
        <v>0</v>
      </c>
      <c r="QE14" s="336">
        <v>0</v>
      </c>
      <c r="QF14" s="336">
        <v>0</v>
      </c>
      <c r="QG14" s="336">
        <v>9654932</v>
      </c>
      <c r="QH14" s="336">
        <v>0</v>
      </c>
      <c r="QI14" s="336">
        <v>0</v>
      </c>
      <c r="QJ14" s="336">
        <v>0</v>
      </c>
      <c r="QK14" s="336">
        <v>20354484</v>
      </c>
      <c r="QL14" s="336">
        <v>0</v>
      </c>
      <c r="QM14" s="336">
        <v>0</v>
      </c>
      <c r="QN14" s="336">
        <v>0</v>
      </c>
      <c r="QO14" s="336">
        <v>0</v>
      </c>
      <c r="QP14" s="336">
        <v>0</v>
      </c>
      <c r="QQ14" s="336">
        <v>0</v>
      </c>
      <c r="QR14" s="336">
        <v>0</v>
      </c>
      <c r="QS14" s="336">
        <v>0</v>
      </c>
      <c r="QT14" s="336">
        <v>2256343</v>
      </c>
      <c r="QU14" s="336">
        <v>0</v>
      </c>
      <c r="QV14" s="336">
        <v>0</v>
      </c>
      <c r="QW14" s="336">
        <v>0</v>
      </c>
      <c r="QX14" s="336">
        <v>0</v>
      </c>
      <c r="QY14" s="336">
        <v>0</v>
      </c>
      <c r="QZ14" s="336">
        <v>0</v>
      </c>
      <c r="RA14" s="336">
        <v>0</v>
      </c>
      <c r="RB14" s="336">
        <v>0</v>
      </c>
      <c r="RC14" s="336">
        <v>0</v>
      </c>
      <c r="RD14" s="336">
        <v>0</v>
      </c>
      <c r="RE14" s="336">
        <v>0</v>
      </c>
      <c r="RF14" s="336">
        <v>0</v>
      </c>
      <c r="RG14" s="336">
        <v>0</v>
      </c>
      <c r="RH14" s="336">
        <v>0</v>
      </c>
      <c r="RI14" s="336">
        <v>0</v>
      </c>
      <c r="RJ14" s="336">
        <v>0</v>
      </c>
      <c r="RK14" s="336">
        <v>0</v>
      </c>
      <c r="RL14" s="336">
        <v>0</v>
      </c>
      <c r="RM14" s="336">
        <v>0</v>
      </c>
      <c r="RN14" s="336">
        <v>0</v>
      </c>
      <c r="RO14" s="336">
        <v>-48773986</v>
      </c>
      <c r="RP14" s="336">
        <v>0</v>
      </c>
      <c r="RQ14" s="336">
        <v>0</v>
      </c>
      <c r="RR14" s="336">
        <v>0</v>
      </c>
      <c r="RS14" s="336">
        <v>0</v>
      </c>
      <c r="RT14" s="336">
        <v>0</v>
      </c>
      <c r="RU14" s="336">
        <v>0</v>
      </c>
      <c r="RV14" s="336">
        <v>0</v>
      </c>
      <c r="RW14" s="336">
        <v>0</v>
      </c>
      <c r="RX14" s="336">
        <v>0</v>
      </c>
      <c r="RY14" s="336">
        <v>0</v>
      </c>
      <c r="RZ14" s="336">
        <v>0</v>
      </c>
      <c r="SA14" s="336">
        <v>0</v>
      </c>
      <c r="SB14" s="336">
        <v>0</v>
      </c>
      <c r="SC14" s="336">
        <v>0</v>
      </c>
      <c r="SD14" s="336">
        <v>0</v>
      </c>
      <c r="SE14" s="336">
        <v>0</v>
      </c>
      <c r="SF14" s="336">
        <v>0</v>
      </c>
      <c r="SG14" s="336">
        <v>0</v>
      </c>
      <c r="SH14" s="336">
        <v>0</v>
      </c>
      <c r="SI14" s="336">
        <v>0</v>
      </c>
      <c r="SJ14" s="336">
        <v>0</v>
      </c>
      <c r="SK14" s="336">
        <v>0</v>
      </c>
      <c r="SL14" s="336">
        <v>0</v>
      </c>
      <c r="SM14" s="336">
        <v>0</v>
      </c>
      <c r="SN14" s="336">
        <v>4096131</v>
      </c>
      <c r="SO14" s="336">
        <v>0</v>
      </c>
      <c r="SP14" s="336">
        <v>0</v>
      </c>
      <c r="SQ14" s="336">
        <v>1999265</v>
      </c>
      <c r="SR14" s="336">
        <v>9474335</v>
      </c>
      <c r="SS14" s="336">
        <v>4432782</v>
      </c>
      <c r="ST14" s="336">
        <v>632757</v>
      </c>
      <c r="SU14" s="336">
        <v>0</v>
      </c>
      <c r="SV14" s="336">
        <v>0</v>
      </c>
      <c r="SW14" s="336">
        <v>56074024</v>
      </c>
      <c r="SX14" s="336">
        <v>0</v>
      </c>
      <c r="SY14" s="336">
        <v>0</v>
      </c>
      <c r="SZ14" s="336" t="s">
        <v>1420</v>
      </c>
      <c r="TA14" s="336" t="s">
        <v>1420</v>
      </c>
      <c r="TB14" s="336" t="s">
        <v>1420</v>
      </c>
      <c r="TC14" s="336">
        <v>455537</v>
      </c>
      <c r="TD14" s="336">
        <v>417089</v>
      </c>
      <c r="TE14" s="336">
        <v>210374</v>
      </c>
      <c r="TF14" s="336">
        <v>4292020</v>
      </c>
      <c r="TG14" s="336">
        <v>7098502</v>
      </c>
      <c r="TH14" s="336">
        <v>193608</v>
      </c>
      <c r="TI14" s="336">
        <v>2522401</v>
      </c>
      <c r="TJ14" s="336">
        <v>1208846</v>
      </c>
      <c r="TK14" s="336">
        <v>0</v>
      </c>
      <c r="TL14" s="336">
        <v>140762</v>
      </c>
      <c r="TM14" s="336">
        <v>25818351</v>
      </c>
      <c r="TN14" s="336">
        <v>0</v>
      </c>
      <c r="TO14" s="336">
        <v>1225255</v>
      </c>
      <c r="TP14" s="336">
        <v>665315</v>
      </c>
      <c r="TQ14" s="336">
        <v>0</v>
      </c>
      <c r="TR14" s="336">
        <v>0</v>
      </c>
      <c r="TS14" s="336">
        <v>0</v>
      </c>
      <c r="TT14" s="336">
        <v>72136</v>
      </c>
      <c r="TU14" s="336">
        <v>89493</v>
      </c>
      <c r="TV14" s="336">
        <v>0</v>
      </c>
      <c r="TW14" s="336">
        <v>0</v>
      </c>
      <c r="TX14" s="336">
        <v>4961</v>
      </c>
      <c r="TY14" s="336">
        <v>670119</v>
      </c>
      <c r="TZ14" s="336">
        <v>0</v>
      </c>
      <c r="UA14" s="336">
        <v>5073843</v>
      </c>
      <c r="UB14" s="336">
        <v>0</v>
      </c>
      <c r="UC14" s="336">
        <v>0</v>
      </c>
      <c r="UD14" s="336">
        <v>0</v>
      </c>
      <c r="UE14" s="336">
        <v>18186950</v>
      </c>
      <c r="UF14" s="336">
        <v>372381</v>
      </c>
      <c r="UG14" s="336">
        <v>0</v>
      </c>
      <c r="UH14" s="336">
        <v>125314620</v>
      </c>
      <c r="UI14" s="336">
        <v>15367240</v>
      </c>
      <c r="UJ14" s="336">
        <v>19209153</v>
      </c>
      <c r="UK14" s="336">
        <v>1099525</v>
      </c>
      <c r="UL14" s="336">
        <v>62899049</v>
      </c>
      <c r="UM14" s="336">
        <v>34524900</v>
      </c>
      <c r="UN14" s="336">
        <v>30940313</v>
      </c>
      <c r="UO14" s="336">
        <v>28525503</v>
      </c>
      <c r="UP14" s="336">
        <v>27699346</v>
      </c>
      <c r="UQ14" s="336">
        <v>65042785</v>
      </c>
      <c r="UR14"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16539139</v>
      </c>
      <c r="US14" s="338">
        <f>SUM(Input[[#This Row],[Oth Exp E&amp;G]],Input[[#This Row],[Oth Exp Desg]],Input[[#This Row],[Oth Exp Aux]],Input[[#This Row],[Oth Exp R Exp]],Input[[#This Row],[Oth Exp Loan]],Input[[#This Row],[Oth Exp Annuity]],Input[[#This Row],[Oth Exp Unexp]],Input[[#This Row],[Oth Exp R of Ind]],Input[[#This Row],[Oth Exp Inv in P]])</f>
        <v>308687</v>
      </c>
      <c r="UT14" s="336">
        <v>8998402</v>
      </c>
      <c r="UU14" s="336">
        <v>30009416</v>
      </c>
      <c r="UV14" s="339" t="s">
        <v>1477</v>
      </c>
      <c r="UW14" s="340">
        <v>9362943405</v>
      </c>
      <c r="UX14" s="339" t="s">
        <v>1478</v>
      </c>
      <c r="UY14" s="339" t="s">
        <v>1479</v>
      </c>
      <c r="UZ14" s="340">
        <v>9362942766</v>
      </c>
      <c r="VA14" s="339" t="s">
        <v>1480</v>
      </c>
      <c r="VB14" s="341" t="str" cm="1">
        <f t="array" ref="VB14">IFERROR(_xlfn.IFS(Input[[#This Row],[Type]]="HRI",VLOOKUP(Input[[#This Row],[Institution Name]],FTSEHRI[],9,FALSE),Input[[#This Row],[Type]]="UNIV",VLOOKUP(Input[[#This Row],[Institution Name]],FTSEUNIV[],9,FALSE),OR(Input[[#This Row],[Type]]="TSTC",Input[[#This Row],[Type]]="LSC"),VLOOKUP(Input[[#This Row],[Institution Name]],FTSETSTC[],8,FALSE)),"N/A")</f>
        <v>N/A</v>
      </c>
      <c r="VC14" s="342" t="str" cm="1">
        <f t="array" ref="VC14">IFERROR(_xlfn.IFS(Input[[#This Row],[Type]]="HRI",VLOOKUP(Input[[#This Row],[Institution Name]],FTSEHRI[],11,FALSE),Input[[#This Row],[Type]]="UNIV",VLOOKUP(Input[[#This Row],[Institution Name]],FTSEUNIV[],11,FALSE),Input[[#This Row],[Type]]="TSTC",VLOOKUP(Input[[#This Row],[Institution Name]],FTSETSTC[],10,FALSE)),"N/A")</f>
        <v>N/A</v>
      </c>
      <c r="VD14"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137816190</v>
      </c>
      <c r="VE14"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18787013</v>
      </c>
      <c r="VF14" s="338">
        <f>SUM(Input[[#This Row],[Fed G&amp;C E&amp;G]],Input[[#This Row],[Fed G&amp;C Desg]],Input[[#This Row],[Fed G&amp;C R Exp]],Input[[#This Row],[Fed G&amp;C Loan]],Input[[#This Row],[Fed G&amp;C Annuity]],Input[[#This Row],[Fed G&amp;C Unexp]],Input[[#This Row],[Fed G&amp;C R of Ind]],Input[[#This Row],[Fed G&amp;C Inv in P]])</f>
        <v>62514290</v>
      </c>
      <c r="VG14"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40640531</v>
      </c>
      <c r="VH14"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84264886</v>
      </c>
      <c r="VI14"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87335050</v>
      </c>
      <c r="VJ14" s="338">
        <f>SUM(Input[[#This Row],[Oth Inc E&amp;G]],Input[[#This Row],[Oth Exp Desg]],Input[[#This Row],[Oth Exp R Exp]],Input[[#This Row],[Oth Exp Loan]],Input[[#This Row],[Oth Exp Annuity]],Input[[#This Row],[Oth Exp Unexp]],Input[[#This Row],[Oth Exp R of Ind]],Input[[#This Row],[Oth Exp Inv in P]])</f>
        <v>4609816</v>
      </c>
      <c r="VK14" s="343">
        <f>SUM(Input[[#This Row],[Instr E&amp;G]],Input[[#This Row],[Instr Desg]],Input[[#This Row],[Instr R Exp]],Input[[#This Row],[Instr Loan]],Input[[#This Row],[Instr Annuity]],Input[[#This Row],[Instr Unexp]],Input[[#This Row],[Instr R of Ind]],Input[[#This Row],[Instr Inv in P]])</f>
        <v>125314620</v>
      </c>
      <c r="VL14" s="343">
        <f>SUM(Input[[#This Row],[Res E&amp;G]],Input[[#This Row],[Res Desg]],Input[[#This Row],[Res R Exp]],Input[[#This Row],[Res Loan]],Input[[#This Row],[Res Annuity]],Input[[#This Row],[Res Unexp]],Input[[#This Row],[Res R of Ind]],Input[[#This Row],[Res Inv in P]])</f>
        <v>15367240</v>
      </c>
      <c r="VM14" s="343">
        <f>SUM(Input[[#This Row],[Acad Sup E&amp;G]],Input[[#This Row],[Acad Sup Desg]],Input[[#This Row],[Acad Sup R Exp]],Input[[#This Row],[Acad Sup Loan]],Input[[#This Row],[Acad Sup Annuity]],Input[[#This Row],[Acad Sup Unexp]],Input[[#This Row],[Acad Sup R of Ind]],Input[[#This Row],[Acad Sup Inv in P]])</f>
        <v>62899049</v>
      </c>
      <c r="VN14" s="343">
        <f>SUM(Input[[#This Row],[Stu Svc E&amp;G]],Input[[#This Row],[Stu Svc Desg]],Input[[#This Row],[Stu Svc R Exp]],Input[[#This Row],[Stu Svc Loan]],Input[[#This Row],[Stu Svc Annuity]],Input[[#This Row],[Stu Svc Unexp]],Input[[#This Row],[Stu Svc R of Ind]],Input[[#This Row],[Stu Svc Inv in P]])</f>
        <v>34524900</v>
      </c>
      <c r="VO14" s="343">
        <f>SUM(Input[[#This Row],[Inst. Spt E&amp;G]],Input[[#This Row],[Inst. Spt Desg]],Input[[#This Row],[Inst. Spt R Exp]],Input[[#This Row],[Inst. Spt Loan]],Input[[#This Row],[Inst. Spt Annuity]],Input[[#This Row],[Inst. Spt Unexp]],Input[[#This Row],[Inst. Spt R of Ind]],Input[[#This Row],[Inst. Spt Inv in P]])</f>
        <v>30940313</v>
      </c>
      <c r="VP14" s="343">
        <f>SUM(Input[[#This Row],[M&amp;O Plnt E&amp;G]],Input[[#This Row],[M&amp;O Plnt Desg]],Input[[#This Row],[M&amp;O Plnt R Exp]],Input[[#This Row],[M&amp;O Plnt Loan]],Input[[#This Row],[M&amp;O Plnt Annuity]],Input[[#This Row],[M&amp;O Plnt Unexp]],Input[[#This Row],[M&amp;O Plnt R of Ind]],Input[[#This Row],[M&amp;O Plnt Inv in P]])</f>
        <v>28525546</v>
      </c>
      <c r="VQ14" s="343">
        <f>SUM(Input[[#This Row],[Schl &amp; Fell E&amp;G]],Input[[#This Row],[Schl &amp; Fell Desg]],Input[[#This Row],[Schl &amp; Fell R Exp]],Input[[#This Row],[Schl &amp; Fell Loan]],Input[[#This Row],[Schl &amp; Fell Annuity]],Input[[#This Row],[Schl &amp; Fell Unexp]],Input[[#This Row],[Schl &amp; Fell R of Ind]],Input[[#This Row],[Schl &amp; Fell Inv in P]])</f>
        <v>27255578</v>
      </c>
      <c r="VR14" s="343">
        <f>SUM(Input[[#This Row],[Cap Out fund E&amp;G]],Input[[#This Row],[Cap Out fund Desg]],Input[[#This Row],[Cap Out fund R Exp]],Input[[#This Row],[Cap Out fund Loan]],Input[[#This Row],[Cap Out fund Annuity]],Input[[#This Row],[Cap Out fund Unexp]],Input[[#This Row],[Cap Out fund R of Ind]],Input[[#This Row],[Cap Out fund Inv in P]])</f>
        <v>12106357</v>
      </c>
      <c r="VS14" s="343">
        <f>SUM(Input[[#This Row],[Oth Exp E&amp;G]],Input[[#This Row],[Oth Exp Desg]],Input[[#This Row],[Oth Exp R Exp]],Input[[#This Row],[Oth Exp Loan]],Input[[#This Row],[Oth Exp Annuity]],Input[[#This Row],[Oth Exp Unexp]],Input[[#This Row],[Oth Exp R of Ind]],Input[[#This Row],[Oth Exp Inv in P]],Input[[#This Row],[Oth Exp Inv in P]])</f>
        <v>308687</v>
      </c>
    </row>
    <row r="15" spans="1:591" s="344" customFormat="1" ht="27" customHeight="1" x14ac:dyDescent="0.55000000000000004">
      <c r="A15" s="339" t="s">
        <v>744</v>
      </c>
      <c r="B15" s="334" t="s">
        <v>825</v>
      </c>
      <c r="C15" s="334" t="s">
        <v>14</v>
      </c>
      <c r="D15" s="334">
        <v>530</v>
      </c>
      <c r="E15" s="334" t="s">
        <v>1623</v>
      </c>
      <c r="F15" s="335">
        <v>103606</v>
      </c>
      <c r="G15" s="336">
        <v>16920461</v>
      </c>
      <c r="H15" s="336">
        <v>0</v>
      </c>
      <c r="I15" s="336">
        <v>0</v>
      </c>
      <c r="J15" s="336">
        <v>0</v>
      </c>
      <c r="K15" s="336">
        <v>0</v>
      </c>
      <c r="L15" s="336">
        <v>0</v>
      </c>
      <c r="M15" s="336">
        <v>0</v>
      </c>
      <c r="N15" s="336">
        <v>0</v>
      </c>
      <c r="O15" s="336">
        <v>0</v>
      </c>
      <c r="P15" s="336">
        <v>1212585</v>
      </c>
      <c r="Q15" s="336">
        <v>0</v>
      </c>
      <c r="R15" s="336">
        <v>0</v>
      </c>
      <c r="S15" s="336">
        <v>1653</v>
      </c>
      <c r="T15" s="336">
        <v>0</v>
      </c>
      <c r="U15" s="336">
        <v>0</v>
      </c>
      <c r="V15" s="336">
        <v>0</v>
      </c>
      <c r="W15" s="336">
        <v>0</v>
      </c>
      <c r="X15" s="336">
        <v>0</v>
      </c>
      <c r="Y15" s="336">
        <v>0</v>
      </c>
      <c r="Z15" s="336">
        <v>0</v>
      </c>
      <c r="AA15" s="336">
        <v>0</v>
      </c>
      <c r="AB15" s="336">
        <v>0</v>
      </c>
      <c r="AC15" s="336">
        <v>0</v>
      </c>
      <c r="AD15" s="336">
        <v>0</v>
      </c>
      <c r="AE15" s="336">
        <v>0</v>
      </c>
      <c r="AF15" s="336">
        <v>0</v>
      </c>
      <c r="AG15" s="336">
        <v>0</v>
      </c>
      <c r="AH15" s="336">
        <v>0</v>
      </c>
      <c r="AI15" s="336">
        <v>0</v>
      </c>
      <c r="AJ15" s="336">
        <v>0</v>
      </c>
      <c r="AK15" s="336">
        <v>0</v>
      </c>
      <c r="AL15" s="336">
        <v>0</v>
      </c>
      <c r="AM15" s="336">
        <v>0</v>
      </c>
      <c r="AN15" s="336">
        <v>0</v>
      </c>
      <c r="AO15" s="336">
        <v>0</v>
      </c>
      <c r="AP15" s="336">
        <v>0</v>
      </c>
      <c r="AQ15" s="336">
        <v>0</v>
      </c>
      <c r="AR15" s="336">
        <v>0</v>
      </c>
      <c r="AS15" s="336">
        <v>0</v>
      </c>
      <c r="AT15" s="336">
        <v>0</v>
      </c>
      <c r="AU15" s="336">
        <v>0</v>
      </c>
      <c r="AV15" s="336">
        <v>0</v>
      </c>
      <c r="AW15" s="336">
        <v>0</v>
      </c>
      <c r="AX15" s="336">
        <v>0</v>
      </c>
      <c r="AY15" s="336">
        <v>0</v>
      </c>
      <c r="AZ15" s="336">
        <v>0</v>
      </c>
      <c r="BA15" s="336">
        <v>0</v>
      </c>
      <c r="BB15" s="336">
        <v>0</v>
      </c>
      <c r="BC15" s="336">
        <v>0</v>
      </c>
      <c r="BD15" s="336">
        <v>0</v>
      </c>
      <c r="BE15" s="336">
        <v>0</v>
      </c>
      <c r="BF15" s="336">
        <v>0</v>
      </c>
      <c r="BG15" s="336">
        <v>0</v>
      </c>
      <c r="BH15" s="336">
        <v>0</v>
      </c>
      <c r="BI15" s="336">
        <v>0</v>
      </c>
      <c r="BJ15" s="336">
        <v>0</v>
      </c>
      <c r="BK15" s="336">
        <v>0</v>
      </c>
      <c r="BL15" s="336">
        <v>0</v>
      </c>
      <c r="BM15" s="336">
        <v>0</v>
      </c>
      <c r="BN15" s="336">
        <v>0</v>
      </c>
      <c r="BO15" s="336">
        <v>0</v>
      </c>
      <c r="BP15" s="336">
        <v>0</v>
      </c>
      <c r="BQ15" s="336">
        <v>0</v>
      </c>
      <c r="BR15" s="336">
        <v>0</v>
      </c>
      <c r="BS15" s="336">
        <v>0</v>
      </c>
      <c r="BT15" s="336">
        <v>0</v>
      </c>
      <c r="BU15" s="336">
        <v>0</v>
      </c>
      <c r="BV15" s="336">
        <v>0</v>
      </c>
      <c r="BW15" s="336">
        <v>0</v>
      </c>
      <c r="BX15" s="336">
        <v>0</v>
      </c>
      <c r="BY15" s="336">
        <v>0</v>
      </c>
      <c r="BZ15" s="336">
        <v>0</v>
      </c>
      <c r="CA15" s="336">
        <v>3247490</v>
      </c>
      <c r="CB15" s="336">
        <v>9564270</v>
      </c>
      <c r="CC15" s="336">
        <v>0</v>
      </c>
      <c r="CD15" s="336">
        <v>0</v>
      </c>
      <c r="CE15" s="336">
        <v>0</v>
      </c>
      <c r="CF15" s="336">
        <v>0</v>
      </c>
      <c r="CG15" s="336">
        <v>0</v>
      </c>
      <c r="CH15" s="336">
        <v>0</v>
      </c>
      <c r="CI15" s="336">
        <v>0</v>
      </c>
      <c r="CJ15" s="336">
        <v>0</v>
      </c>
      <c r="CK15" s="336">
        <v>-19527</v>
      </c>
      <c r="CL15" s="336">
        <v>0</v>
      </c>
      <c r="CM15" s="336">
        <v>0</v>
      </c>
      <c r="CN15" s="336">
        <v>0</v>
      </c>
      <c r="CO15" s="336">
        <v>0</v>
      </c>
      <c r="CP15" s="336">
        <v>0</v>
      </c>
      <c r="CQ15" s="336">
        <v>0</v>
      </c>
      <c r="CR15" s="336">
        <v>0</v>
      </c>
      <c r="CS15" s="336">
        <v>0</v>
      </c>
      <c r="CT15" s="336">
        <v>0</v>
      </c>
      <c r="CU15" s="336">
        <v>0</v>
      </c>
      <c r="CV15" s="336">
        <v>0</v>
      </c>
      <c r="CW15" s="336">
        <v>0</v>
      </c>
      <c r="CX15" s="336">
        <v>0</v>
      </c>
      <c r="CY15" s="336">
        <v>0</v>
      </c>
      <c r="CZ15" s="336">
        <v>0</v>
      </c>
      <c r="DA15" s="336">
        <v>0</v>
      </c>
      <c r="DB15" s="336">
        <v>0</v>
      </c>
      <c r="DC15" s="336">
        <v>0</v>
      </c>
      <c r="DD15" s="336">
        <v>0</v>
      </c>
      <c r="DE15" s="336">
        <v>0</v>
      </c>
      <c r="DF15" s="336">
        <v>0</v>
      </c>
      <c r="DG15" s="336">
        <v>0</v>
      </c>
      <c r="DH15" s="336">
        <v>0</v>
      </c>
      <c r="DI15" s="336">
        <v>0</v>
      </c>
      <c r="DJ15" s="336">
        <v>0</v>
      </c>
      <c r="DK15" s="336">
        <v>0</v>
      </c>
      <c r="DL15" s="336">
        <v>0</v>
      </c>
      <c r="DM15" s="336">
        <v>0</v>
      </c>
      <c r="DN15" s="336">
        <v>0</v>
      </c>
      <c r="DO15" s="336">
        <v>0</v>
      </c>
      <c r="DP15" s="336">
        <v>0</v>
      </c>
      <c r="DQ15" s="336">
        <v>0</v>
      </c>
      <c r="DR15" s="336">
        <v>0</v>
      </c>
      <c r="DS15" s="336">
        <v>0</v>
      </c>
      <c r="DT15" s="336">
        <v>0</v>
      </c>
      <c r="DU15" s="336">
        <v>0</v>
      </c>
      <c r="DV15" s="336">
        <v>0</v>
      </c>
      <c r="DW15" s="336">
        <v>0</v>
      </c>
      <c r="DX15" s="336">
        <v>0</v>
      </c>
      <c r="DY15" s="336">
        <v>0</v>
      </c>
      <c r="DZ15" s="336">
        <v>0</v>
      </c>
      <c r="EA15" s="336">
        <v>0</v>
      </c>
      <c r="EB15" s="336">
        <v>0</v>
      </c>
      <c r="EC15" s="336">
        <v>0</v>
      </c>
      <c r="ED15" s="336">
        <v>0</v>
      </c>
      <c r="EE15" s="336">
        <v>0</v>
      </c>
      <c r="EF15" s="336">
        <v>0</v>
      </c>
      <c r="EG15" s="336">
        <v>0</v>
      </c>
      <c r="EH15" s="336">
        <v>0</v>
      </c>
      <c r="EI15" s="336">
        <v>0</v>
      </c>
      <c r="EJ15" s="336">
        <v>0</v>
      </c>
      <c r="EK15" s="336">
        <v>0</v>
      </c>
      <c r="EL15" s="336">
        <v>0</v>
      </c>
      <c r="EM15" s="336">
        <v>0</v>
      </c>
      <c r="EN15" s="336">
        <v>0</v>
      </c>
      <c r="EO15" s="336">
        <v>0</v>
      </c>
      <c r="EP15" s="336">
        <v>0</v>
      </c>
      <c r="EQ15" s="336">
        <v>0</v>
      </c>
      <c r="ER15" s="336">
        <v>0</v>
      </c>
      <c r="ES15" s="336">
        <v>0</v>
      </c>
      <c r="ET15" s="336">
        <v>0</v>
      </c>
      <c r="EU15" s="336">
        <v>0</v>
      </c>
      <c r="EV15" s="336">
        <v>0</v>
      </c>
      <c r="EW15" s="336">
        <v>0</v>
      </c>
      <c r="EX15" s="336">
        <v>0</v>
      </c>
      <c r="EY15" s="336">
        <v>0</v>
      </c>
      <c r="EZ15" s="336">
        <v>0</v>
      </c>
      <c r="FA15" s="336">
        <v>0</v>
      </c>
      <c r="FB15" s="336">
        <v>0</v>
      </c>
      <c r="FC15" s="336">
        <v>0</v>
      </c>
      <c r="FD15" s="336">
        <v>0</v>
      </c>
      <c r="FE15" s="336">
        <v>0</v>
      </c>
      <c r="FF15" s="336">
        <v>0</v>
      </c>
      <c r="FG15" s="336">
        <v>0</v>
      </c>
      <c r="FH15" s="336">
        <v>0</v>
      </c>
      <c r="FI15" s="336">
        <v>0</v>
      </c>
      <c r="FJ15" s="336">
        <v>0</v>
      </c>
      <c r="FK15" s="336">
        <v>0</v>
      </c>
      <c r="FL15" s="336">
        <v>0</v>
      </c>
      <c r="FM15" s="336">
        <v>0</v>
      </c>
      <c r="FN15" s="336">
        <v>0</v>
      </c>
      <c r="FO15" s="336">
        <v>0</v>
      </c>
      <c r="FP15" s="336">
        <v>0</v>
      </c>
      <c r="FQ15" s="336">
        <v>0</v>
      </c>
      <c r="FR15" s="336">
        <v>0</v>
      </c>
      <c r="FS15" s="336">
        <v>0</v>
      </c>
      <c r="FT15" s="336">
        <v>0</v>
      </c>
      <c r="FU15" s="336">
        <v>0</v>
      </c>
      <c r="FV15" s="336">
        <v>0</v>
      </c>
      <c r="FW15" s="336">
        <v>0</v>
      </c>
      <c r="FX15" s="336">
        <v>0</v>
      </c>
      <c r="FY15" s="336">
        <v>0</v>
      </c>
      <c r="FZ15" s="336">
        <v>0</v>
      </c>
      <c r="GA15" s="336">
        <v>0</v>
      </c>
      <c r="GB15" s="336">
        <v>0</v>
      </c>
      <c r="GC15" s="336">
        <v>0</v>
      </c>
      <c r="GD15" s="336">
        <v>0</v>
      </c>
      <c r="GE15" s="336">
        <v>0</v>
      </c>
      <c r="GF15" s="336">
        <v>0</v>
      </c>
      <c r="GG15" s="336">
        <v>0</v>
      </c>
      <c r="GH15" s="336">
        <v>0</v>
      </c>
      <c r="GI15" s="336">
        <v>0</v>
      </c>
      <c r="GJ15" s="336">
        <v>0</v>
      </c>
      <c r="GK15" s="336">
        <v>0</v>
      </c>
      <c r="GL15" s="336">
        <v>0</v>
      </c>
      <c r="GM15" s="336">
        <v>0</v>
      </c>
      <c r="GN15" s="336">
        <v>0</v>
      </c>
      <c r="GO15" s="336">
        <v>0</v>
      </c>
      <c r="GP15" s="336">
        <v>0</v>
      </c>
      <c r="GQ15" s="336">
        <v>0</v>
      </c>
      <c r="GR15" s="336">
        <v>0</v>
      </c>
      <c r="GS15" s="336">
        <v>0</v>
      </c>
      <c r="GT15" s="336">
        <v>0</v>
      </c>
      <c r="GU15" s="336">
        <v>0</v>
      </c>
      <c r="GV15" s="336">
        <v>0</v>
      </c>
      <c r="GW15" s="336">
        <v>0</v>
      </c>
      <c r="GX15" s="336">
        <v>0</v>
      </c>
      <c r="GY15" s="336">
        <v>0</v>
      </c>
      <c r="GZ15" s="336">
        <v>0</v>
      </c>
      <c r="HA15" s="336">
        <v>0</v>
      </c>
      <c r="HB15" s="336">
        <v>0</v>
      </c>
      <c r="HC15" s="336">
        <v>0</v>
      </c>
      <c r="HD15" s="336">
        <v>0</v>
      </c>
      <c r="HE15" s="336">
        <v>0</v>
      </c>
      <c r="HF15" s="336">
        <v>0</v>
      </c>
      <c r="HG15" s="336">
        <v>0</v>
      </c>
      <c r="HH15" s="336">
        <v>0</v>
      </c>
      <c r="HI15" s="336">
        <v>0</v>
      </c>
      <c r="HJ15" s="336">
        <v>0</v>
      </c>
      <c r="HK15" s="336">
        <v>0</v>
      </c>
      <c r="HL15" s="336">
        <v>0</v>
      </c>
      <c r="HM15" s="336">
        <v>0</v>
      </c>
      <c r="HN15" s="336">
        <v>0</v>
      </c>
      <c r="HO15" s="336">
        <v>0</v>
      </c>
      <c r="HP15" s="336">
        <v>0</v>
      </c>
      <c r="HQ15" s="336">
        <v>0</v>
      </c>
      <c r="HR15" s="336">
        <v>345462</v>
      </c>
      <c r="HS15" s="336">
        <v>0</v>
      </c>
      <c r="HT15" s="336">
        <v>0</v>
      </c>
      <c r="HU15" s="336">
        <v>0</v>
      </c>
      <c r="HV15" s="336">
        <v>0</v>
      </c>
      <c r="HW15" s="336">
        <v>0</v>
      </c>
      <c r="HX15" s="336">
        <v>0</v>
      </c>
      <c r="HY15" s="336">
        <v>0</v>
      </c>
      <c r="HZ15" s="336">
        <v>0</v>
      </c>
      <c r="IA15" s="336">
        <v>0</v>
      </c>
      <c r="IB15" s="336">
        <v>0</v>
      </c>
      <c r="IC15" s="336">
        <v>0</v>
      </c>
      <c r="ID15" s="336">
        <v>0</v>
      </c>
      <c r="IE15" s="336">
        <v>0</v>
      </c>
      <c r="IF15" s="336">
        <v>0</v>
      </c>
      <c r="IG15" s="336">
        <v>0</v>
      </c>
      <c r="IH15" s="336">
        <v>0</v>
      </c>
      <c r="II15" s="336">
        <v>372381</v>
      </c>
      <c r="IJ15" s="336">
        <v>0</v>
      </c>
      <c r="IK15" s="336">
        <v>0</v>
      </c>
      <c r="IL15" s="336">
        <v>0</v>
      </c>
      <c r="IM15" s="336">
        <v>0</v>
      </c>
      <c r="IN15" s="336">
        <v>0</v>
      </c>
      <c r="IO15" s="336">
        <v>0</v>
      </c>
      <c r="IP15" s="336">
        <v>0</v>
      </c>
      <c r="IQ15" s="336">
        <v>0</v>
      </c>
      <c r="IR15" s="336">
        <v>0</v>
      </c>
      <c r="IS15" s="336">
        <v>12014</v>
      </c>
      <c r="IT15" s="336">
        <v>0</v>
      </c>
      <c r="IU15" s="336">
        <v>0</v>
      </c>
      <c r="IV15" s="336">
        <v>0</v>
      </c>
      <c r="IW15" s="336">
        <v>0</v>
      </c>
      <c r="IX15" s="336">
        <v>0</v>
      </c>
      <c r="IY15" s="336">
        <v>0</v>
      </c>
      <c r="IZ15" s="336">
        <v>0</v>
      </c>
      <c r="JA15" s="336">
        <v>0</v>
      </c>
      <c r="JB15" s="336">
        <v>732690</v>
      </c>
      <c r="JC15" s="336">
        <v>0</v>
      </c>
      <c r="JD15" s="336">
        <v>0</v>
      </c>
      <c r="JE15" s="336">
        <v>0</v>
      </c>
      <c r="JF15" s="336">
        <v>0</v>
      </c>
      <c r="JG15" s="336">
        <v>0</v>
      </c>
      <c r="JH15" s="336">
        <v>0</v>
      </c>
      <c r="JI15" s="336">
        <v>0</v>
      </c>
      <c r="JJ15" s="336">
        <v>0</v>
      </c>
      <c r="JK15" s="336">
        <v>1036881</v>
      </c>
      <c r="JL15" s="336">
        <v>0</v>
      </c>
      <c r="JM15" s="336">
        <v>0</v>
      </c>
      <c r="JN15" s="336">
        <v>0</v>
      </c>
      <c r="JO15" s="336">
        <v>0</v>
      </c>
      <c r="JP15" s="336">
        <v>0</v>
      </c>
      <c r="JQ15" s="336">
        <v>0</v>
      </c>
      <c r="JR15" s="336">
        <v>323730</v>
      </c>
      <c r="JS15" s="336">
        <v>0</v>
      </c>
      <c r="JT15" s="336">
        <v>0</v>
      </c>
      <c r="JU15" s="336">
        <v>0</v>
      </c>
      <c r="JV15" s="336">
        <v>0</v>
      </c>
      <c r="JW15" s="336">
        <v>0</v>
      </c>
      <c r="JX15" s="336">
        <v>0</v>
      </c>
      <c r="JY15" s="336">
        <v>0</v>
      </c>
      <c r="JZ15" s="336">
        <v>0</v>
      </c>
      <c r="KA15" s="336">
        <v>0</v>
      </c>
      <c r="KB15" s="336">
        <v>0</v>
      </c>
      <c r="KC15" s="336">
        <v>0</v>
      </c>
      <c r="KD15" s="336">
        <v>0</v>
      </c>
      <c r="KE15" s="336">
        <v>0</v>
      </c>
      <c r="KF15" s="336">
        <v>0</v>
      </c>
      <c r="KG15" s="336">
        <v>0</v>
      </c>
      <c r="KH15" s="336">
        <v>0</v>
      </c>
      <c r="KI15" s="336">
        <v>2330</v>
      </c>
      <c r="KJ15" s="336">
        <v>1418</v>
      </c>
      <c r="KK15" s="336">
        <v>0</v>
      </c>
      <c r="KL15" s="336">
        <v>-122188</v>
      </c>
      <c r="KM15" s="336">
        <v>0</v>
      </c>
      <c r="KN15" s="336">
        <v>0</v>
      </c>
      <c r="KO15" s="336">
        <v>0</v>
      </c>
      <c r="KP15" s="336">
        <v>0</v>
      </c>
      <c r="KQ15" s="336">
        <v>0</v>
      </c>
      <c r="KR15" s="336">
        <v>10483787</v>
      </c>
      <c r="KS15" s="336">
        <v>790798</v>
      </c>
      <c r="KT15" s="336">
        <v>0</v>
      </c>
      <c r="KU15" s="336">
        <v>1108492</v>
      </c>
      <c r="KV15" s="336">
        <v>0</v>
      </c>
      <c r="KW15" s="336">
        <v>0</v>
      </c>
      <c r="KX15" s="336">
        <v>0</v>
      </c>
      <c r="KY15" s="336">
        <v>0</v>
      </c>
      <c r="KZ15" s="336">
        <v>0</v>
      </c>
      <c r="LA15" s="336">
        <v>799763</v>
      </c>
      <c r="LB15" s="336">
        <v>210585</v>
      </c>
      <c r="LC15" s="336">
        <v>0</v>
      </c>
      <c r="LD15" s="336">
        <v>26246</v>
      </c>
      <c r="LE15" s="336">
        <v>0</v>
      </c>
      <c r="LF15" s="336">
        <v>0</v>
      </c>
      <c r="LG15" s="336">
        <v>0</v>
      </c>
      <c r="LH15" s="336">
        <v>0</v>
      </c>
      <c r="LI15" s="336">
        <v>0</v>
      </c>
      <c r="LJ15" s="336">
        <v>0</v>
      </c>
      <c r="LK15" s="336">
        <v>0</v>
      </c>
      <c r="LL15" s="336">
        <v>0</v>
      </c>
      <c r="LM15" s="336">
        <v>169450</v>
      </c>
      <c r="LN15" s="336">
        <v>0</v>
      </c>
      <c r="LO15" s="336">
        <v>0</v>
      </c>
      <c r="LP15" s="336">
        <v>0</v>
      </c>
      <c r="LQ15" s="336">
        <v>0</v>
      </c>
      <c r="LR15" s="336">
        <v>0</v>
      </c>
      <c r="LS15" s="336">
        <v>0</v>
      </c>
      <c r="LT15" s="336">
        <v>0</v>
      </c>
      <c r="LU15" s="336">
        <v>1099525</v>
      </c>
      <c r="LV15" s="336">
        <v>0</v>
      </c>
      <c r="LW15" s="336">
        <v>0</v>
      </c>
      <c r="LX15" s="336">
        <v>0</v>
      </c>
      <c r="LY15" s="336">
        <v>0</v>
      </c>
      <c r="LZ15" s="336">
        <v>0</v>
      </c>
      <c r="MA15" s="336">
        <v>0</v>
      </c>
      <c r="MB15" s="336">
        <v>4280380</v>
      </c>
      <c r="MC15" s="336">
        <v>948838</v>
      </c>
      <c r="MD15" s="336">
        <v>0</v>
      </c>
      <c r="ME15" s="336">
        <v>667324</v>
      </c>
      <c r="MF15" s="336">
        <v>0</v>
      </c>
      <c r="MG15" s="336">
        <v>0</v>
      </c>
      <c r="MH15" s="336">
        <v>0</v>
      </c>
      <c r="MI15" s="336">
        <v>0</v>
      </c>
      <c r="MJ15" s="336">
        <v>0</v>
      </c>
      <c r="MK15" s="336">
        <v>1532758</v>
      </c>
      <c r="ML15" s="336">
        <v>338591</v>
      </c>
      <c r="MM15" s="336">
        <v>0</v>
      </c>
      <c r="MN15" s="336">
        <v>-4101</v>
      </c>
      <c r="MO15" s="336">
        <v>0</v>
      </c>
      <c r="MP15" s="336">
        <v>0</v>
      </c>
      <c r="MQ15" s="336">
        <v>0</v>
      </c>
      <c r="MR15" s="336">
        <v>0</v>
      </c>
      <c r="MS15" s="336">
        <v>0</v>
      </c>
      <c r="MT15" s="336">
        <v>0</v>
      </c>
      <c r="MU15" s="336">
        <v>0</v>
      </c>
      <c r="MV15" s="336">
        <v>0</v>
      </c>
      <c r="MW15" s="336">
        <v>0</v>
      </c>
      <c r="MX15" s="336">
        <v>0</v>
      </c>
      <c r="MY15" s="336">
        <v>0</v>
      </c>
      <c r="MZ15" s="336">
        <v>0</v>
      </c>
      <c r="NA15" s="336">
        <v>0</v>
      </c>
      <c r="NB15" s="336">
        <v>0</v>
      </c>
      <c r="NC15" s="336">
        <v>500609</v>
      </c>
      <c r="ND15" s="336">
        <v>112200</v>
      </c>
      <c r="NE15" s="336">
        <v>0</v>
      </c>
      <c r="NF15" s="336">
        <v>0</v>
      </c>
      <c r="NG15" s="336">
        <v>0</v>
      </c>
      <c r="NH15" s="336">
        <v>0</v>
      </c>
      <c r="NI15" s="336">
        <v>0</v>
      </c>
      <c r="NJ15" s="336">
        <v>0</v>
      </c>
      <c r="NK15" s="336">
        <v>0</v>
      </c>
      <c r="NL15" s="336">
        <v>0</v>
      </c>
      <c r="NM15" s="336">
        <v>24380</v>
      </c>
      <c r="NN15" s="336">
        <v>0</v>
      </c>
      <c r="NO15" s="336">
        <v>54875</v>
      </c>
      <c r="NP15" s="336">
        <v>0</v>
      </c>
      <c r="NQ15" s="336">
        <v>0</v>
      </c>
      <c r="NR15" s="336">
        <v>0</v>
      </c>
      <c r="NS15" s="336">
        <v>0</v>
      </c>
      <c r="NT15" s="336">
        <v>0</v>
      </c>
      <c r="NU15" s="336">
        <v>0</v>
      </c>
      <c r="NV15" s="336">
        <v>0</v>
      </c>
      <c r="NW15" s="336">
        <v>0</v>
      </c>
      <c r="NX15" s="336">
        <v>0</v>
      </c>
      <c r="NY15" s="336">
        <v>0</v>
      </c>
      <c r="NZ15" s="336">
        <v>0</v>
      </c>
      <c r="OA15" s="336">
        <v>0</v>
      </c>
      <c r="OB15" s="336">
        <v>0</v>
      </c>
      <c r="OC15" s="336">
        <v>0</v>
      </c>
      <c r="OD15" s="336">
        <v>204317</v>
      </c>
      <c r="OE15" s="336">
        <v>18503</v>
      </c>
      <c r="OF15" s="336">
        <v>4292020</v>
      </c>
      <c r="OG15" s="336">
        <v>0</v>
      </c>
      <c r="OH15" s="336">
        <v>0</v>
      </c>
      <c r="OI15" s="336">
        <v>0</v>
      </c>
      <c r="OJ15" s="336">
        <v>0</v>
      </c>
      <c r="OK15" s="336">
        <v>0</v>
      </c>
      <c r="OL15" s="336">
        <v>0</v>
      </c>
      <c r="OM15" s="336">
        <v>0</v>
      </c>
      <c r="ON15" s="336">
        <v>0</v>
      </c>
      <c r="OO15" s="336">
        <v>0</v>
      </c>
      <c r="OP15" s="336">
        <v>0</v>
      </c>
      <c r="OQ15" s="336">
        <v>0</v>
      </c>
      <c r="OR15" s="336">
        <v>0</v>
      </c>
      <c r="OS15" s="336">
        <v>0</v>
      </c>
      <c r="OT15" s="336">
        <v>0</v>
      </c>
      <c r="OU15" s="336">
        <v>0</v>
      </c>
      <c r="OV15" s="336">
        <v>0</v>
      </c>
      <c r="OW15" s="336">
        <v>0</v>
      </c>
      <c r="OX15" s="336">
        <v>0</v>
      </c>
      <c r="OY15" s="336">
        <v>0</v>
      </c>
      <c r="OZ15" s="336">
        <v>0</v>
      </c>
      <c r="PA15" s="336">
        <v>0</v>
      </c>
      <c r="PB15" s="336">
        <v>-13791384</v>
      </c>
      <c r="PC15" s="336">
        <v>0</v>
      </c>
      <c r="PD15" s="336">
        <v>0</v>
      </c>
      <c r="PE15" s="336">
        <v>0</v>
      </c>
      <c r="PF15" s="336">
        <v>-3687431</v>
      </c>
      <c r="PG15" s="336">
        <v>0</v>
      </c>
      <c r="PH15" s="336">
        <v>0</v>
      </c>
      <c r="PI15" s="336">
        <v>0</v>
      </c>
      <c r="PJ15" s="336">
        <v>0</v>
      </c>
      <c r="PK15" s="336">
        <v>14165738</v>
      </c>
      <c r="PL15" s="336">
        <v>0</v>
      </c>
      <c r="PM15" s="336">
        <v>0</v>
      </c>
      <c r="PN15" s="336">
        <v>0</v>
      </c>
      <c r="PO15" s="336">
        <v>0</v>
      </c>
      <c r="PP15" s="336">
        <v>0</v>
      </c>
      <c r="PQ15" s="336">
        <v>0</v>
      </c>
      <c r="PR15" s="336">
        <v>0</v>
      </c>
      <c r="PS15" s="336">
        <v>0</v>
      </c>
      <c r="PT15" s="336">
        <v>0</v>
      </c>
      <c r="PU15" s="336">
        <v>0</v>
      </c>
      <c r="PV15" s="336">
        <v>0</v>
      </c>
      <c r="PW15" s="336">
        <v>0</v>
      </c>
      <c r="PX15" s="336">
        <v>0</v>
      </c>
      <c r="PY15" s="336">
        <v>0</v>
      </c>
      <c r="PZ15" s="336">
        <v>0</v>
      </c>
      <c r="QA15" s="336">
        <v>0</v>
      </c>
      <c r="QB15" s="336">
        <v>0</v>
      </c>
      <c r="QC15" s="336">
        <v>0</v>
      </c>
      <c r="QD15" s="336">
        <v>0</v>
      </c>
      <c r="QE15" s="336">
        <v>0</v>
      </c>
      <c r="QF15" s="336">
        <v>0</v>
      </c>
      <c r="QG15" s="336">
        <v>0</v>
      </c>
      <c r="QH15" s="336">
        <v>0</v>
      </c>
      <c r="QI15" s="336">
        <v>0</v>
      </c>
      <c r="QJ15" s="336">
        <v>0</v>
      </c>
      <c r="QK15" s="336">
        <v>56283</v>
      </c>
      <c r="QL15" s="336">
        <v>0</v>
      </c>
      <c r="QM15" s="336">
        <v>0</v>
      </c>
      <c r="QN15" s="336">
        <v>0</v>
      </c>
      <c r="QO15" s="336">
        <v>0</v>
      </c>
      <c r="QP15" s="336">
        <v>0</v>
      </c>
      <c r="QQ15" s="336">
        <v>0</v>
      </c>
      <c r="QR15" s="336">
        <v>0</v>
      </c>
      <c r="QS15" s="336">
        <v>0</v>
      </c>
      <c r="QT15" s="336">
        <v>11350</v>
      </c>
      <c r="QU15" s="336">
        <v>0</v>
      </c>
      <c r="QV15" s="336">
        <v>0</v>
      </c>
      <c r="QW15" s="336">
        <v>0</v>
      </c>
      <c r="QX15" s="336">
        <v>0</v>
      </c>
      <c r="QY15" s="336">
        <v>0</v>
      </c>
      <c r="QZ15" s="336">
        <v>0</v>
      </c>
      <c r="RA15" s="336">
        <v>0</v>
      </c>
      <c r="RB15" s="336">
        <v>0</v>
      </c>
      <c r="RC15" s="336">
        <v>0</v>
      </c>
      <c r="RD15" s="336">
        <v>0</v>
      </c>
      <c r="RE15" s="336">
        <v>0</v>
      </c>
      <c r="RF15" s="336">
        <v>0</v>
      </c>
      <c r="RG15" s="336">
        <v>0</v>
      </c>
      <c r="RH15" s="336">
        <v>0</v>
      </c>
      <c r="RI15" s="336">
        <v>0</v>
      </c>
      <c r="RJ15" s="336">
        <v>0</v>
      </c>
      <c r="RK15" s="336">
        <v>0</v>
      </c>
      <c r="RL15" s="336">
        <v>0</v>
      </c>
      <c r="RM15" s="336">
        <v>0</v>
      </c>
      <c r="RN15" s="336">
        <v>0</v>
      </c>
      <c r="RO15" s="336">
        <v>-648742</v>
      </c>
      <c r="RP15" s="336">
        <v>0</v>
      </c>
      <c r="RQ15" s="336">
        <v>0</v>
      </c>
      <c r="RR15" s="336">
        <v>0</v>
      </c>
      <c r="RS15" s="336">
        <v>0</v>
      </c>
      <c r="RT15" s="336">
        <v>0</v>
      </c>
      <c r="RU15" s="336">
        <v>0</v>
      </c>
      <c r="RV15" s="336">
        <v>0</v>
      </c>
      <c r="RW15" s="336">
        <v>0</v>
      </c>
      <c r="RX15" s="336">
        <v>0</v>
      </c>
      <c r="RY15" s="336">
        <v>0</v>
      </c>
      <c r="RZ15" s="336">
        <v>0</v>
      </c>
      <c r="SA15" s="336">
        <v>0</v>
      </c>
      <c r="SB15" s="336">
        <v>0</v>
      </c>
      <c r="SC15" s="336">
        <v>0</v>
      </c>
      <c r="SD15" s="336">
        <v>0</v>
      </c>
      <c r="SE15" s="336">
        <v>0</v>
      </c>
      <c r="SF15" s="336">
        <v>0</v>
      </c>
      <c r="SG15" s="336">
        <v>0</v>
      </c>
      <c r="SH15" s="336">
        <v>0</v>
      </c>
      <c r="SI15" s="336">
        <v>0</v>
      </c>
      <c r="SJ15" s="336">
        <v>0</v>
      </c>
      <c r="SK15" s="336">
        <v>0</v>
      </c>
      <c r="SL15" s="336">
        <v>0</v>
      </c>
      <c r="SM15" s="336">
        <v>0</v>
      </c>
      <c r="SN15" s="336">
        <v>0</v>
      </c>
      <c r="SO15" s="336">
        <v>0</v>
      </c>
      <c r="SP15" s="336">
        <v>0</v>
      </c>
      <c r="SQ15" s="336">
        <v>204317</v>
      </c>
      <c r="SR15" s="336">
        <v>18503</v>
      </c>
      <c r="SS15" s="336">
        <v>4292020</v>
      </c>
      <c r="ST15" s="336">
        <v>0</v>
      </c>
      <c r="SU15" s="336">
        <v>0</v>
      </c>
      <c r="SV15" s="336">
        <v>0</v>
      </c>
      <c r="SW15" s="336">
        <v>13791384</v>
      </c>
      <c r="SX15" s="336">
        <v>0</v>
      </c>
      <c r="SY15" s="336">
        <v>0</v>
      </c>
      <c r="SZ15" s="336" t="s">
        <v>1420</v>
      </c>
      <c r="TA15" s="336" t="s">
        <v>1420</v>
      </c>
      <c r="TB15" s="336" t="s">
        <v>1420</v>
      </c>
      <c r="TC15" s="336">
        <v>20464</v>
      </c>
      <c r="TD15" s="336">
        <v>67424</v>
      </c>
      <c r="TE15" s="336">
        <v>0</v>
      </c>
      <c r="TF15" s="336">
        <v>4292020</v>
      </c>
      <c r="TG15" s="336">
        <v>134932</v>
      </c>
      <c r="TH15" s="336">
        <v>0</v>
      </c>
      <c r="TI15" s="336">
        <v>0</v>
      </c>
      <c r="TJ15" s="336">
        <v>0</v>
      </c>
      <c r="TK15" s="336">
        <v>0</v>
      </c>
      <c r="TL15" s="336">
        <v>0</v>
      </c>
      <c r="TM15" s="336">
        <v>0</v>
      </c>
      <c r="TN15" s="336">
        <v>0</v>
      </c>
      <c r="TO15" s="336">
        <v>91593</v>
      </c>
      <c r="TP15" s="336">
        <v>0</v>
      </c>
      <c r="TQ15" s="336">
        <v>0</v>
      </c>
      <c r="TR15" s="336">
        <v>0</v>
      </c>
      <c r="TS15" s="336">
        <v>0</v>
      </c>
      <c r="TT15" s="336">
        <v>0</v>
      </c>
      <c r="TU15" s="336">
        <v>0</v>
      </c>
      <c r="TV15" s="336">
        <v>0</v>
      </c>
      <c r="TW15" s="336">
        <v>0</v>
      </c>
      <c r="TX15" s="336">
        <v>0</v>
      </c>
      <c r="TY15" s="336">
        <v>0</v>
      </c>
      <c r="TZ15" s="336">
        <v>0</v>
      </c>
      <c r="UA15" s="336">
        <v>311640</v>
      </c>
      <c r="UB15" s="336">
        <v>0</v>
      </c>
      <c r="UC15" s="336">
        <v>0</v>
      </c>
      <c r="UD15" s="336">
        <v>0</v>
      </c>
      <c r="UE15" s="336">
        <v>0</v>
      </c>
      <c r="UF15" s="336">
        <v>372381</v>
      </c>
      <c r="UG15" s="336">
        <v>0</v>
      </c>
      <c r="UH15" s="336">
        <v>12383077</v>
      </c>
      <c r="UI15" s="336">
        <v>1036594</v>
      </c>
      <c r="UJ15" s="336">
        <v>169450</v>
      </c>
      <c r="UK15" s="336">
        <v>1099525</v>
      </c>
      <c r="UL15" s="336">
        <v>5896542</v>
      </c>
      <c r="UM15" s="336">
        <v>1867248</v>
      </c>
      <c r="UN15" s="336">
        <v>0</v>
      </c>
      <c r="UO15" s="336">
        <v>612809</v>
      </c>
      <c r="UP15" s="336">
        <v>79255</v>
      </c>
      <c r="UQ15" s="336">
        <v>0</v>
      </c>
      <c r="UR15"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4514840</v>
      </c>
      <c r="US15" s="338">
        <f>SUM(Input[[#This Row],[Oth Exp E&amp;G]],Input[[#This Row],[Oth Exp Desg]],Input[[#This Row],[Oth Exp Aux]],Input[[#This Row],[Oth Exp R Exp]],Input[[#This Row],[Oth Exp Loan]],Input[[#This Row],[Oth Exp Annuity]],Input[[#This Row],[Oth Exp Unexp]],Input[[#This Row],[Oth Exp R of Ind]],Input[[#This Row],[Oth Exp Inv in P]])</f>
        <v>0</v>
      </c>
      <c r="UT15" s="336">
        <v>2678760</v>
      </c>
      <c r="UU15" s="336">
        <v>56283</v>
      </c>
      <c r="UV15" s="339" t="s">
        <v>1477</v>
      </c>
      <c r="UW15" s="340">
        <v>9362943405</v>
      </c>
      <c r="UX15" s="339" t="s">
        <v>1478</v>
      </c>
      <c r="UY15" s="339" t="s">
        <v>1479</v>
      </c>
      <c r="UZ15" s="340">
        <v>9362942766</v>
      </c>
      <c r="VA15" s="339" t="s">
        <v>1480</v>
      </c>
      <c r="VB15" s="341" cm="1">
        <f t="array" ref="VB15">IFERROR(_xlfn.IFS(Input[[#This Row],[Type]]="HRI",VLOOKUP(Input[[#This Row],[Institution Name]],FTSEHRI[],9,FALSE),Input[[#This Row],[Type]]="UNIV",VLOOKUP(Input[[#This Row],[Institution Name]],FTSEUNIV[],9,FALSE),OR(Input[[#This Row],[Type]]="TSTC",Input[[#This Row],[Type]]="LSC"),VLOOKUP(Input[[#This Row],[Institution Name]],FTSETSTC[],8,FALSE)),"N/A")</f>
        <v>484</v>
      </c>
      <c r="VC15" s="342" t="str" cm="1">
        <f t="array" ref="VC15">IFERROR(_xlfn.IFS(Input[[#This Row],[Type]]="HRI",VLOOKUP(Input[[#This Row],[Institution Name]],FTSEHRI[],11,FALSE),Input[[#This Row],[Type]]="UNIV",VLOOKUP(Input[[#This Row],[Institution Name]],FTSEUNIV[],11,FALSE),Input[[#This Row],[Type]]="TSTC",VLOOKUP(Input[[#This Row],[Institution Name]],FTSETSTC[],10,FALSE)),"N/A")</f>
        <v>N/A</v>
      </c>
      <c r="VD15"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18134699</v>
      </c>
      <c r="VE15"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15" s="338">
        <f>SUM(Input[[#This Row],[Fed G&amp;C E&amp;G]],Input[[#This Row],[Fed G&amp;C Desg]],Input[[#This Row],[Fed G&amp;C R Exp]],Input[[#This Row],[Fed G&amp;C Loan]],Input[[#This Row],[Fed G&amp;C Annuity]],Input[[#This Row],[Fed G&amp;C Unexp]],Input[[#This Row],[Fed G&amp;C R of Ind]],Input[[#This Row],[Fed G&amp;C Inv in P]])</f>
        <v>345462</v>
      </c>
      <c r="VG15"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1986875</v>
      </c>
      <c r="VH15"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12792233</v>
      </c>
      <c r="VI15"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J15" s="338">
        <f>SUM(Input[[#This Row],[Oth Inc E&amp;G]],Input[[#This Row],[Oth Exp Desg]],Input[[#This Row],[Oth Exp R Exp]],Input[[#This Row],[Oth Exp Loan]],Input[[#This Row],[Oth Exp Annuity]],Input[[#This Row],[Oth Exp Unexp]],Input[[#This Row],[Oth Exp R of Ind]],Input[[#This Row],[Oth Exp Inv in P]])</f>
        <v>2330</v>
      </c>
      <c r="VK15" s="343">
        <f>SUM(Input[[#This Row],[Instr E&amp;G]],Input[[#This Row],[Instr Desg]],Input[[#This Row],[Instr R Exp]],Input[[#This Row],[Instr Loan]],Input[[#This Row],[Instr Annuity]],Input[[#This Row],[Instr Unexp]],Input[[#This Row],[Instr R of Ind]],Input[[#This Row],[Instr Inv in P]])</f>
        <v>12383077</v>
      </c>
      <c r="VL15" s="343">
        <f>SUM(Input[[#This Row],[Res E&amp;G]],Input[[#This Row],[Res Desg]],Input[[#This Row],[Res R Exp]],Input[[#This Row],[Res Loan]],Input[[#This Row],[Res Annuity]],Input[[#This Row],[Res Unexp]],Input[[#This Row],[Res R of Ind]],Input[[#This Row],[Res Inv in P]])</f>
        <v>1036594</v>
      </c>
      <c r="VM15" s="343">
        <f>SUM(Input[[#This Row],[Acad Sup E&amp;G]],Input[[#This Row],[Acad Sup Desg]],Input[[#This Row],[Acad Sup R Exp]],Input[[#This Row],[Acad Sup Loan]],Input[[#This Row],[Acad Sup Annuity]],Input[[#This Row],[Acad Sup Unexp]],Input[[#This Row],[Acad Sup R of Ind]],Input[[#This Row],[Acad Sup Inv in P]])</f>
        <v>5896542</v>
      </c>
      <c r="VN15" s="343">
        <f>SUM(Input[[#This Row],[Stu Svc E&amp;G]],Input[[#This Row],[Stu Svc Desg]],Input[[#This Row],[Stu Svc R Exp]],Input[[#This Row],[Stu Svc Loan]],Input[[#This Row],[Stu Svc Annuity]],Input[[#This Row],[Stu Svc Unexp]],Input[[#This Row],[Stu Svc R of Ind]],Input[[#This Row],[Stu Svc Inv in P]])</f>
        <v>1867248</v>
      </c>
      <c r="VO15" s="343">
        <f>SUM(Input[[#This Row],[Inst. Spt E&amp;G]],Input[[#This Row],[Inst. Spt Desg]],Input[[#This Row],[Inst. Spt R Exp]],Input[[#This Row],[Inst. Spt Loan]],Input[[#This Row],[Inst. Spt Annuity]],Input[[#This Row],[Inst. Spt Unexp]],Input[[#This Row],[Inst. Spt R of Ind]],Input[[#This Row],[Inst. Spt Inv in P]])</f>
        <v>0</v>
      </c>
      <c r="VP15" s="343">
        <f>SUM(Input[[#This Row],[M&amp;O Plnt E&amp;G]],Input[[#This Row],[M&amp;O Plnt Desg]],Input[[#This Row],[M&amp;O Plnt R Exp]],Input[[#This Row],[M&amp;O Plnt Loan]],Input[[#This Row],[M&amp;O Plnt Annuity]],Input[[#This Row],[M&amp;O Plnt Unexp]],Input[[#This Row],[M&amp;O Plnt R of Ind]],Input[[#This Row],[M&amp;O Plnt Inv in P]])</f>
        <v>612809</v>
      </c>
      <c r="VQ15" s="343">
        <f>SUM(Input[[#This Row],[Schl &amp; Fell E&amp;G]],Input[[#This Row],[Schl &amp; Fell Desg]],Input[[#This Row],[Schl &amp; Fell R Exp]],Input[[#This Row],[Schl &amp; Fell Loan]],Input[[#This Row],[Schl &amp; Fell Annuity]],Input[[#This Row],[Schl &amp; Fell Unexp]],Input[[#This Row],[Schl &amp; Fell R of Ind]],Input[[#This Row],[Schl &amp; Fell Inv in P]])</f>
        <v>79255</v>
      </c>
      <c r="VR15" s="343">
        <f>SUM(Input[[#This Row],[Cap Out fund E&amp;G]],Input[[#This Row],[Cap Out fund Desg]],Input[[#This Row],[Cap Out fund R Exp]],Input[[#This Row],[Cap Out fund Loan]],Input[[#This Row],[Cap Out fund Annuity]],Input[[#This Row],[Cap Out fund Unexp]],Input[[#This Row],[Cap Out fund R of Ind]],Input[[#This Row],[Cap Out fund Inv in P]])</f>
        <v>222820</v>
      </c>
      <c r="VS15" s="343">
        <f>SUM(Input[[#This Row],[Oth Exp E&amp;G]],Input[[#This Row],[Oth Exp Desg]],Input[[#This Row],[Oth Exp R Exp]],Input[[#This Row],[Oth Exp Loan]],Input[[#This Row],[Oth Exp Annuity]],Input[[#This Row],[Oth Exp Unexp]],Input[[#This Row],[Oth Exp R of Ind]],Input[[#This Row],[Oth Exp Inv in P]],Input[[#This Row],[Oth Exp Inv in P]])</f>
        <v>0</v>
      </c>
    </row>
    <row r="16" spans="1:591" s="344" customFormat="1" ht="27" customHeight="1" x14ac:dyDescent="0.55000000000000004">
      <c r="A16" s="339" t="s">
        <v>90</v>
      </c>
      <c r="B16" s="334" t="s">
        <v>829</v>
      </c>
      <c r="C16" s="334" t="s">
        <v>21</v>
      </c>
      <c r="D16" s="334">
        <v>350</v>
      </c>
      <c r="E16" s="334" t="s">
        <v>1622</v>
      </c>
      <c r="F16" s="335">
        <v>3624</v>
      </c>
      <c r="G16" s="336">
        <v>78466724</v>
      </c>
      <c r="H16" s="336">
        <v>0</v>
      </c>
      <c r="I16" s="336">
        <v>0</v>
      </c>
      <c r="J16" s="336">
        <v>0</v>
      </c>
      <c r="K16" s="336">
        <v>0</v>
      </c>
      <c r="L16" s="336">
        <v>0</v>
      </c>
      <c r="M16" s="336">
        <v>0</v>
      </c>
      <c r="N16" s="336">
        <v>0</v>
      </c>
      <c r="O16" s="336">
        <v>0</v>
      </c>
      <c r="P16" s="336">
        <v>10410759</v>
      </c>
      <c r="Q16" s="336">
        <v>6959</v>
      </c>
      <c r="R16" s="336">
        <v>0</v>
      </c>
      <c r="S16" s="336">
        <v>2888162</v>
      </c>
      <c r="T16" s="336">
        <v>0</v>
      </c>
      <c r="U16" s="336">
        <v>0</v>
      </c>
      <c r="V16" s="336">
        <v>0</v>
      </c>
      <c r="W16" s="336">
        <v>0</v>
      </c>
      <c r="X16" s="336">
        <v>0</v>
      </c>
      <c r="Y16" s="336">
        <v>0</v>
      </c>
      <c r="Z16" s="336">
        <v>0</v>
      </c>
      <c r="AA16" s="336">
        <v>0</v>
      </c>
      <c r="AB16" s="336">
        <v>0</v>
      </c>
      <c r="AC16" s="336">
        <v>0</v>
      </c>
      <c r="AD16" s="336">
        <v>0</v>
      </c>
      <c r="AE16" s="336">
        <v>0</v>
      </c>
      <c r="AF16" s="336">
        <v>0</v>
      </c>
      <c r="AG16" s="336">
        <v>0</v>
      </c>
      <c r="AH16" s="336">
        <v>0</v>
      </c>
      <c r="AI16" s="336">
        <v>0</v>
      </c>
      <c r="AJ16" s="336">
        <v>0</v>
      </c>
      <c r="AK16" s="336">
        <v>0</v>
      </c>
      <c r="AL16" s="336">
        <v>0</v>
      </c>
      <c r="AM16" s="336">
        <v>0</v>
      </c>
      <c r="AN16" s="336">
        <v>0</v>
      </c>
      <c r="AO16" s="336">
        <v>0</v>
      </c>
      <c r="AP16" s="336">
        <v>0</v>
      </c>
      <c r="AQ16" s="336">
        <v>-3957564</v>
      </c>
      <c r="AR16" s="336">
        <v>-46215</v>
      </c>
      <c r="AS16" s="336">
        <v>0</v>
      </c>
      <c r="AT16" s="336">
        <v>0</v>
      </c>
      <c r="AU16" s="336">
        <v>0</v>
      </c>
      <c r="AV16" s="336">
        <v>0</v>
      </c>
      <c r="AW16" s="336">
        <v>0</v>
      </c>
      <c r="AX16" s="336">
        <v>0</v>
      </c>
      <c r="AY16" s="336">
        <v>0</v>
      </c>
      <c r="AZ16" s="336">
        <v>0</v>
      </c>
      <c r="BA16" s="336">
        <v>0</v>
      </c>
      <c r="BB16" s="336">
        <v>0</v>
      </c>
      <c r="BC16" s="336">
        <v>0</v>
      </c>
      <c r="BD16" s="336">
        <v>0</v>
      </c>
      <c r="BE16" s="336">
        <v>0</v>
      </c>
      <c r="BF16" s="336">
        <v>0</v>
      </c>
      <c r="BG16" s="336">
        <v>0</v>
      </c>
      <c r="BH16" s="336">
        <v>0</v>
      </c>
      <c r="BI16" s="336">
        <v>0</v>
      </c>
      <c r="BJ16" s="336">
        <v>0</v>
      </c>
      <c r="BK16" s="336">
        <v>0</v>
      </c>
      <c r="BL16" s="336">
        <v>0</v>
      </c>
      <c r="BM16" s="336">
        <v>0</v>
      </c>
      <c r="BN16" s="336">
        <v>0</v>
      </c>
      <c r="BO16" s="336">
        <v>0</v>
      </c>
      <c r="BP16" s="336">
        <v>0</v>
      </c>
      <c r="BQ16" s="336">
        <v>0</v>
      </c>
      <c r="BR16" s="336">
        <v>0</v>
      </c>
      <c r="BS16" s="336">
        <v>0</v>
      </c>
      <c r="BT16" s="336">
        <v>0</v>
      </c>
      <c r="BU16" s="336">
        <v>0</v>
      </c>
      <c r="BV16" s="336">
        <v>0</v>
      </c>
      <c r="BW16" s="336">
        <v>0</v>
      </c>
      <c r="BX16" s="336">
        <v>0</v>
      </c>
      <c r="BY16" s="336">
        <v>0</v>
      </c>
      <c r="BZ16" s="336">
        <v>0</v>
      </c>
      <c r="CA16" s="336">
        <v>16577888</v>
      </c>
      <c r="CB16" s="336">
        <v>62717641</v>
      </c>
      <c r="CC16" s="336">
        <v>0</v>
      </c>
      <c r="CD16" s="336">
        <v>0</v>
      </c>
      <c r="CE16" s="336">
        <v>0</v>
      </c>
      <c r="CF16" s="336">
        <v>0</v>
      </c>
      <c r="CG16" s="336">
        <v>0</v>
      </c>
      <c r="CH16" s="336">
        <v>0</v>
      </c>
      <c r="CI16" s="336">
        <v>0</v>
      </c>
      <c r="CJ16" s="336">
        <v>0</v>
      </c>
      <c r="CK16" s="336">
        <v>0</v>
      </c>
      <c r="CL16" s="336">
        <v>0</v>
      </c>
      <c r="CM16" s="336">
        <v>0</v>
      </c>
      <c r="CN16" s="336">
        <v>0</v>
      </c>
      <c r="CO16" s="336">
        <v>0</v>
      </c>
      <c r="CP16" s="336">
        <v>0</v>
      </c>
      <c r="CQ16" s="336">
        <v>0</v>
      </c>
      <c r="CR16" s="336">
        <v>0</v>
      </c>
      <c r="CS16" s="336">
        <v>0</v>
      </c>
      <c r="CT16" s="336">
        <v>0</v>
      </c>
      <c r="CU16" s="336">
        <v>0</v>
      </c>
      <c r="CV16" s="336">
        <v>0</v>
      </c>
      <c r="CW16" s="336">
        <v>0</v>
      </c>
      <c r="CX16" s="336">
        <v>0</v>
      </c>
      <c r="CY16" s="336">
        <v>0</v>
      </c>
      <c r="CZ16" s="336">
        <v>0</v>
      </c>
      <c r="DA16" s="336">
        <v>0</v>
      </c>
      <c r="DB16" s="336">
        <v>-1000905</v>
      </c>
      <c r="DC16" s="336">
        <v>-6285094</v>
      </c>
      <c r="DD16" s="336">
        <v>0</v>
      </c>
      <c r="DE16" s="336">
        <v>0</v>
      </c>
      <c r="DF16" s="336">
        <v>0</v>
      </c>
      <c r="DG16" s="336">
        <v>0</v>
      </c>
      <c r="DH16" s="336">
        <v>0</v>
      </c>
      <c r="DI16" s="336">
        <v>0</v>
      </c>
      <c r="DJ16" s="336">
        <v>0</v>
      </c>
      <c r="DK16" s="336">
        <v>0</v>
      </c>
      <c r="DL16" s="336">
        <v>0</v>
      </c>
      <c r="DM16" s="336">
        <v>0</v>
      </c>
      <c r="DN16" s="336">
        <v>0</v>
      </c>
      <c r="DO16" s="336">
        <v>0</v>
      </c>
      <c r="DP16" s="336">
        <v>0</v>
      </c>
      <c r="DQ16" s="336">
        <v>0</v>
      </c>
      <c r="DR16" s="336">
        <v>0</v>
      </c>
      <c r="DS16" s="336">
        <v>0</v>
      </c>
      <c r="DT16" s="336">
        <v>-9319044</v>
      </c>
      <c r="DU16" s="336">
        <v>-38281381</v>
      </c>
      <c r="DV16" s="336">
        <v>0</v>
      </c>
      <c r="DW16" s="336">
        <v>0</v>
      </c>
      <c r="DX16" s="336">
        <v>0</v>
      </c>
      <c r="DY16" s="336">
        <v>0</v>
      </c>
      <c r="DZ16" s="336">
        <v>0</v>
      </c>
      <c r="EA16" s="336">
        <v>0</v>
      </c>
      <c r="EB16" s="336">
        <v>0</v>
      </c>
      <c r="EC16" s="336">
        <v>0</v>
      </c>
      <c r="ED16" s="336">
        <v>0</v>
      </c>
      <c r="EE16" s="336">
        <v>0</v>
      </c>
      <c r="EF16" s="336">
        <v>0</v>
      </c>
      <c r="EG16" s="336">
        <v>0</v>
      </c>
      <c r="EH16" s="336">
        <v>0</v>
      </c>
      <c r="EI16" s="336">
        <v>0</v>
      </c>
      <c r="EJ16" s="336">
        <v>0</v>
      </c>
      <c r="EK16" s="336">
        <v>0</v>
      </c>
      <c r="EL16" s="336">
        <v>0</v>
      </c>
      <c r="EM16" s="336">
        <v>0</v>
      </c>
      <c r="EN16" s="336">
        <v>0</v>
      </c>
      <c r="EO16" s="336">
        <v>0</v>
      </c>
      <c r="EP16" s="336">
        <v>0</v>
      </c>
      <c r="EQ16" s="336">
        <v>0</v>
      </c>
      <c r="ER16" s="336">
        <v>0</v>
      </c>
      <c r="ES16" s="336">
        <v>0</v>
      </c>
      <c r="ET16" s="336">
        <v>0</v>
      </c>
      <c r="EU16" s="336">
        <v>0</v>
      </c>
      <c r="EV16" s="336">
        <v>0</v>
      </c>
      <c r="EW16" s="336">
        <v>0</v>
      </c>
      <c r="EX16" s="336">
        <v>0</v>
      </c>
      <c r="EY16" s="336">
        <v>0</v>
      </c>
      <c r="EZ16" s="336">
        <v>0</v>
      </c>
      <c r="FA16" s="336">
        <v>0</v>
      </c>
      <c r="FB16" s="336">
        <v>0</v>
      </c>
      <c r="FC16" s="336">
        <v>0</v>
      </c>
      <c r="FD16" s="336">
        <v>0</v>
      </c>
      <c r="FE16" s="336">
        <v>0</v>
      </c>
      <c r="FF16" s="336">
        <v>0</v>
      </c>
      <c r="FG16" s="336">
        <v>0</v>
      </c>
      <c r="FH16" s="336">
        <v>0</v>
      </c>
      <c r="FI16" s="336">
        <v>0</v>
      </c>
      <c r="FJ16" s="336">
        <v>0</v>
      </c>
      <c r="FK16" s="336">
        <v>0</v>
      </c>
      <c r="FL16" s="336">
        <v>0</v>
      </c>
      <c r="FM16" s="336">
        <v>191069</v>
      </c>
      <c r="FN16" s="336">
        <v>29955597</v>
      </c>
      <c r="FO16" s="336">
        <v>5956704</v>
      </c>
      <c r="FP16" s="336">
        <v>0</v>
      </c>
      <c r="FQ16" s="336">
        <v>0</v>
      </c>
      <c r="FR16" s="336">
        <v>0</v>
      </c>
      <c r="FS16" s="336">
        <v>0</v>
      </c>
      <c r="FT16" s="336">
        <v>0</v>
      </c>
      <c r="FU16" s="336">
        <v>0</v>
      </c>
      <c r="FV16" s="336">
        <v>0</v>
      </c>
      <c r="FW16" s="336">
        <v>0</v>
      </c>
      <c r="FX16" s="336">
        <v>0</v>
      </c>
      <c r="FY16" s="336">
        <v>0</v>
      </c>
      <c r="FZ16" s="336">
        <v>0</v>
      </c>
      <c r="GA16" s="336">
        <v>0</v>
      </c>
      <c r="GB16" s="336">
        <v>0</v>
      </c>
      <c r="GC16" s="336">
        <v>0</v>
      </c>
      <c r="GD16" s="336">
        <v>0</v>
      </c>
      <c r="GE16" s="336">
        <v>0</v>
      </c>
      <c r="GF16" s="336">
        <v>0</v>
      </c>
      <c r="GG16" s="336">
        <v>0</v>
      </c>
      <c r="GH16" s="336">
        <v>0</v>
      </c>
      <c r="GI16" s="336">
        <v>0</v>
      </c>
      <c r="GJ16" s="336">
        <v>0</v>
      </c>
      <c r="GK16" s="336">
        <v>0</v>
      </c>
      <c r="GL16" s="336">
        <v>0</v>
      </c>
      <c r="GM16" s="336">
        <v>0</v>
      </c>
      <c r="GN16" s="336">
        <v>-14995</v>
      </c>
      <c r="GO16" s="336">
        <v>-2194564</v>
      </c>
      <c r="GP16" s="336">
        <v>-400545</v>
      </c>
      <c r="GQ16" s="336">
        <v>0</v>
      </c>
      <c r="GR16" s="336">
        <v>0</v>
      </c>
      <c r="GS16" s="336">
        <v>0</v>
      </c>
      <c r="GT16" s="336">
        <v>0</v>
      </c>
      <c r="GU16" s="336">
        <v>0</v>
      </c>
      <c r="GV16" s="336">
        <v>0</v>
      </c>
      <c r="GW16" s="336">
        <v>0</v>
      </c>
      <c r="GX16" s="336">
        <v>0</v>
      </c>
      <c r="GY16" s="336">
        <v>0</v>
      </c>
      <c r="GZ16" s="336">
        <v>0</v>
      </c>
      <c r="HA16" s="336">
        <v>0</v>
      </c>
      <c r="HB16" s="336">
        <v>0</v>
      </c>
      <c r="HC16" s="336">
        <v>0</v>
      </c>
      <c r="HD16" s="336">
        <v>0</v>
      </c>
      <c r="HE16" s="336">
        <v>0</v>
      </c>
      <c r="HF16" s="336">
        <v>0</v>
      </c>
      <c r="HG16" s="336">
        <v>-261281</v>
      </c>
      <c r="HH16" s="336">
        <v>-6647084</v>
      </c>
      <c r="HI16" s="336">
        <v>0</v>
      </c>
      <c r="HJ16" s="336">
        <v>0</v>
      </c>
      <c r="HK16" s="336">
        <v>0</v>
      </c>
      <c r="HL16" s="336">
        <v>0</v>
      </c>
      <c r="HM16" s="336">
        <v>0</v>
      </c>
      <c r="HN16" s="336">
        <v>0</v>
      </c>
      <c r="HO16" s="336">
        <v>0</v>
      </c>
      <c r="HP16" s="336">
        <v>194584</v>
      </c>
      <c r="HQ16" s="336">
        <v>0</v>
      </c>
      <c r="HR16" s="336">
        <v>28318998</v>
      </c>
      <c r="HS16" s="336">
        <v>0</v>
      </c>
      <c r="HT16" s="336">
        <v>0</v>
      </c>
      <c r="HU16" s="336">
        <v>0</v>
      </c>
      <c r="HV16" s="336">
        <v>0</v>
      </c>
      <c r="HW16" s="336">
        <v>0</v>
      </c>
      <c r="HX16" s="336">
        <v>0</v>
      </c>
      <c r="HY16" s="336">
        <v>0</v>
      </c>
      <c r="HZ16" s="336">
        <v>0</v>
      </c>
      <c r="IA16" s="336">
        <v>0</v>
      </c>
      <c r="IB16" s="336">
        <v>0</v>
      </c>
      <c r="IC16" s="336">
        <v>0</v>
      </c>
      <c r="ID16" s="336">
        <v>0</v>
      </c>
      <c r="IE16" s="336">
        <v>0</v>
      </c>
      <c r="IF16" s="336">
        <v>0</v>
      </c>
      <c r="IG16" s="336">
        <v>0</v>
      </c>
      <c r="IH16" s="336">
        <v>0</v>
      </c>
      <c r="II16" s="336">
        <v>0</v>
      </c>
      <c r="IJ16" s="336">
        <v>0</v>
      </c>
      <c r="IK16" s="336">
        <v>0</v>
      </c>
      <c r="IL16" s="336">
        <v>0</v>
      </c>
      <c r="IM16" s="336">
        <v>0</v>
      </c>
      <c r="IN16" s="336">
        <v>0</v>
      </c>
      <c r="IO16" s="336">
        <v>0</v>
      </c>
      <c r="IP16" s="336">
        <v>187863</v>
      </c>
      <c r="IQ16" s="336">
        <v>4421791</v>
      </c>
      <c r="IR16" s="336">
        <v>218166</v>
      </c>
      <c r="IS16" s="336">
        <v>417372</v>
      </c>
      <c r="IT16" s="336">
        <v>0</v>
      </c>
      <c r="IU16" s="336">
        <v>647584</v>
      </c>
      <c r="IV16" s="336">
        <v>0</v>
      </c>
      <c r="IW16" s="336">
        <v>0</v>
      </c>
      <c r="IX16" s="336">
        <v>0</v>
      </c>
      <c r="IY16" s="336">
        <v>0</v>
      </c>
      <c r="IZ16" s="336">
        <v>139737</v>
      </c>
      <c r="JA16" s="336">
        <v>0</v>
      </c>
      <c r="JB16" s="336">
        <v>1551571</v>
      </c>
      <c r="JC16" s="336">
        <v>0</v>
      </c>
      <c r="JD16" s="336">
        <v>0</v>
      </c>
      <c r="JE16" s="336">
        <v>0</v>
      </c>
      <c r="JF16" s="336">
        <v>0</v>
      </c>
      <c r="JG16" s="336">
        <v>0</v>
      </c>
      <c r="JH16" s="336">
        <v>0</v>
      </c>
      <c r="JI16" s="336">
        <v>59995</v>
      </c>
      <c r="JJ16" s="336">
        <v>677128</v>
      </c>
      <c r="JK16" s="336">
        <v>9249989</v>
      </c>
      <c r="JL16" s="336">
        <v>0</v>
      </c>
      <c r="JM16" s="336">
        <v>0</v>
      </c>
      <c r="JN16" s="336">
        <v>0</v>
      </c>
      <c r="JO16" s="336">
        <v>0</v>
      </c>
      <c r="JP16" s="336">
        <v>0</v>
      </c>
      <c r="JQ16" s="336">
        <v>819081</v>
      </c>
      <c r="JR16" s="336">
        <v>5265283</v>
      </c>
      <c r="JS16" s="336">
        <v>0</v>
      </c>
      <c r="JT16" s="336">
        <v>815876</v>
      </c>
      <c r="JU16" s="336">
        <v>0</v>
      </c>
      <c r="JV16" s="336">
        <v>0</v>
      </c>
      <c r="JW16" s="336">
        <v>0</v>
      </c>
      <c r="JX16" s="336">
        <v>0</v>
      </c>
      <c r="JY16" s="336">
        <v>0</v>
      </c>
      <c r="JZ16" s="336">
        <v>0</v>
      </c>
      <c r="KA16" s="336">
        <v>0</v>
      </c>
      <c r="KB16" s="336">
        <v>43455095</v>
      </c>
      <c r="KC16" s="336">
        <v>0</v>
      </c>
      <c r="KD16" s="336">
        <v>0</v>
      </c>
      <c r="KE16" s="336">
        <v>0</v>
      </c>
      <c r="KF16" s="336">
        <v>0</v>
      </c>
      <c r="KG16" s="336">
        <v>0</v>
      </c>
      <c r="KH16" s="336">
        <v>0</v>
      </c>
      <c r="KI16" s="336">
        <v>15119</v>
      </c>
      <c r="KJ16" s="336">
        <v>590643</v>
      </c>
      <c r="KK16" s="336">
        <v>661302</v>
      </c>
      <c r="KL16" s="336">
        <v>54203</v>
      </c>
      <c r="KM16" s="336">
        <v>26438</v>
      </c>
      <c r="KN16" s="336">
        <v>0</v>
      </c>
      <c r="KO16" s="336">
        <v>1768275</v>
      </c>
      <c r="KP16" s="336">
        <v>0</v>
      </c>
      <c r="KQ16" s="336">
        <v>0</v>
      </c>
      <c r="KR16" s="336">
        <v>52170910</v>
      </c>
      <c r="KS16" s="336">
        <v>15399923</v>
      </c>
      <c r="KT16" s="336">
        <v>0</v>
      </c>
      <c r="KU16" s="336">
        <v>3549447</v>
      </c>
      <c r="KV16" s="336">
        <v>0</v>
      </c>
      <c r="KW16" s="336">
        <v>0</v>
      </c>
      <c r="KX16" s="336">
        <v>373833</v>
      </c>
      <c r="KY16" s="336">
        <v>0</v>
      </c>
      <c r="KZ16" s="336">
        <v>0</v>
      </c>
      <c r="LA16" s="336">
        <v>872847</v>
      </c>
      <c r="LB16" s="336">
        <v>591274</v>
      </c>
      <c r="LC16" s="336">
        <v>0</v>
      </c>
      <c r="LD16" s="336">
        <v>2589608</v>
      </c>
      <c r="LE16" s="336">
        <v>0</v>
      </c>
      <c r="LF16" s="336">
        <v>0</v>
      </c>
      <c r="LG16" s="336">
        <v>129207</v>
      </c>
      <c r="LH16" s="336">
        <v>0</v>
      </c>
      <c r="LI16" s="336">
        <v>0</v>
      </c>
      <c r="LJ16" s="336">
        <v>64190</v>
      </c>
      <c r="LK16" s="336">
        <v>1018316</v>
      </c>
      <c r="LL16" s="336">
        <v>0</v>
      </c>
      <c r="LM16" s="336">
        <v>894000</v>
      </c>
      <c r="LN16" s="336">
        <v>0</v>
      </c>
      <c r="LO16" s="336">
        <v>0</v>
      </c>
      <c r="LP16" s="336">
        <v>0</v>
      </c>
      <c r="LQ16" s="336">
        <v>0</v>
      </c>
      <c r="LR16" s="336">
        <v>0</v>
      </c>
      <c r="LS16" s="336">
        <v>0</v>
      </c>
      <c r="LT16" s="336">
        <v>0</v>
      </c>
      <c r="LU16" s="336">
        <v>0</v>
      </c>
      <c r="LV16" s="336">
        <v>0</v>
      </c>
      <c r="LW16" s="336">
        <v>0</v>
      </c>
      <c r="LX16" s="336">
        <v>0</v>
      </c>
      <c r="LY16" s="336">
        <v>0</v>
      </c>
      <c r="LZ16" s="336">
        <v>0</v>
      </c>
      <c r="MA16" s="336">
        <v>0</v>
      </c>
      <c r="MB16" s="336">
        <v>9243504</v>
      </c>
      <c r="MC16" s="336">
        <v>7828174</v>
      </c>
      <c r="MD16" s="336">
        <v>0</v>
      </c>
      <c r="ME16" s="336">
        <v>4098015</v>
      </c>
      <c r="MF16" s="336">
        <v>0</v>
      </c>
      <c r="MG16" s="336">
        <v>0</v>
      </c>
      <c r="MH16" s="336">
        <v>59276</v>
      </c>
      <c r="MI16" s="336">
        <v>0</v>
      </c>
      <c r="MJ16" s="336">
        <v>0</v>
      </c>
      <c r="MK16" s="336">
        <v>1802413</v>
      </c>
      <c r="ML16" s="336">
        <v>9018207</v>
      </c>
      <c r="MM16" s="336">
        <v>0</v>
      </c>
      <c r="MN16" s="336">
        <v>1285569</v>
      </c>
      <c r="MO16" s="336">
        <v>64747</v>
      </c>
      <c r="MP16" s="336">
        <v>0</v>
      </c>
      <c r="MQ16" s="336">
        <v>5105</v>
      </c>
      <c r="MR16" s="336">
        <v>0</v>
      </c>
      <c r="MS16" s="336">
        <v>0</v>
      </c>
      <c r="MT16" s="336">
        <v>9067166</v>
      </c>
      <c r="MU16" s="336">
        <v>22680461</v>
      </c>
      <c r="MV16" s="336">
        <v>0</v>
      </c>
      <c r="MW16" s="336">
        <v>845108</v>
      </c>
      <c r="MX16" s="336">
        <v>0</v>
      </c>
      <c r="MY16" s="336">
        <v>0</v>
      </c>
      <c r="MZ16" s="336">
        <v>3319166</v>
      </c>
      <c r="NA16" s="336">
        <v>0</v>
      </c>
      <c r="NB16" s="336">
        <v>0</v>
      </c>
      <c r="NC16" s="336">
        <v>5177586</v>
      </c>
      <c r="ND16" s="336">
        <v>5743534</v>
      </c>
      <c r="NE16" s="336">
        <v>0</v>
      </c>
      <c r="NF16" s="336">
        <v>-30994</v>
      </c>
      <c r="NG16" s="336">
        <v>0</v>
      </c>
      <c r="NH16" s="336">
        <v>0</v>
      </c>
      <c r="NI16" s="336">
        <v>1126667</v>
      </c>
      <c r="NJ16" s="336">
        <v>0</v>
      </c>
      <c r="NK16" s="336">
        <v>0</v>
      </c>
      <c r="NL16" s="336">
        <v>1217881</v>
      </c>
      <c r="NM16" s="336">
        <v>2220814</v>
      </c>
      <c r="NN16" s="336">
        <v>0</v>
      </c>
      <c r="NO16" s="336">
        <v>1790304</v>
      </c>
      <c r="NP16" s="336">
        <v>0</v>
      </c>
      <c r="NQ16" s="336">
        <v>0</v>
      </c>
      <c r="NR16" s="336">
        <v>0</v>
      </c>
      <c r="NS16" s="336">
        <v>0</v>
      </c>
      <c r="NT16" s="336">
        <v>0</v>
      </c>
      <c r="NU16" s="336">
        <v>28088</v>
      </c>
      <c r="NV16" s="336">
        <v>38419</v>
      </c>
      <c r="NW16" s="336">
        <v>52122404</v>
      </c>
      <c r="NX16" s="336">
        <v>2127</v>
      </c>
      <c r="NY16" s="336">
        <v>0</v>
      </c>
      <c r="NZ16" s="336">
        <v>0</v>
      </c>
      <c r="OA16" s="336">
        <v>0</v>
      </c>
      <c r="OB16" s="336">
        <v>0</v>
      </c>
      <c r="OC16" s="336">
        <v>0</v>
      </c>
      <c r="OD16" s="336">
        <v>794022</v>
      </c>
      <c r="OE16" s="336">
        <v>1038645</v>
      </c>
      <c r="OF16" s="336">
        <v>77583</v>
      </c>
      <c r="OG16" s="336">
        <v>1953776</v>
      </c>
      <c r="OH16" s="336">
        <v>0</v>
      </c>
      <c r="OI16" s="336">
        <v>0</v>
      </c>
      <c r="OJ16" s="336">
        <v>0</v>
      </c>
      <c r="OK16" s="336">
        <v>0</v>
      </c>
      <c r="OL16" s="336">
        <v>0</v>
      </c>
      <c r="OM16" s="336">
        <v>18388</v>
      </c>
      <c r="ON16" s="336">
        <v>2510</v>
      </c>
      <c r="OO16" s="336">
        <v>2002315</v>
      </c>
      <c r="OP16" s="336">
        <v>0</v>
      </c>
      <c r="OQ16" s="336">
        <v>0</v>
      </c>
      <c r="OR16" s="336">
        <v>0</v>
      </c>
      <c r="OS16" s="336">
        <v>0</v>
      </c>
      <c r="OT16" s="336">
        <v>229859</v>
      </c>
      <c r="OU16" s="336">
        <v>0</v>
      </c>
      <c r="OV16" s="336">
        <v>0</v>
      </c>
      <c r="OW16" s="336">
        <v>0</v>
      </c>
      <c r="OX16" s="336">
        <v>0</v>
      </c>
      <c r="OY16" s="336">
        <v>0</v>
      </c>
      <c r="OZ16" s="336">
        <v>0</v>
      </c>
      <c r="PA16" s="336">
        <v>0</v>
      </c>
      <c r="PB16" s="336">
        <v>-27587582</v>
      </c>
      <c r="PC16" s="336">
        <v>0</v>
      </c>
      <c r="PD16" s="336">
        <v>31451608</v>
      </c>
      <c r="PE16" s="336">
        <v>-14026513</v>
      </c>
      <c r="PF16" s="336">
        <v>7739410</v>
      </c>
      <c r="PG16" s="336">
        <v>5328014</v>
      </c>
      <c r="PH16" s="336">
        <v>-24598832</v>
      </c>
      <c r="PI16" s="336">
        <v>0</v>
      </c>
      <c r="PJ16" s="336">
        <v>-7649777</v>
      </c>
      <c r="PK16" s="336">
        <v>66177659</v>
      </c>
      <c r="PL16" s="336">
        <v>-3285793</v>
      </c>
      <c r="PM16" s="336">
        <v>162303679</v>
      </c>
      <c r="PN16" s="336">
        <v>0</v>
      </c>
      <c r="PO16" s="336">
        <v>0</v>
      </c>
      <c r="PP16" s="336">
        <v>0</v>
      </c>
      <c r="PQ16" s="336">
        <v>0</v>
      </c>
      <c r="PR16" s="336">
        <v>0</v>
      </c>
      <c r="PS16" s="336">
        <v>0</v>
      </c>
      <c r="PT16" s="336">
        <v>0</v>
      </c>
      <c r="PU16" s="336">
        <v>0</v>
      </c>
      <c r="PV16" s="336">
        <v>848917</v>
      </c>
      <c r="PW16" s="336">
        <v>0</v>
      </c>
      <c r="PX16" s="336">
        <v>0</v>
      </c>
      <c r="PY16" s="336">
        <v>0</v>
      </c>
      <c r="PZ16" s="336">
        <v>0</v>
      </c>
      <c r="QA16" s="336">
        <v>0</v>
      </c>
      <c r="QB16" s="336">
        <v>0</v>
      </c>
      <c r="QC16" s="336">
        <v>0</v>
      </c>
      <c r="QD16" s="336">
        <v>0</v>
      </c>
      <c r="QE16" s="336">
        <v>0</v>
      </c>
      <c r="QF16" s="336">
        <v>0</v>
      </c>
      <c r="QG16" s="336">
        <v>3522109</v>
      </c>
      <c r="QH16" s="336">
        <v>0</v>
      </c>
      <c r="QI16" s="336">
        <v>5588</v>
      </c>
      <c r="QJ16" s="336">
        <v>0</v>
      </c>
      <c r="QK16" s="336">
        <v>366851</v>
      </c>
      <c r="QL16" s="336">
        <v>1450</v>
      </c>
      <c r="QM16" s="336">
        <v>0</v>
      </c>
      <c r="QN16" s="336">
        <v>-333726</v>
      </c>
      <c r="QO16" s="336">
        <v>0</v>
      </c>
      <c r="QP16" s="336">
        <v>0</v>
      </c>
      <c r="QQ16" s="336">
        <v>0</v>
      </c>
      <c r="QR16" s="336">
        <v>0</v>
      </c>
      <c r="QS16" s="336">
        <v>0</v>
      </c>
      <c r="QT16" s="336">
        <v>69740014</v>
      </c>
      <c r="QU16" s="336">
        <v>0</v>
      </c>
      <c r="QV16" s="336">
        <v>0</v>
      </c>
      <c r="QW16" s="336">
        <v>0</v>
      </c>
      <c r="QX16" s="336">
        <v>0</v>
      </c>
      <c r="QY16" s="336">
        <v>0</v>
      </c>
      <c r="QZ16" s="336">
        <v>0</v>
      </c>
      <c r="RA16" s="336">
        <v>0</v>
      </c>
      <c r="RB16" s="336">
        <v>0</v>
      </c>
      <c r="RC16" s="336">
        <v>0</v>
      </c>
      <c r="RD16" s="336">
        <v>0</v>
      </c>
      <c r="RE16" s="336">
        <v>-848917</v>
      </c>
      <c r="RF16" s="336">
        <v>0</v>
      </c>
      <c r="RG16" s="336">
        <v>0</v>
      </c>
      <c r="RH16" s="336">
        <v>0</v>
      </c>
      <c r="RI16" s="336">
        <v>0</v>
      </c>
      <c r="RJ16" s="336">
        <v>0</v>
      </c>
      <c r="RK16" s="336">
        <v>0</v>
      </c>
      <c r="RL16" s="336">
        <v>0</v>
      </c>
      <c r="RM16" s="336">
        <v>0</v>
      </c>
      <c r="RN16" s="336">
        <v>0</v>
      </c>
      <c r="RO16" s="336">
        <v>-22947931</v>
      </c>
      <c r="RP16" s="336">
        <v>0</v>
      </c>
      <c r="RQ16" s="336">
        <v>0</v>
      </c>
      <c r="RR16" s="336">
        <v>0</v>
      </c>
      <c r="RS16" s="336">
        <v>0</v>
      </c>
      <c r="RT16" s="336">
        <v>0</v>
      </c>
      <c r="RU16" s="336">
        <v>0</v>
      </c>
      <c r="RV16" s="336">
        <v>0</v>
      </c>
      <c r="RW16" s="336">
        <v>0</v>
      </c>
      <c r="RX16" s="336">
        <v>0</v>
      </c>
      <c r="RY16" s="336">
        <v>0</v>
      </c>
      <c r="RZ16" s="336">
        <v>0</v>
      </c>
      <c r="SA16" s="336">
        <v>0</v>
      </c>
      <c r="SB16" s="336">
        <v>0</v>
      </c>
      <c r="SC16" s="336">
        <v>0</v>
      </c>
      <c r="SD16" s="336">
        <v>0</v>
      </c>
      <c r="SE16" s="336">
        <v>0</v>
      </c>
      <c r="SF16" s="336">
        <v>0</v>
      </c>
      <c r="SG16" s="336">
        <v>0</v>
      </c>
      <c r="SH16" s="336">
        <v>0</v>
      </c>
      <c r="SI16" s="336">
        <v>0</v>
      </c>
      <c r="SJ16" s="336">
        <v>0</v>
      </c>
      <c r="SK16" s="336">
        <v>0</v>
      </c>
      <c r="SL16" s="336">
        <v>0</v>
      </c>
      <c r="SM16" s="336">
        <v>0</v>
      </c>
      <c r="SN16" s="336">
        <v>0</v>
      </c>
      <c r="SO16" s="336">
        <v>0</v>
      </c>
      <c r="SP16" s="336">
        <v>0</v>
      </c>
      <c r="SQ16" s="336">
        <v>0</v>
      </c>
      <c r="SR16" s="336">
        <v>0</v>
      </c>
      <c r="SS16" s="336">
        <v>0</v>
      </c>
      <c r="ST16" s="336">
        <v>0</v>
      </c>
      <c r="SU16" s="336">
        <v>0</v>
      </c>
      <c r="SV16" s="336">
        <v>0</v>
      </c>
      <c r="SW16" s="336">
        <v>0</v>
      </c>
      <c r="SX16" s="336">
        <v>0</v>
      </c>
      <c r="SY16" s="336">
        <v>0</v>
      </c>
      <c r="SZ16" s="336" t="s">
        <v>1420</v>
      </c>
      <c r="TA16" s="336" t="s">
        <v>1420</v>
      </c>
      <c r="TB16" s="336" t="s">
        <v>1420</v>
      </c>
      <c r="TC16" s="336">
        <v>77541</v>
      </c>
      <c r="TD16" s="336">
        <v>25745</v>
      </c>
      <c r="TE16" s="336">
        <v>11238</v>
      </c>
      <c r="TF16" s="336">
        <v>0</v>
      </c>
      <c r="TG16" s="336">
        <v>497250</v>
      </c>
      <c r="TH16" s="336">
        <v>239174</v>
      </c>
      <c r="TI16" s="336">
        <v>341934</v>
      </c>
      <c r="TJ16" s="336">
        <v>2613547</v>
      </c>
      <c r="TK16" s="336">
        <v>0</v>
      </c>
      <c r="TL16" s="336">
        <v>57597</v>
      </c>
      <c r="TM16" s="336">
        <v>0</v>
      </c>
      <c r="TN16" s="336">
        <v>0</v>
      </c>
      <c r="TO16" s="336">
        <v>0</v>
      </c>
      <c r="TP16" s="336">
        <v>0</v>
      </c>
      <c r="TQ16" s="336">
        <v>0</v>
      </c>
      <c r="TR16" s="336">
        <v>0</v>
      </c>
      <c r="TS16" s="336">
        <v>0</v>
      </c>
      <c r="TT16" s="336">
        <v>0</v>
      </c>
      <c r="TU16" s="336">
        <v>0</v>
      </c>
      <c r="TV16" s="336">
        <v>0</v>
      </c>
      <c r="TW16" s="336">
        <v>0</v>
      </c>
      <c r="TX16" s="336">
        <v>0</v>
      </c>
      <c r="TY16" s="336">
        <v>0</v>
      </c>
      <c r="TZ16" s="336">
        <v>0</v>
      </c>
      <c r="UA16" s="336">
        <v>0</v>
      </c>
      <c r="UB16" s="336">
        <v>0</v>
      </c>
      <c r="UC16" s="336">
        <v>0</v>
      </c>
      <c r="UD16" s="336">
        <v>0</v>
      </c>
      <c r="UE16" s="336">
        <v>0</v>
      </c>
      <c r="UF16" s="336">
        <v>0</v>
      </c>
      <c r="UG16" s="336">
        <v>0</v>
      </c>
      <c r="UH16" s="336">
        <v>71494113</v>
      </c>
      <c r="UI16" s="336">
        <v>4182936</v>
      </c>
      <c r="UJ16" s="336">
        <v>1976506</v>
      </c>
      <c r="UK16" s="336">
        <v>0</v>
      </c>
      <c r="UL16" s="336">
        <v>21228969</v>
      </c>
      <c r="UM16" s="336">
        <v>12176041</v>
      </c>
      <c r="UN16" s="336">
        <v>35911901</v>
      </c>
      <c r="UO16" s="336">
        <v>12016793</v>
      </c>
      <c r="UP16" s="336">
        <v>5228999</v>
      </c>
      <c r="UQ16" s="336">
        <v>52191038</v>
      </c>
      <c r="UR16"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3864026</v>
      </c>
      <c r="US16" s="338">
        <f>SUM(Input[[#This Row],[Oth Exp E&amp;G]],Input[[#This Row],[Oth Exp Desg]],Input[[#This Row],[Oth Exp Aux]],Input[[#This Row],[Oth Exp R Exp]],Input[[#This Row],[Oth Exp Loan]],Input[[#This Row],[Oth Exp Annuity]],Input[[#This Row],[Oth Exp Unexp]],Input[[#This Row],[Oth Exp R of Ind]],Input[[#This Row],[Oth Exp Inv in P]])</f>
        <v>2253072</v>
      </c>
      <c r="UT16" s="336">
        <v>0</v>
      </c>
      <c r="UU16" s="336">
        <v>0</v>
      </c>
      <c r="UV16" s="339" t="s">
        <v>1507</v>
      </c>
      <c r="UW16" s="340"/>
      <c r="UX16" s="339"/>
      <c r="UY16" s="339" t="s">
        <v>1508</v>
      </c>
      <c r="UZ16" s="340"/>
      <c r="VA16" s="339"/>
      <c r="VB16" s="341" cm="1">
        <f t="array" ref="VB16">IFERROR(_xlfn.IFS(Input[[#This Row],[Type]]="HRI",VLOOKUP(Input[[#This Row],[Institution Name]],FTSEHRI[],9,FALSE),Input[[#This Row],[Type]]="UNIV",VLOOKUP(Input[[#This Row],[Institution Name]],FTSEUNIV[],9,FALSE),OR(Input[[#This Row],[Type]]="TSTC",Input[[#This Row],[Type]]="LSC"),VLOOKUP(Input[[#This Row],[Institution Name]],FTSETSTC[],8,FALSE)),"N/A")</f>
        <v>8897.17</v>
      </c>
      <c r="VC16" s="342" t="str" cm="1">
        <f t="array" ref="VC16">IFERROR(_xlfn.IFS(Input[[#This Row],[Type]]="HRI",VLOOKUP(Input[[#This Row],[Institution Name]],FTSEHRI[],11,FALSE),Input[[#This Row],[Type]]="UNIV",VLOOKUP(Input[[#This Row],[Institution Name]],FTSEUNIV[],11,FALSE),Input[[#This Row],[Type]]="TSTC",VLOOKUP(Input[[#This Row],[Institution Name]],FTSETSTC[],10,FALSE)),"N/A")</f>
        <v>N/A</v>
      </c>
      <c r="VD16"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91772604</v>
      </c>
      <c r="VE16"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16" s="338">
        <f>SUM(Input[[#This Row],[Fed G&amp;C E&amp;G]],Input[[#This Row],[Fed G&amp;C Desg]],Input[[#This Row],[Fed G&amp;C R Exp]],Input[[#This Row],[Fed G&amp;C Loan]],Input[[#This Row],[Fed G&amp;C Annuity]],Input[[#This Row],[Fed G&amp;C Unexp]],Input[[#This Row],[Fed G&amp;C R of Ind]],Input[[#This Row],[Fed G&amp;C Inv in P]])</f>
        <v>28513582</v>
      </c>
      <c r="VG16"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26030820</v>
      </c>
      <c r="VH16"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24409105</v>
      </c>
      <c r="VI16"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27675826</v>
      </c>
      <c r="VJ16" s="338">
        <f>SUM(Input[[#This Row],[Oth Inc E&amp;G]],Input[[#This Row],[Oth Exp Desg]],Input[[#This Row],[Oth Exp R Exp]],Input[[#This Row],[Oth Exp Loan]],Input[[#This Row],[Oth Exp Annuity]],Input[[#This Row],[Oth Exp Unexp]],Input[[#This Row],[Oth Exp R of Ind]],Input[[#This Row],[Oth Exp Inv in P]])</f>
        <v>247488</v>
      </c>
      <c r="VK16" s="343">
        <f>SUM(Input[[#This Row],[Instr E&amp;G]],Input[[#This Row],[Instr Desg]],Input[[#This Row],[Instr R Exp]],Input[[#This Row],[Instr Loan]],Input[[#This Row],[Instr Annuity]],Input[[#This Row],[Instr Unexp]],Input[[#This Row],[Instr R of Ind]],Input[[#This Row],[Instr Inv in P]])</f>
        <v>71494113</v>
      </c>
      <c r="VL16" s="343">
        <f>SUM(Input[[#This Row],[Res E&amp;G]],Input[[#This Row],[Res Desg]],Input[[#This Row],[Res R Exp]],Input[[#This Row],[Res Loan]],Input[[#This Row],[Res Annuity]],Input[[#This Row],[Res Unexp]],Input[[#This Row],[Res R of Ind]],Input[[#This Row],[Res Inv in P]])</f>
        <v>4182936</v>
      </c>
      <c r="VM16" s="343">
        <f>SUM(Input[[#This Row],[Acad Sup E&amp;G]],Input[[#This Row],[Acad Sup Desg]],Input[[#This Row],[Acad Sup R Exp]],Input[[#This Row],[Acad Sup Loan]],Input[[#This Row],[Acad Sup Annuity]],Input[[#This Row],[Acad Sup Unexp]],Input[[#This Row],[Acad Sup R of Ind]],Input[[#This Row],[Acad Sup Inv in P]])</f>
        <v>21228969</v>
      </c>
      <c r="VN16" s="343">
        <f>SUM(Input[[#This Row],[Stu Svc E&amp;G]],Input[[#This Row],[Stu Svc Desg]],Input[[#This Row],[Stu Svc R Exp]],Input[[#This Row],[Stu Svc Loan]],Input[[#This Row],[Stu Svc Annuity]],Input[[#This Row],[Stu Svc Unexp]],Input[[#This Row],[Stu Svc R of Ind]],Input[[#This Row],[Stu Svc Inv in P]])</f>
        <v>12176041</v>
      </c>
      <c r="VO16" s="343">
        <f>SUM(Input[[#This Row],[Inst. Spt E&amp;G]],Input[[#This Row],[Inst. Spt Desg]],Input[[#This Row],[Inst. Spt R Exp]],Input[[#This Row],[Inst. Spt Loan]],Input[[#This Row],[Inst. Spt Annuity]],Input[[#This Row],[Inst. Spt Unexp]],Input[[#This Row],[Inst. Spt R of Ind]],Input[[#This Row],[Inst. Spt Inv in P]])</f>
        <v>35911901</v>
      </c>
      <c r="VP16" s="343">
        <f>SUM(Input[[#This Row],[M&amp;O Plnt E&amp;G]],Input[[#This Row],[M&amp;O Plnt Desg]],Input[[#This Row],[M&amp;O Plnt R Exp]],Input[[#This Row],[M&amp;O Plnt Loan]],Input[[#This Row],[M&amp;O Plnt Annuity]],Input[[#This Row],[M&amp;O Plnt Unexp]],Input[[#This Row],[M&amp;O Plnt R of Ind]],Input[[#This Row],[M&amp;O Plnt Inv in P]])</f>
        <v>12016793</v>
      </c>
      <c r="VQ16" s="343">
        <f>SUM(Input[[#This Row],[Schl &amp; Fell E&amp;G]],Input[[#This Row],[Schl &amp; Fell Desg]],Input[[#This Row],[Schl &amp; Fell R Exp]],Input[[#This Row],[Schl &amp; Fell Loan]],Input[[#This Row],[Schl &amp; Fell Annuity]],Input[[#This Row],[Schl &amp; Fell Unexp]],Input[[#This Row],[Schl &amp; Fell R of Ind]],Input[[#This Row],[Schl &amp; Fell Inv in P]])</f>
        <v>5228999</v>
      </c>
      <c r="VR16" s="343">
        <f>SUM(Input[[#This Row],[Cap Out fund E&amp;G]],Input[[#This Row],[Cap Out fund Desg]],Input[[#This Row],[Cap Out fund R Exp]],Input[[#This Row],[Cap Out fund Loan]],Input[[#This Row],[Cap Out fund Annuity]],Input[[#This Row],[Cap Out fund Unexp]],Input[[#This Row],[Cap Out fund R of Ind]],Input[[#This Row],[Cap Out fund Inv in P]])</f>
        <v>3786443</v>
      </c>
      <c r="VS16" s="343">
        <f>SUM(Input[[#This Row],[Oth Exp E&amp;G]],Input[[#This Row],[Oth Exp Desg]],Input[[#This Row],[Oth Exp R Exp]],Input[[#This Row],[Oth Exp Loan]],Input[[#This Row],[Oth Exp Annuity]],Input[[#This Row],[Oth Exp Unexp]],Input[[#This Row],[Oth Exp R of Ind]],Input[[#This Row],[Oth Exp Inv in P]],Input[[#This Row],[Oth Exp Inv in P]])</f>
        <v>250757</v>
      </c>
    </row>
    <row r="17" spans="1:591" s="344" customFormat="1" ht="27" customHeight="1" x14ac:dyDescent="0.55000000000000004">
      <c r="A17" s="339" t="s">
        <v>84</v>
      </c>
      <c r="B17" s="334" t="s">
        <v>825</v>
      </c>
      <c r="C17" s="334" t="s">
        <v>21</v>
      </c>
      <c r="D17" s="334">
        <v>300</v>
      </c>
      <c r="E17" s="334" t="s">
        <v>1623</v>
      </c>
      <c r="F17" s="335">
        <v>3625</v>
      </c>
      <c r="G17" s="336">
        <v>25489209</v>
      </c>
      <c r="H17" s="336">
        <v>0</v>
      </c>
      <c r="I17" s="336">
        <v>0</v>
      </c>
      <c r="J17" s="336">
        <v>0</v>
      </c>
      <c r="K17" s="336">
        <v>0</v>
      </c>
      <c r="L17" s="336">
        <v>0</v>
      </c>
      <c r="M17" s="336">
        <v>0</v>
      </c>
      <c r="N17" s="336">
        <v>0</v>
      </c>
      <c r="O17" s="336">
        <v>0</v>
      </c>
      <c r="P17" s="336">
        <v>0</v>
      </c>
      <c r="Q17" s="336">
        <v>0</v>
      </c>
      <c r="R17" s="336">
        <v>0</v>
      </c>
      <c r="S17" s="336">
        <v>2576964</v>
      </c>
      <c r="T17" s="336">
        <v>0</v>
      </c>
      <c r="U17" s="336">
        <v>0</v>
      </c>
      <c r="V17" s="336">
        <v>0</v>
      </c>
      <c r="W17" s="336">
        <v>0</v>
      </c>
      <c r="X17" s="336">
        <v>0</v>
      </c>
      <c r="Y17" s="336">
        <v>2703797</v>
      </c>
      <c r="Z17" s="336">
        <v>0</v>
      </c>
      <c r="AA17" s="336">
        <v>0</v>
      </c>
      <c r="AB17" s="336">
        <v>0</v>
      </c>
      <c r="AC17" s="336">
        <v>0</v>
      </c>
      <c r="AD17" s="336">
        <v>0</v>
      </c>
      <c r="AE17" s="336">
        <v>0</v>
      </c>
      <c r="AF17" s="336">
        <v>0</v>
      </c>
      <c r="AG17" s="336">
        <v>0</v>
      </c>
      <c r="AH17" s="336">
        <v>0</v>
      </c>
      <c r="AI17" s="336">
        <v>0</v>
      </c>
      <c r="AJ17" s="336">
        <v>0</v>
      </c>
      <c r="AK17" s="336">
        <v>0</v>
      </c>
      <c r="AL17" s="336">
        <v>0</v>
      </c>
      <c r="AM17" s="336">
        <v>0</v>
      </c>
      <c r="AN17" s="336">
        <v>0</v>
      </c>
      <c r="AO17" s="336">
        <v>0</v>
      </c>
      <c r="AP17" s="336">
        <v>0</v>
      </c>
      <c r="AQ17" s="336">
        <v>0</v>
      </c>
      <c r="AR17" s="336">
        <v>0</v>
      </c>
      <c r="AS17" s="336">
        <v>0</v>
      </c>
      <c r="AT17" s="336">
        <v>0</v>
      </c>
      <c r="AU17" s="336">
        <v>0</v>
      </c>
      <c r="AV17" s="336">
        <v>0</v>
      </c>
      <c r="AW17" s="336">
        <v>0</v>
      </c>
      <c r="AX17" s="336">
        <v>0</v>
      </c>
      <c r="AY17" s="336">
        <v>0</v>
      </c>
      <c r="AZ17" s="336">
        <v>0</v>
      </c>
      <c r="BA17" s="336">
        <v>0</v>
      </c>
      <c r="BB17" s="336">
        <v>0</v>
      </c>
      <c r="BC17" s="336">
        <v>0</v>
      </c>
      <c r="BD17" s="336">
        <v>0</v>
      </c>
      <c r="BE17" s="336">
        <v>0</v>
      </c>
      <c r="BF17" s="336">
        <v>0</v>
      </c>
      <c r="BG17" s="336">
        <v>0</v>
      </c>
      <c r="BH17" s="336">
        <v>0</v>
      </c>
      <c r="BI17" s="336">
        <v>0</v>
      </c>
      <c r="BJ17" s="336">
        <v>0</v>
      </c>
      <c r="BK17" s="336">
        <v>0</v>
      </c>
      <c r="BL17" s="336">
        <v>0</v>
      </c>
      <c r="BM17" s="336">
        <v>0</v>
      </c>
      <c r="BN17" s="336">
        <v>0</v>
      </c>
      <c r="BO17" s="336">
        <v>0</v>
      </c>
      <c r="BP17" s="336">
        <v>0</v>
      </c>
      <c r="BQ17" s="336">
        <v>0</v>
      </c>
      <c r="BR17" s="336">
        <v>0</v>
      </c>
      <c r="BS17" s="336">
        <v>0</v>
      </c>
      <c r="BT17" s="336">
        <v>0</v>
      </c>
      <c r="BU17" s="336">
        <v>0</v>
      </c>
      <c r="BV17" s="336">
        <v>0</v>
      </c>
      <c r="BW17" s="336">
        <v>0</v>
      </c>
      <c r="BX17" s="336">
        <v>0</v>
      </c>
      <c r="BY17" s="336">
        <v>0</v>
      </c>
      <c r="BZ17" s="336">
        <v>0</v>
      </c>
      <c r="CA17" s="336">
        <v>2142990</v>
      </c>
      <c r="CB17" s="336">
        <v>7522414</v>
      </c>
      <c r="CC17" s="336">
        <v>0</v>
      </c>
      <c r="CD17" s="336">
        <v>0</v>
      </c>
      <c r="CE17" s="336">
        <v>0</v>
      </c>
      <c r="CF17" s="336">
        <v>0</v>
      </c>
      <c r="CG17" s="336">
        <v>0</v>
      </c>
      <c r="CH17" s="336">
        <v>0</v>
      </c>
      <c r="CI17" s="336">
        <v>0</v>
      </c>
      <c r="CJ17" s="336">
        <v>-252</v>
      </c>
      <c r="CK17" s="336">
        <v>-146815</v>
      </c>
      <c r="CL17" s="336">
        <v>0</v>
      </c>
      <c r="CM17" s="336">
        <v>0</v>
      </c>
      <c r="CN17" s="336">
        <v>0</v>
      </c>
      <c r="CO17" s="336">
        <v>0</v>
      </c>
      <c r="CP17" s="336">
        <v>0</v>
      </c>
      <c r="CQ17" s="336">
        <v>0</v>
      </c>
      <c r="CR17" s="336">
        <v>0</v>
      </c>
      <c r="CS17" s="336">
        <v>0</v>
      </c>
      <c r="CT17" s="336">
        <v>0</v>
      </c>
      <c r="CU17" s="336">
        <v>0</v>
      </c>
      <c r="CV17" s="336">
        <v>0</v>
      </c>
      <c r="CW17" s="336">
        <v>0</v>
      </c>
      <c r="CX17" s="336">
        <v>0</v>
      </c>
      <c r="CY17" s="336">
        <v>0</v>
      </c>
      <c r="CZ17" s="336">
        <v>0</v>
      </c>
      <c r="DA17" s="336">
        <v>0</v>
      </c>
      <c r="DB17" s="336">
        <v>-187061</v>
      </c>
      <c r="DC17" s="336">
        <v>-375453</v>
      </c>
      <c r="DD17" s="336">
        <v>0</v>
      </c>
      <c r="DE17" s="336">
        <v>0</v>
      </c>
      <c r="DF17" s="336">
        <v>0</v>
      </c>
      <c r="DG17" s="336">
        <v>0</v>
      </c>
      <c r="DH17" s="336">
        <v>0</v>
      </c>
      <c r="DI17" s="336">
        <v>0</v>
      </c>
      <c r="DJ17" s="336">
        <v>0</v>
      </c>
      <c r="DK17" s="336">
        <v>0</v>
      </c>
      <c r="DL17" s="336">
        <v>0</v>
      </c>
      <c r="DM17" s="336">
        <v>0</v>
      </c>
      <c r="DN17" s="336">
        <v>0</v>
      </c>
      <c r="DO17" s="336">
        <v>0</v>
      </c>
      <c r="DP17" s="336">
        <v>0</v>
      </c>
      <c r="DQ17" s="336">
        <v>0</v>
      </c>
      <c r="DR17" s="336">
        <v>0</v>
      </c>
      <c r="DS17" s="336">
        <v>0</v>
      </c>
      <c r="DT17" s="336">
        <v>0</v>
      </c>
      <c r="DU17" s="336">
        <v>-2832495</v>
      </c>
      <c r="DV17" s="336">
        <v>0</v>
      </c>
      <c r="DW17" s="336">
        <v>0</v>
      </c>
      <c r="DX17" s="336">
        <v>0</v>
      </c>
      <c r="DY17" s="336">
        <v>0</v>
      </c>
      <c r="DZ17" s="336">
        <v>0</v>
      </c>
      <c r="EA17" s="336">
        <v>0</v>
      </c>
      <c r="EB17" s="336">
        <v>0</v>
      </c>
      <c r="EC17" s="336">
        <v>0</v>
      </c>
      <c r="ED17" s="336">
        <v>0</v>
      </c>
      <c r="EE17" s="336">
        <v>0</v>
      </c>
      <c r="EF17" s="336">
        <v>0</v>
      </c>
      <c r="EG17" s="336">
        <v>0</v>
      </c>
      <c r="EH17" s="336">
        <v>0</v>
      </c>
      <c r="EI17" s="336">
        <v>0</v>
      </c>
      <c r="EJ17" s="336">
        <v>0</v>
      </c>
      <c r="EK17" s="336">
        <v>0</v>
      </c>
      <c r="EL17" s="336">
        <v>0</v>
      </c>
      <c r="EM17" s="336">
        <v>0</v>
      </c>
      <c r="EN17" s="336">
        <v>0</v>
      </c>
      <c r="EO17" s="336">
        <v>0</v>
      </c>
      <c r="EP17" s="336">
        <v>0</v>
      </c>
      <c r="EQ17" s="336">
        <v>0</v>
      </c>
      <c r="ER17" s="336">
        <v>0</v>
      </c>
      <c r="ES17" s="336">
        <v>0</v>
      </c>
      <c r="ET17" s="336">
        <v>0</v>
      </c>
      <c r="EU17" s="336">
        <v>0</v>
      </c>
      <c r="EV17" s="336">
        <v>0</v>
      </c>
      <c r="EW17" s="336">
        <v>0</v>
      </c>
      <c r="EX17" s="336">
        <v>0</v>
      </c>
      <c r="EY17" s="336">
        <v>0</v>
      </c>
      <c r="EZ17" s="336">
        <v>0</v>
      </c>
      <c r="FA17" s="336">
        <v>0</v>
      </c>
      <c r="FB17" s="336">
        <v>0</v>
      </c>
      <c r="FC17" s="336">
        <v>0</v>
      </c>
      <c r="FD17" s="336">
        <v>0</v>
      </c>
      <c r="FE17" s="336">
        <v>0</v>
      </c>
      <c r="FF17" s="336">
        <v>0</v>
      </c>
      <c r="FG17" s="336">
        <v>0</v>
      </c>
      <c r="FH17" s="336">
        <v>0</v>
      </c>
      <c r="FI17" s="336">
        <v>0</v>
      </c>
      <c r="FJ17" s="336">
        <v>0</v>
      </c>
      <c r="FK17" s="336">
        <v>0</v>
      </c>
      <c r="FL17" s="336">
        <v>0</v>
      </c>
      <c r="FM17" s="336">
        <v>16455</v>
      </c>
      <c r="FN17" s="336">
        <v>4746401</v>
      </c>
      <c r="FO17" s="336">
        <v>359873</v>
      </c>
      <c r="FP17" s="336">
        <v>0</v>
      </c>
      <c r="FQ17" s="336">
        <v>0</v>
      </c>
      <c r="FR17" s="336">
        <v>0</v>
      </c>
      <c r="FS17" s="336">
        <v>0</v>
      </c>
      <c r="FT17" s="336">
        <v>0</v>
      </c>
      <c r="FU17" s="336">
        <v>0</v>
      </c>
      <c r="FV17" s="336">
        <v>0</v>
      </c>
      <c r="FW17" s="336">
        <v>-106816</v>
      </c>
      <c r="FX17" s="336">
        <v>-7991</v>
      </c>
      <c r="FY17" s="336">
        <v>0</v>
      </c>
      <c r="FZ17" s="336">
        <v>0</v>
      </c>
      <c r="GA17" s="336">
        <v>0</v>
      </c>
      <c r="GB17" s="336">
        <v>0</v>
      </c>
      <c r="GC17" s="336">
        <v>0</v>
      </c>
      <c r="GD17" s="336">
        <v>0</v>
      </c>
      <c r="GE17" s="336">
        <v>0</v>
      </c>
      <c r="GF17" s="336">
        <v>0</v>
      </c>
      <c r="GG17" s="336">
        <v>0</v>
      </c>
      <c r="GH17" s="336">
        <v>0</v>
      </c>
      <c r="GI17" s="336">
        <v>0</v>
      </c>
      <c r="GJ17" s="336">
        <v>0</v>
      </c>
      <c r="GK17" s="336">
        <v>0</v>
      </c>
      <c r="GL17" s="336">
        <v>0</v>
      </c>
      <c r="GM17" s="336">
        <v>0</v>
      </c>
      <c r="GN17" s="336">
        <v>-43057</v>
      </c>
      <c r="GO17" s="336">
        <v>-407879</v>
      </c>
      <c r="GP17" s="336">
        <v>-3894</v>
      </c>
      <c r="GQ17" s="336">
        <v>0</v>
      </c>
      <c r="GR17" s="336">
        <v>0</v>
      </c>
      <c r="GS17" s="336">
        <v>0</v>
      </c>
      <c r="GT17" s="336">
        <v>0</v>
      </c>
      <c r="GU17" s="336">
        <v>0</v>
      </c>
      <c r="GV17" s="336">
        <v>0</v>
      </c>
      <c r="GW17" s="336">
        <v>0</v>
      </c>
      <c r="GX17" s="336">
        <v>0</v>
      </c>
      <c r="GY17" s="336">
        <v>0</v>
      </c>
      <c r="GZ17" s="336">
        <v>0</v>
      </c>
      <c r="HA17" s="336">
        <v>0</v>
      </c>
      <c r="HB17" s="336">
        <v>0</v>
      </c>
      <c r="HC17" s="336">
        <v>0</v>
      </c>
      <c r="HD17" s="336">
        <v>0</v>
      </c>
      <c r="HE17" s="336">
        <v>0</v>
      </c>
      <c r="HF17" s="336">
        <v>0</v>
      </c>
      <c r="HG17" s="336">
        <v>0</v>
      </c>
      <c r="HH17" s="336">
        <v>0</v>
      </c>
      <c r="HI17" s="336">
        <v>0</v>
      </c>
      <c r="HJ17" s="336">
        <v>0</v>
      </c>
      <c r="HK17" s="336">
        <v>0</v>
      </c>
      <c r="HL17" s="336">
        <v>0</v>
      </c>
      <c r="HM17" s="336">
        <v>0</v>
      </c>
      <c r="HN17" s="336">
        <v>0</v>
      </c>
      <c r="HO17" s="336">
        <v>0</v>
      </c>
      <c r="HP17" s="336">
        <v>0</v>
      </c>
      <c r="HQ17" s="336">
        <v>0</v>
      </c>
      <c r="HR17" s="336">
        <v>14083450</v>
      </c>
      <c r="HS17" s="336">
        <v>0</v>
      </c>
      <c r="HT17" s="336">
        <v>0</v>
      </c>
      <c r="HU17" s="336">
        <v>0</v>
      </c>
      <c r="HV17" s="336">
        <v>0</v>
      </c>
      <c r="HW17" s="336">
        <v>0</v>
      </c>
      <c r="HX17" s="336">
        <v>0</v>
      </c>
      <c r="HY17" s="336">
        <v>0</v>
      </c>
      <c r="HZ17" s="336">
        <v>0</v>
      </c>
      <c r="IA17" s="336">
        <v>0</v>
      </c>
      <c r="IB17" s="336">
        <v>0</v>
      </c>
      <c r="IC17" s="336">
        <v>0</v>
      </c>
      <c r="ID17" s="336">
        <v>0</v>
      </c>
      <c r="IE17" s="336">
        <v>0</v>
      </c>
      <c r="IF17" s="336">
        <v>0</v>
      </c>
      <c r="IG17" s="336">
        <v>0</v>
      </c>
      <c r="IH17" s="336">
        <v>0</v>
      </c>
      <c r="II17" s="336">
        <v>0</v>
      </c>
      <c r="IJ17" s="336">
        <v>0</v>
      </c>
      <c r="IK17" s="336">
        <v>0</v>
      </c>
      <c r="IL17" s="336">
        <v>0</v>
      </c>
      <c r="IM17" s="336">
        <v>0</v>
      </c>
      <c r="IN17" s="336">
        <v>0</v>
      </c>
      <c r="IO17" s="336">
        <v>0</v>
      </c>
      <c r="IP17" s="336">
        <v>56373</v>
      </c>
      <c r="IQ17" s="336">
        <v>127363</v>
      </c>
      <c r="IR17" s="336">
        <v>0</v>
      </c>
      <c r="IS17" s="336">
        <v>763343</v>
      </c>
      <c r="IT17" s="336">
        <v>0</v>
      </c>
      <c r="IU17" s="336">
        <v>255861</v>
      </c>
      <c r="IV17" s="336">
        <v>0</v>
      </c>
      <c r="IW17" s="336">
        <v>0</v>
      </c>
      <c r="IX17" s="336">
        <v>0</v>
      </c>
      <c r="IY17" s="336">
        <v>0</v>
      </c>
      <c r="IZ17" s="336">
        <v>0</v>
      </c>
      <c r="JA17" s="336">
        <v>0</v>
      </c>
      <c r="JB17" s="336">
        <v>1221012</v>
      </c>
      <c r="JC17" s="336">
        <v>0</v>
      </c>
      <c r="JD17" s="336">
        <v>0</v>
      </c>
      <c r="JE17" s="336">
        <v>0</v>
      </c>
      <c r="JF17" s="336">
        <v>0</v>
      </c>
      <c r="JG17" s="336">
        <v>0</v>
      </c>
      <c r="JH17" s="336">
        <v>148645</v>
      </c>
      <c r="JI17" s="336">
        <v>-238</v>
      </c>
      <c r="JJ17" s="336">
        <v>1858</v>
      </c>
      <c r="JK17" s="336">
        <v>3809420</v>
      </c>
      <c r="JL17" s="336">
        <v>0</v>
      </c>
      <c r="JM17" s="336">
        <v>0</v>
      </c>
      <c r="JN17" s="336">
        <v>0</v>
      </c>
      <c r="JO17" s="336">
        <v>0</v>
      </c>
      <c r="JP17" s="336">
        <v>0</v>
      </c>
      <c r="JQ17" s="336">
        <v>445658</v>
      </c>
      <c r="JR17" s="336">
        <v>57638</v>
      </c>
      <c r="JS17" s="336">
        <v>89425</v>
      </c>
      <c r="JT17" s="336">
        <v>233601</v>
      </c>
      <c r="JU17" s="336">
        <v>0</v>
      </c>
      <c r="JV17" s="336">
        <v>20124</v>
      </c>
      <c r="JW17" s="336">
        <v>0</v>
      </c>
      <c r="JX17" s="336">
        <v>0</v>
      </c>
      <c r="JY17" s="336">
        <v>0</v>
      </c>
      <c r="JZ17" s="336">
        <v>6680</v>
      </c>
      <c r="KA17" s="336">
        <v>87447</v>
      </c>
      <c r="KB17" s="336">
        <v>3885763</v>
      </c>
      <c r="KC17" s="336">
        <v>0</v>
      </c>
      <c r="KD17" s="336">
        <v>0</v>
      </c>
      <c r="KE17" s="336">
        <v>1448</v>
      </c>
      <c r="KF17" s="336">
        <v>0</v>
      </c>
      <c r="KG17" s="336">
        <v>0</v>
      </c>
      <c r="KH17" s="336">
        <v>0</v>
      </c>
      <c r="KI17" s="336">
        <v>-397</v>
      </c>
      <c r="KJ17" s="336">
        <v>479334</v>
      </c>
      <c r="KK17" s="336">
        <v>123858</v>
      </c>
      <c r="KL17" s="336">
        <v>248688</v>
      </c>
      <c r="KM17" s="336">
        <v>-1897</v>
      </c>
      <c r="KN17" s="336">
        <v>0</v>
      </c>
      <c r="KO17" s="336">
        <v>0</v>
      </c>
      <c r="KP17" s="336">
        <v>0</v>
      </c>
      <c r="KQ17" s="336">
        <v>0</v>
      </c>
      <c r="KR17" s="336">
        <v>10908578</v>
      </c>
      <c r="KS17" s="336">
        <v>1256357</v>
      </c>
      <c r="KT17" s="336">
        <v>0</v>
      </c>
      <c r="KU17" s="336">
        <v>85958</v>
      </c>
      <c r="KV17" s="336">
        <v>0</v>
      </c>
      <c r="KW17" s="336">
        <v>0</v>
      </c>
      <c r="KX17" s="336">
        <v>0</v>
      </c>
      <c r="KY17" s="336">
        <v>0</v>
      </c>
      <c r="KZ17" s="336">
        <v>0</v>
      </c>
      <c r="LA17" s="336">
        <v>668966</v>
      </c>
      <c r="LB17" s="336">
        <v>818406</v>
      </c>
      <c r="LC17" s="336">
        <v>0</v>
      </c>
      <c r="LD17" s="336">
        <v>4152225</v>
      </c>
      <c r="LE17" s="336">
        <v>0</v>
      </c>
      <c r="LF17" s="336">
        <v>0</v>
      </c>
      <c r="LG17" s="336">
        <v>0</v>
      </c>
      <c r="LH17" s="336">
        <v>0</v>
      </c>
      <c r="LI17" s="336">
        <v>0</v>
      </c>
      <c r="LJ17" s="336">
        <v>487843</v>
      </c>
      <c r="LK17" s="336">
        <v>0</v>
      </c>
      <c r="LL17" s="336">
        <v>-43299</v>
      </c>
      <c r="LM17" s="336">
        <v>1794549</v>
      </c>
      <c r="LN17" s="336">
        <v>0</v>
      </c>
      <c r="LO17" s="336">
        <v>0</v>
      </c>
      <c r="LP17" s="336">
        <v>0</v>
      </c>
      <c r="LQ17" s="336">
        <v>0</v>
      </c>
      <c r="LR17" s="336">
        <v>0</v>
      </c>
      <c r="LS17" s="336">
        <v>0</v>
      </c>
      <c r="LT17" s="336">
        <v>0</v>
      </c>
      <c r="LU17" s="336">
        <v>0</v>
      </c>
      <c r="LV17" s="336">
        <v>0</v>
      </c>
      <c r="LW17" s="336">
        <v>0</v>
      </c>
      <c r="LX17" s="336">
        <v>0</v>
      </c>
      <c r="LY17" s="336">
        <v>0</v>
      </c>
      <c r="LZ17" s="336">
        <v>0</v>
      </c>
      <c r="MA17" s="336">
        <v>0</v>
      </c>
      <c r="MB17" s="336">
        <v>2536132</v>
      </c>
      <c r="MC17" s="336">
        <v>771100</v>
      </c>
      <c r="MD17" s="336">
        <v>0</v>
      </c>
      <c r="ME17" s="336">
        <v>2007821</v>
      </c>
      <c r="MF17" s="336">
        <v>0</v>
      </c>
      <c r="MG17" s="336">
        <v>0</v>
      </c>
      <c r="MH17" s="336">
        <v>0</v>
      </c>
      <c r="MI17" s="336">
        <v>0</v>
      </c>
      <c r="MJ17" s="336">
        <v>0</v>
      </c>
      <c r="MK17" s="336">
        <v>2027048</v>
      </c>
      <c r="ML17" s="336">
        <v>1721867</v>
      </c>
      <c r="MM17" s="336">
        <v>0</v>
      </c>
      <c r="MN17" s="336">
        <v>1737496</v>
      </c>
      <c r="MO17" s="336">
        <v>0</v>
      </c>
      <c r="MP17" s="336">
        <v>0</v>
      </c>
      <c r="MQ17" s="336">
        <v>0</v>
      </c>
      <c r="MR17" s="336">
        <v>0</v>
      </c>
      <c r="MS17" s="336">
        <v>0</v>
      </c>
      <c r="MT17" s="336">
        <v>6070732</v>
      </c>
      <c r="MU17" s="336">
        <v>3962126</v>
      </c>
      <c r="MV17" s="336">
        <v>0</v>
      </c>
      <c r="MW17" s="336">
        <v>931574</v>
      </c>
      <c r="MX17" s="336">
        <v>0</v>
      </c>
      <c r="MY17" s="336">
        <v>0</v>
      </c>
      <c r="MZ17" s="336">
        <v>0</v>
      </c>
      <c r="NA17" s="336">
        <v>0</v>
      </c>
      <c r="NB17" s="336">
        <v>0</v>
      </c>
      <c r="NC17" s="336">
        <v>1947511</v>
      </c>
      <c r="ND17" s="336">
        <v>511904</v>
      </c>
      <c r="NE17" s="336">
        <v>26</v>
      </c>
      <c r="NF17" s="336">
        <v>72150</v>
      </c>
      <c r="NG17" s="336">
        <v>0</v>
      </c>
      <c r="NH17" s="336">
        <v>0</v>
      </c>
      <c r="NI17" s="336">
        <v>951519</v>
      </c>
      <c r="NJ17" s="336">
        <v>0</v>
      </c>
      <c r="NK17" s="336">
        <v>0</v>
      </c>
      <c r="NL17" s="336">
        <v>38935</v>
      </c>
      <c r="NM17" s="336">
        <v>1324034</v>
      </c>
      <c r="NN17" s="336">
        <v>0</v>
      </c>
      <c r="NO17" s="336">
        <v>5118729</v>
      </c>
      <c r="NP17" s="336">
        <v>0</v>
      </c>
      <c r="NQ17" s="336">
        <v>0</v>
      </c>
      <c r="NR17" s="336">
        <v>0</v>
      </c>
      <c r="NS17" s="336">
        <v>0</v>
      </c>
      <c r="NT17" s="336">
        <v>0</v>
      </c>
      <c r="NU17" s="336">
        <v>60669</v>
      </c>
      <c r="NV17" s="336">
        <v>2198419</v>
      </c>
      <c r="NW17" s="336">
        <v>4249231</v>
      </c>
      <c r="NX17" s="336">
        <v>64063</v>
      </c>
      <c r="NY17" s="336">
        <v>0</v>
      </c>
      <c r="NZ17" s="336">
        <v>0</v>
      </c>
      <c r="OA17" s="336">
        <v>0</v>
      </c>
      <c r="OB17" s="336">
        <v>0</v>
      </c>
      <c r="OC17" s="336">
        <v>0</v>
      </c>
      <c r="OD17" s="336">
        <v>5856372</v>
      </c>
      <c r="OE17" s="336">
        <v>614084</v>
      </c>
      <c r="OF17" s="336">
        <v>0</v>
      </c>
      <c r="OG17" s="336">
        <v>762289</v>
      </c>
      <c r="OH17" s="336">
        <v>0</v>
      </c>
      <c r="OI17" s="336">
        <v>0</v>
      </c>
      <c r="OJ17" s="336">
        <v>0</v>
      </c>
      <c r="OK17" s="336">
        <v>0</v>
      </c>
      <c r="OL17" s="336">
        <v>0</v>
      </c>
      <c r="OM17" s="336">
        <v>0</v>
      </c>
      <c r="ON17" s="336">
        <v>0</v>
      </c>
      <c r="OO17" s="336">
        <v>0</v>
      </c>
      <c r="OP17" s="336">
        <v>22670</v>
      </c>
      <c r="OQ17" s="336">
        <v>0</v>
      </c>
      <c r="OR17" s="336">
        <v>0</v>
      </c>
      <c r="OS17" s="336">
        <v>0</v>
      </c>
      <c r="OT17" s="336">
        <v>0</v>
      </c>
      <c r="OU17" s="336">
        <v>0</v>
      </c>
      <c r="OV17" s="336">
        <v>0</v>
      </c>
      <c r="OW17" s="336">
        <v>0</v>
      </c>
      <c r="OX17" s="336">
        <v>0</v>
      </c>
      <c r="OY17" s="336">
        <v>0</v>
      </c>
      <c r="OZ17" s="336">
        <v>0</v>
      </c>
      <c r="PA17" s="336">
        <v>0</v>
      </c>
      <c r="PB17" s="336">
        <v>-6722223</v>
      </c>
      <c r="PC17" s="336">
        <v>0</v>
      </c>
      <c r="PD17" s="336">
        <v>0</v>
      </c>
      <c r="PE17" s="336">
        <v>-11535210</v>
      </c>
      <c r="PF17" s="336">
        <v>4630279</v>
      </c>
      <c r="PG17" s="336">
        <v>-1170914</v>
      </c>
      <c r="PH17" s="336">
        <v>0</v>
      </c>
      <c r="PI17" s="336">
        <v>0</v>
      </c>
      <c r="PJ17" s="336">
        <v>0</v>
      </c>
      <c r="PK17" s="336">
        <v>5400000</v>
      </c>
      <c r="PL17" s="336">
        <v>0</v>
      </c>
      <c r="PM17" s="336">
        <v>0</v>
      </c>
      <c r="PN17" s="336">
        <v>0</v>
      </c>
      <c r="PO17" s="336">
        <v>0</v>
      </c>
      <c r="PP17" s="336">
        <v>0</v>
      </c>
      <c r="PQ17" s="336">
        <v>0</v>
      </c>
      <c r="PR17" s="336">
        <v>0</v>
      </c>
      <c r="PS17" s="336">
        <v>0</v>
      </c>
      <c r="PT17" s="336">
        <v>0</v>
      </c>
      <c r="PU17" s="336">
        <v>0</v>
      </c>
      <c r="PV17" s="336">
        <v>0</v>
      </c>
      <c r="PW17" s="336">
        <v>0</v>
      </c>
      <c r="PX17" s="336">
        <v>0</v>
      </c>
      <c r="PY17" s="336">
        <v>0</v>
      </c>
      <c r="PZ17" s="336">
        <v>0</v>
      </c>
      <c r="QA17" s="336">
        <v>0</v>
      </c>
      <c r="QB17" s="336">
        <v>0</v>
      </c>
      <c r="QC17" s="336">
        <v>0</v>
      </c>
      <c r="QD17" s="336">
        <v>0</v>
      </c>
      <c r="QE17" s="336">
        <v>0</v>
      </c>
      <c r="QF17" s="336">
        <v>0</v>
      </c>
      <c r="QG17" s="336">
        <v>0</v>
      </c>
      <c r="QH17" s="336">
        <v>0</v>
      </c>
      <c r="QI17" s="336">
        <v>0</v>
      </c>
      <c r="QJ17" s="336">
        <v>0</v>
      </c>
      <c r="QK17" s="336">
        <v>2742403</v>
      </c>
      <c r="QL17" s="336">
        <v>0</v>
      </c>
      <c r="QM17" s="336">
        <v>0</v>
      </c>
      <c r="QN17" s="336">
        <v>0</v>
      </c>
      <c r="QO17" s="336">
        <v>0</v>
      </c>
      <c r="QP17" s="336">
        <v>0</v>
      </c>
      <c r="QQ17" s="336">
        <v>0</v>
      </c>
      <c r="QR17" s="336">
        <v>0</v>
      </c>
      <c r="QS17" s="336">
        <v>0</v>
      </c>
      <c r="QT17" s="336">
        <v>820206</v>
      </c>
      <c r="QU17" s="336">
        <v>0</v>
      </c>
      <c r="QV17" s="336">
        <v>0</v>
      </c>
      <c r="QW17" s="336">
        <v>0</v>
      </c>
      <c r="QX17" s="336">
        <v>0</v>
      </c>
      <c r="QY17" s="336">
        <v>0</v>
      </c>
      <c r="QZ17" s="336">
        <v>0</v>
      </c>
      <c r="RA17" s="336">
        <v>0</v>
      </c>
      <c r="RB17" s="336">
        <v>0</v>
      </c>
      <c r="RC17" s="336">
        <v>0</v>
      </c>
      <c r="RD17" s="336">
        <v>0</v>
      </c>
      <c r="RE17" s="336">
        <v>0</v>
      </c>
      <c r="RF17" s="336">
        <v>0</v>
      </c>
      <c r="RG17" s="336">
        <v>0</v>
      </c>
      <c r="RH17" s="336">
        <v>0</v>
      </c>
      <c r="RI17" s="336">
        <v>0</v>
      </c>
      <c r="RJ17" s="336">
        <v>0</v>
      </c>
      <c r="RK17" s="336">
        <v>0</v>
      </c>
      <c r="RL17" s="336">
        <v>0</v>
      </c>
      <c r="RM17" s="336">
        <v>0</v>
      </c>
      <c r="RN17" s="336">
        <v>0</v>
      </c>
      <c r="RO17" s="336">
        <v>-4890378</v>
      </c>
      <c r="RP17" s="336">
        <v>0</v>
      </c>
      <c r="RQ17" s="336">
        <v>0</v>
      </c>
      <c r="RR17" s="336">
        <v>0</v>
      </c>
      <c r="RS17" s="336">
        <v>0</v>
      </c>
      <c r="RT17" s="336">
        <v>0</v>
      </c>
      <c r="RU17" s="336">
        <v>0</v>
      </c>
      <c r="RV17" s="336">
        <v>0</v>
      </c>
      <c r="RW17" s="336">
        <v>0</v>
      </c>
      <c r="RX17" s="336">
        <v>0</v>
      </c>
      <c r="RY17" s="336">
        <v>0</v>
      </c>
      <c r="RZ17" s="336">
        <v>0</v>
      </c>
      <c r="SA17" s="336">
        <v>0</v>
      </c>
      <c r="SB17" s="336">
        <v>0</v>
      </c>
      <c r="SC17" s="336">
        <v>0</v>
      </c>
      <c r="SD17" s="336">
        <v>0</v>
      </c>
      <c r="SE17" s="336">
        <v>0</v>
      </c>
      <c r="SF17" s="336">
        <v>0</v>
      </c>
      <c r="SG17" s="336">
        <v>0</v>
      </c>
      <c r="SH17" s="336">
        <v>0</v>
      </c>
      <c r="SI17" s="336">
        <v>0</v>
      </c>
      <c r="SJ17" s="336">
        <v>0</v>
      </c>
      <c r="SK17" s="336">
        <v>0</v>
      </c>
      <c r="SL17" s="336">
        <v>0</v>
      </c>
      <c r="SM17" s="336">
        <v>0</v>
      </c>
      <c r="SN17" s="336">
        <v>0</v>
      </c>
      <c r="SO17" s="336">
        <v>0</v>
      </c>
      <c r="SP17" s="336">
        <v>0</v>
      </c>
      <c r="SQ17" s="336">
        <v>5856372</v>
      </c>
      <c r="SR17" s="336">
        <v>614084</v>
      </c>
      <c r="SS17" s="336">
        <v>0</v>
      </c>
      <c r="ST17" s="336">
        <v>762289</v>
      </c>
      <c r="SU17" s="336">
        <v>0</v>
      </c>
      <c r="SV17" s="336">
        <v>0</v>
      </c>
      <c r="SW17" s="336">
        <v>6722223</v>
      </c>
      <c r="SX17" s="336">
        <v>0</v>
      </c>
      <c r="SY17" s="336">
        <v>0</v>
      </c>
      <c r="SZ17" s="336" t="s">
        <v>1420</v>
      </c>
      <c r="TA17" s="336" t="s">
        <v>1420</v>
      </c>
      <c r="TB17" s="336" t="s">
        <v>1420</v>
      </c>
      <c r="TC17" s="336">
        <v>0</v>
      </c>
      <c r="TD17" s="336">
        <v>609557</v>
      </c>
      <c r="TE17" s="336">
        <v>112410</v>
      </c>
      <c r="TF17" s="336">
        <v>0</v>
      </c>
      <c r="TG17" s="336">
        <v>25951</v>
      </c>
      <c r="TH17" s="336">
        <v>12088</v>
      </c>
      <c r="TI17" s="336">
        <v>21445</v>
      </c>
      <c r="TJ17" s="336">
        <v>6445136</v>
      </c>
      <c r="TK17" s="336">
        <v>6158</v>
      </c>
      <c r="TL17" s="336">
        <v>0</v>
      </c>
      <c r="TM17" s="336">
        <v>2699915</v>
      </c>
      <c r="TN17" s="336">
        <v>0</v>
      </c>
      <c r="TO17" s="336">
        <v>384860</v>
      </c>
      <c r="TP17" s="336">
        <v>49365</v>
      </c>
      <c r="TQ17" s="336">
        <v>0</v>
      </c>
      <c r="TR17" s="336">
        <v>25573</v>
      </c>
      <c r="TS17" s="336">
        <v>0</v>
      </c>
      <c r="TT17" s="336">
        <v>0</v>
      </c>
      <c r="TU17" s="336">
        <v>0</v>
      </c>
      <c r="TV17" s="336">
        <v>0</v>
      </c>
      <c r="TW17" s="336">
        <v>0</v>
      </c>
      <c r="TX17" s="336">
        <v>100155</v>
      </c>
      <c r="TY17" s="336">
        <v>12168</v>
      </c>
      <c r="TZ17" s="336">
        <v>0</v>
      </c>
      <c r="UA17" s="336">
        <v>0</v>
      </c>
      <c r="UB17" s="336">
        <v>0</v>
      </c>
      <c r="UC17" s="336">
        <v>0</v>
      </c>
      <c r="UD17" s="336">
        <v>0</v>
      </c>
      <c r="UE17" s="336">
        <v>1884865</v>
      </c>
      <c r="UF17" s="336">
        <v>0</v>
      </c>
      <c r="UG17" s="336">
        <v>0</v>
      </c>
      <c r="UH17" s="336">
        <v>12250893</v>
      </c>
      <c r="UI17" s="336">
        <v>5639597</v>
      </c>
      <c r="UJ17" s="336">
        <v>2239093</v>
      </c>
      <c r="UK17" s="336">
        <v>0</v>
      </c>
      <c r="UL17" s="336">
        <v>5315053</v>
      </c>
      <c r="UM17" s="336">
        <v>5486411</v>
      </c>
      <c r="UN17" s="336">
        <v>10964432</v>
      </c>
      <c r="UO17" s="336">
        <v>3483110</v>
      </c>
      <c r="UP17" s="336">
        <v>6481698</v>
      </c>
      <c r="UQ17" s="336">
        <v>6572382</v>
      </c>
      <c r="UR17"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7232745</v>
      </c>
      <c r="US17" s="338">
        <f>SUM(Input[[#This Row],[Oth Exp E&amp;G]],Input[[#This Row],[Oth Exp Desg]],Input[[#This Row],[Oth Exp Aux]],Input[[#This Row],[Oth Exp R Exp]],Input[[#This Row],[Oth Exp Loan]],Input[[#This Row],[Oth Exp Annuity]],Input[[#This Row],[Oth Exp Unexp]],Input[[#This Row],[Oth Exp R of Ind]],Input[[#This Row],[Oth Exp Inv in P]])</f>
        <v>22670</v>
      </c>
      <c r="UT17" s="336">
        <v>0</v>
      </c>
      <c r="UU17" s="336">
        <v>0</v>
      </c>
      <c r="UV17" s="339" t="s">
        <v>1485</v>
      </c>
      <c r="UW17" s="340">
        <v>4328378078</v>
      </c>
      <c r="UX17" s="339" t="s">
        <v>1486</v>
      </c>
      <c r="UY17" s="339" t="s">
        <v>1487</v>
      </c>
      <c r="UZ17" s="340">
        <v>4328378009</v>
      </c>
      <c r="VA17" s="339" t="s">
        <v>1488</v>
      </c>
      <c r="VB17" s="341" cm="1">
        <f t="array" ref="VB17">IFERROR(_xlfn.IFS(Input[[#This Row],[Type]]="HRI",VLOOKUP(Input[[#This Row],[Institution Name]],FTSEHRI[],9,FALSE),Input[[#This Row],[Type]]="UNIV",VLOOKUP(Input[[#This Row],[Institution Name]],FTSEUNIV[],9,FALSE),OR(Input[[#This Row],[Type]]="TSTC",Input[[#This Row],[Type]]="LSC"),VLOOKUP(Input[[#This Row],[Institution Name]],FTSETSTC[],8,FALSE)),"N/A")</f>
        <v>1133.98</v>
      </c>
      <c r="VC17" s="342" t="str" cm="1">
        <f t="array" ref="VC17">IFERROR(_xlfn.IFS(Input[[#This Row],[Type]]="HRI",VLOOKUP(Input[[#This Row],[Institution Name]],FTSEHRI[],11,FALSE),Input[[#This Row],[Type]]="UNIV",VLOOKUP(Input[[#This Row],[Institution Name]],FTSEUNIV[],11,FALSE),Input[[#This Row],[Type]]="TSTC",VLOOKUP(Input[[#This Row],[Institution Name]],FTSETSTC[],10,FALSE)),"N/A")</f>
        <v>N/A</v>
      </c>
      <c r="VD17"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28066173</v>
      </c>
      <c r="VE17"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2703797</v>
      </c>
      <c r="VF17" s="338">
        <f>SUM(Input[[#This Row],[Fed G&amp;C E&amp;G]],Input[[#This Row],[Fed G&amp;C Desg]],Input[[#This Row],[Fed G&amp;C R Exp]],Input[[#This Row],[Fed G&amp;C Loan]],Input[[#This Row],[Fed G&amp;C Annuity]],Input[[#This Row],[Fed G&amp;C Unexp]],Input[[#This Row],[Fed G&amp;C R of Ind]],Input[[#This Row],[Fed G&amp;C Inv in P]])</f>
        <v>14083450</v>
      </c>
      <c r="VG17"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7864528</v>
      </c>
      <c r="VH17"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6123328</v>
      </c>
      <c r="VI17"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4205104</v>
      </c>
      <c r="VJ17" s="338">
        <f>SUM(Input[[#This Row],[Oth Inc E&amp;G]],Input[[#This Row],[Oth Exp Desg]],Input[[#This Row],[Oth Exp R Exp]],Input[[#This Row],[Oth Exp Loan]],Input[[#This Row],[Oth Exp Annuity]],Input[[#This Row],[Oth Exp Unexp]],Input[[#This Row],[Oth Exp R of Ind]],Input[[#This Row],[Oth Exp Inv in P]])</f>
        <v>22273</v>
      </c>
      <c r="VK17" s="343">
        <f>SUM(Input[[#This Row],[Instr E&amp;G]],Input[[#This Row],[Instr Desg]],Input[[#This Row],[Instr R Exp]],Input[[#This Row],[Instr Loan]],Input[[#This Row],[Instr Annuity]],Input[[#This Row],[Instr Unexp]],Input[[#This Row],[Instr R of Ind]],Input[[#This Row],[Instr Inv in P]])</f>
        <v>12250893</v>
      </c>
      <c r="VL17" s="343">
        <f>SUM(Input[[#This Row],[Res E&amp;G]],Input[[#This Row],[Res Desg]],Input[[#This Row],[Res R Exp]],Input[[#This Row],[Res Loan]],Input[[#This Row],[Res Annuity]],Input[[#This Row],[Res Unexp]],Input[[#This Row],[Res R of Ind]],Input[[#This Row],[Res Inv in P]])</f>
        <v>5639597</v>
      </c>
      <c r="VM17" s="343">
        <f>SUM(Input[[#This Row],[Acad Sup E&amp;G]],Input[[#This Row],[Acad Sup Desg]],Input[[#This Row],[Acad Sup R Exp]],Input[[#This Row],[Acad Sup Loan]],Input[[#This Row],[Acad Sup Annuity]],Input[[#This Row],[Acad Sup Unexp]],Input[[#This Row],[Acad Sup R of Ind]],Input[[#This Row],[Acad Sup Inv in P]])</f>
        <v>5315053</v>
      </c>
      <c r="VN17" s="343">
        <f>SUM(Input[[#This Row],[Stu Svc E&amp;G]],Input[[#This Row],[Stu Svc Desg]],Input[[#This Row],[Stu Svc R Exp]],Input[[#This Row],[Stu Svc Loan]],Input[[#This Row],[Stu Svc Annuity]],Input[[#This Row],[Stu Svc Unexp]],Input[[#This Row],[Stu Svc R of Ind]],Input[[#This Row],[Stu Svc Inv in P]])</f>
        <v>5486411</v>
      </c>
      <c r="VO17" s="343">
        <f>SUM(Input[[#This Row],[Inst. Spt E&amp;G]],Input[[#This Row],[Inst. Spt Desg]],Input[[#This Row],[Inst. Spt R Exp]],Input[[#This Row],[Inst. Spt Loan]],Input[[#This Row],[Inst. Spt Annuity]],Input[[#This Row],[Inst. Spt Unexp]],Input[[#This Row],[Inst. Spt R of Ind]],Input[[#This Row],[Inst. Spt Inv in P]])</f>
        <v>10964432</v>
      </c>
      <c r="VP17" s="343">
        <f>SUM(Input[[#This Row],[M&amp;O Plnt E&amp;G]],Input[[#This Row],[M&amp;O Plnt Desg]],Input[[#This Row],[M&amp;O Plnt R Exp]],Input[[#This Row],[M&amp;O Plnt Loan]],Input[[#This Row],[M&amp;O Plnt Annuity]],Input[[#This Row],[M&amp;O Plnt Unexp]],Input[[#This Row],[M&amp;O Plnt R of Ind]],Input[[#This Row],[M&amp;O Plnt Inv in P]])</f>
        <v>3483084</v>
      </c>
      <c r="VQ17" s="343">
        <f>SUM(Input[[#This Row],[Schl &amp; Fell E&amp;G]],Input[[#This Row],[Schl &amp; Fell Desg]],Input[[#This Row],[Schl &amp; Fell R Exp]],Input[[#This Row],[Schl &amp; Fell Loan]],Input[[#This Row],[Schl &amp; Fell Annuity]],Input[[#This Row],[Schl &amp; Fell Unexp]],Input[[#This Row],[Schl &amp; Fell R of Ind]],Input[[#This Row],[Schl &amp; Fell Inv in P]])</f>
        <v>6481698</v>
      </c>
      <c r="VR17" s="343">
        <f>SUM(Input[[#This Row],[Cap Out fund E&amp;G]],Input[[#This Row],[Cap Out fund Desg]],Input[[#This Row],[Cap Out fund R Exp]],Input[[#This Row],[Cap Out fund Loan]],Input[[#This Row],[Cap Out fund Annuity]],Input[[#This Row],[Cap Out fund Unexp]],Input[[#This Row],[Cap Out fund R of Ind]],Input[[#This Row],[Cap Out fund Inv in P]])</f>
        <v>7232745</v>
      </c>
      <c r="VS17" s="343">
        <f>SUM(Input[[#This Row],[Oth Exp E&amp;G]],Input[[#This Row],[Oth Exp Desg]],Input[[#This Row],[Oth Exp R Exp]],Input[[#This Row],[Oth Exp Loan]],Input[[#This Row],[Oth Exp Annuity]],Input[[#This Row],[Oth Exp Unexp]],Input[[#This Row],[Oth Exp R of Ind]],Input[[#This Row],[Oth Exp Inv in P]],Input[[#This Row],[Oth Exp Inv in P]])</f>
        <v>22670</v>
      </c>
    </row>
    <row r="18" spans="1:591" s="344" customFormat="1" ht="27" customHeight="1" x14ac:dyDescent="0.55000000000000004">
      <c r="A18" s="339" t="s">
        <v>69</v>
      </c>
      <c r="B18" s="334" t="s">
        <v>830</v>
      </c>
      <c r="C18" s="334" t="s">
        <v>21</v>
      </c>
      <c r="D18" s="334">
        <v>160</v>
      </c>
      <c r="E18" s="334" t="s">
        <v>1622</v>
      </c>
      <c r="F18" s="335">
        <v>3631</v>
      </c>
      <c r="G18" s="336">
        <v>82567528</v>
      </c>
      <c r="H18" s="336">
        <v>0</v>
      </c>
      <c r="I18" s="336">
        <v>0</v>
      </c>
      <c r="J18" s="336">
        <v>0</v>
      </c>
      <c r="K18" s="336">
        <v>0</v>
      </c>
      <c r="L18" s="336">
        <v>0</v>
      </c>
      <c r="M18" s="336">
        <v>0</v>
      </c>
      <c r="N18" s="336">
        <v>0</v>
      </c>
      <c r="O18" s="336">
        <v>0</v>
      </c>
      <c r="P18" s="336">
        <v>278654</v>
      </c>
      <c r="Q18" s="336">
        <v>196701</v>
      </c>
      <c r="R18" s="336">
        <v>0</v>
      </c>
      <c r="S18" s="336">
        <v>12843406</v>
      </c>
      <c r="T18" s="336">
        <v>0</v>
      </c>
      <c r="U18" s="336">
        <v>0</v>
      </c>
      <c r="V18" s="336">
        <v>0</v>
      </c>
      <c r="W18" s="336">
        <v>0</v>
      </c>
      <c r="X18" s="336">
        <v>0</v>
      </c>
      <c r="Y18" s="336">
        <v>0</v>
      </c>
      <c r="Z18" s="336">
        <v>0</v>
      </c>
      <c r="AA18" s="336">
        <v>0</v>
      </c>
      <c r="AB18" s="336">
        <v>0</v>
      </c>
      <c r="AC18" s="336">
        <v>0</v>
      </c>
      <c r="AD18" s="336">
        <v>0</v>
      </c>
      <c r="AE18" s="336">
        <v>0</v>
      </c>
      <c r="AF18" s="336">
        <v>0</v>
      </c>
      <c r="AG18" s="336">
        <v>0</v>
      </c>
      <c r="AH18" s="336">
        <v>0</v>
      </c>
      <c r="AI18" s="336">
        <v>0</v>
      </c>
      <c r="AJ18" s="336">
        <v>0</v>
      </c>
      <c r="AK18" s="336">
        <v>0</v>
      </c>
      <c r="AL18" s="336">
        <v>0</v>
      </c>
      <c r="AM18" s="336">
        <v>0</v>
      </c>
      <c r="AN18" s="336">
        <v>0</v>
      </c>
      <c r="AO18" s="336">
        <v>0</v>
      </c>
      <c r="AP18" s="336">
        <v>0</v>
      </c>
      <c r="AQ18" s="336">
        <v>-5439905</v>
      </c>
      <c r="AR18" s="336">
        <v>0</v>
      </c>
      <c r="AS18" s="336">
        <v>0</v>
      </c>
      <c r="AT18" s="336">
        <v>0</v>
      </c>
      <c r="AU18" s="336">
        <v>0</v>
      </c>
      <c r="AV18" s="336">
        <v>0</v>
      </c>
      <c r="AW18" s="336">
        <v>0</v>
      </c>
      <c r="AX18" s="336">
        <v>0</v>
      </c>
      <c r="AY18" s="336">
        <v>0</v>
      </c>
      <c r="AZ18" s="336">
        <v>0</v>
      </c>
      <c r="BA18" s="336">
        <v>0</v>
      </c>
      <c r="BB18" s="336">
        <v>0</v>
      </c>
      <c r="BC18" s="336">
        <v>0</v>
      </c>
      <c r="BD18" s="336">
        <v>0</v>
      </c>
      <c r="BE18" s="336">
        <v>0</v>
      </c>
      <c r="BF18" s="336">
        <v>0</v>
      </c>
      <c r="BG18" s="336">
        <v>0</v>
      </c>
      <c r="BH18" s="336">
        <v>0</v>
      </c>
      <c r="BI18" s="336">
        <v>0</v>
      </c>
      <c r="BJ18" s="336">
        <v>0</v>
      </c>
      <c r="BK18" s="336">
        <v>0</v>
      </c>
      <c r="BL18" s="336">
        <v>0</v>
      </c>
      <c r="BM18" s="336">
        <v>0</v>
      </c>
      <c r="BN18" s="336">
        <v>0</v>
      </c>
      <c r="BO18" s="336">
        <v>0</v>
      </c>
      <c r="BP18" s="336">
        <v>0</v>
      </c>
      <c r="BQ18" s="336">
        <v>0</v>
      </c>
      <c r="BR18" s="336">
        <v>0</v>
      </c>
      <c r="BS18" s="336">
        <v>0</v>
      </c>
      <c r="BT18" s="336">
        <v>0</v>
      </c>
      <c r="BU18" s="336">
        <v>0</v>
      </c>
      <c r="BV18" s="336">
        <v>0</v>
      </c>
      <c r="BW18" s="336">
        <v>0</v>
      </c>
      <c r="BX18" s="336">
        <v>0</v>
      </c>
      <c r="BY18" s="336">
        <v>0</v>
      </c>
      <c r="BZ18" s="336">
        <v>0</v>
      </c>
      <c r="CA18" s="336">
        <v>22848567</v>
      </c>
      <c r="CB18" s="336">
        <v>63321032</v>
      </c>
      <c r="CC18" s="336">
        <v>0</v>
      </c>
      <c r="CD18" s="336">
        <v>0</v>
      </c>
      <c r="CE18" s="336">
        <v>0</v>
      </c>
      <c r="CF18" s="336">
        <v>0</v>
      </c>
      <c r="CG18" s="336">
        <v>0</v>
      </c>
      <c r="CH18" s="336">
        <v>0</v>
      </c>
      <c r="CI18" s="336">
        <v>0</v>
      </c>
      <c r="CJ18" s="336">
        <v>0</v>
      </c>
      <c r="CK18" s="336">
        <v>0</v>
      </c>
      <c r="CL18" s="336">
        <v>0</v>
      </c>
      <c r="CM18" s="336">
        <v>0</v>
      </c>
      <c r="CN18" s="336">
        <v>0</v>
      </c>
      <c r="CO18" s="336">
        <v>0</v>
      </c>
      <c r="CP18" s="336">
        <v>0</v>
      </c>
      <c r="CQ18" s="336">
        <v>0</v>
      </c>
      <c r="CR18" s="336">
        <v>0</v>
      </c>
      <c r="CS18" s="336">
        <v>0</v>
      </c>
      <c r="CT18" s="336">
        <v>0</v>
      </c>
      <c r="CU18" s="336">
        <v>0</v>
      </c>
      <c r="CV18" s="336">
        <v>0</v>
      </c>
      <c r="CW18" s="336">
        <v>0</v>
      </c>
      <c r="CX18" s="336">
        <v>0</v>
      </c>
      <c r="CY18" s="336">
        <v>0</v>
      </c>
      <c r="CZ18" s="336">
        <v>0</v>
      </c>
      <c r="DA18" s="336">
        <v>0</v>
      </c>
      <c r="DB18" s="336">
        <v>-1634408</v>
      </c>
      <c r="DC18" s="336">
        <v>-4534333</v>
      </c>
      <c r="DD18" s="336">
        <v>0</v>
      </c>
      <c r="DE18" s="336">
        <v>0</v>
      </c>
      <c r="DF18" s="336">
        <v>0</v>
      </c>
      <c r="DG18" s="336">
        <v>0</v>
      </c>
      <c r="DH18" s="336">
        <v>0</v>
      </c>
      <c r="DI18" s="336">
        <v>0</v>
      </c>
      <c r="DJ18" s="336">
        <v>0</v>
      </c>
      <c r="DK18" s="336">
        <v>-51300</v>
      </c>
      <c r="DL18" s="336">
        <v>0</v>
      </c>
      <c r="DM18" s="336">
        <v>0</v>
      </c>
      <c r="DN18" s="336">
        <v>0</v>
      </c>
      <c r="DO18" s="336">
        <v>0</v>
      </c>
      <c r="DP18" s="336">
        <v>0</v>
      </c>
      <c r="DQ18" s="336">
        <v>0</v>
      </c>
      <c r="DR18" s="336">
        <v>0</v>
      </c>
      <c r="DS18" s="336">
        <v>0</v>
      </c>
      <c r="DT18" s="336">
        <v>-5062099</v>
      </c>
      <c r="DU18" s="336">
        <v>-14167990</v>
      </c>
      <c r="DV18" s="336">
        <v>0</v>
      </c>
      <c r="DW18" s="336">
        <v>0</v>
      </c>
      <c r="DX18" s="336">
        <v>0</v>
      </c>
      <c r="DY18" s="336">
        <v>0</v>
      </c>
      <c r="DZ18" s="336">
        <v>0</v>
      </c>
      <c r="EA18" s="336">
        <v>0</v>
      </c>
      <c r="EB18" s="336">
        <v>0</v>
      </c>
      <c r="EC18" s="336">
        <v>0</v>
      </c>
      <c r="ED18" s="336">
        <v>0</v>
      </c>
      <c r="EE18" s="336">
        <v>0</v>
      </c>
      <c r="EF18" s="336">
        <v>0</v>
      </c>
      <c r="EG18" s="336">
        <v>0</v>
      </c>
      <c r="EH18" s="336">
        <v>0</v>
      </c>
      <c r="EI18" s="336">
        <v>0</v>
      </c>
      <c r="EJ18" s="336">
        <v>0</v>
      </c>
      <c r="EK18" s="336">
        <v>0</v>
      </c>
      <c r="EL18" s="336">
        <v>0</v>
      </c>
      <c r="EM18" s="336">
        <v>0</v>
      </c>
      <c r="EN18" s="336">
        <v>0</v>
      </c>
      <c r="EO18" s="336">
        <v>0</v>
      </c>
      <c r="EP18" s="336">
        <v>0</v>
      </c>
      <c r="EQ18" s="336">
        <v>0</v>
      </c>
      <c r="ER18" s="336">
        <v>0</v>
      </c>
      <c r="ES18" s="336">
        <v>0</v>
      </c>
      <c r="ET18" s="336">
        <v>0</v>
      </c>
      <c r="EU18" s="336">
        <v>0</v>
      </c>
      <c r="EV18" s="336">
        <v>0</v>
      </c>
      <c r="EW18" s="336">
        <v>0</v>
      </c>
      <c r="EX18" s="336">
        <v>0</v>
      </c>
      <c r="EY18" s="336">
        <v>0</v>
      </c>
      <c r="EZ18" s="336">
        <v>0</v>
      </c>
      <c r="FA18" s="336">
        <v>0</v>
      </c>
      <c r="FB18" s="336">
        <v>0</v>
      </c>
      <c r="FC18" s="336">
        <v>0</v>
      </c>
      <c r="FD18" s="336">
        <v>0</v>
      </c>
      <c r="FE18" s="336">
        <v>0</v>
      </c>
      <c r="FF18" s="336">
        <v>0</v>
      </c>
      <c r="FG18" s="336">
        <v>0</v>
      </c>
      <c r="FH18" s="336">
        <v>0</v>
      </c>
      <c r="FI18" s="336">
        <v>0</v>
      </c>
      <c r="FJ18" s="336">
        <v>0</v>
      </c>
      <c r="FK18" s="336">
        <v>0</v>
      </c>
      <c r="FL18" s="336">
        <v>0</v>
      </c>
      <c r="FM18" s="336">
        <v>54840</v>
      </c>
      <c r="FN18" s="336">
        <v>39001903</v>
      </c>
      <c r="FO18" s="336">
        <v>16952745</v>
      </c>
      <c r="FP18" s="336">
        <v>0</v>
      </c>
      <c r="FQ18" s="336">
        <v>0</v>
      </c>
      <c r="FR18" s="336">
        <v>0</v>
      </c>
      <c r="FS18" s="336">
        <v>0</v>
      </c>
      <c r="FT18" s="336">
        <v>0</v>
      </c>
      <c r="FU18" s="336">
        <v>0</v>
      </c>
      <c r="FV18" s="336">
        <v>0</v>
      </c>
      <c r="FW18" s="336">
        <v>0</v>
      </c>
      <c r="FX18" s="336">
        <v>0</v>
      </c>
      <c r="FY18" s="336">
        <v>0</v>
      </c>
      <c r="FZ18" s="336">
        <v>0</v>
      </c>
      <c r="GA18" s="336">
        <v>0</v>
      </c>
      <c r="GB18" s="336">
        <v>0</v>
      </c>
      <c r="GC18" s="336">
        <v>0</v>
      </c>
      <c r="GD18" s="336">
        <v>0</v>
      </c>
      <c r="GE18" s="336">
        <v>0</v>
      </c>
      <c r="GF18" s="336">
        <v>0</v>
      </c>
      <c r="GG18" s="336">
        <v>0</v>
      </c>
      <c r="GH18" s="336">
        <v>0</v>
      </c>
      <c r="GI18" s="336">
        <v>0</v>
      </c>
      <c r="GJ18" s="336">
        <v>0</v>
      </c>
      <c r="GK18" s="336">
        <v>0</v>
      </c>
      <c r="GL18" s="336">
        <v>0</v>
      </c>
      <c r="GM18" s="336">
        <v>0</v>
      </c>
      <c r="GN18" s="336">
        <v>-3698</v>
      </c>
      <c r="GO18" s="336">
        <v>-2674312</v>
      </c>
      <c r="GP18" s="336">
        <v>-1501966</v>
      </c>
      <c r="GQ18" s="336">
        <v>0</v>
      </c>
      <c r="GR18" s="336">
        <v>0</v>
      </c>
      <c r="GS18" s="336">
        <v>0</v>
      </c>
      <c r="GT18" s="336">
        <v>0</v>
      </c>
      <c r="GU18" s="336">
        <v>0</v>
      </c>
      <c r="GV18" s="336">
        <v>0</v>
      </c>
      <c r="GW18" s="336">
        <v>0</v>
      </c>
      <c r="GX18" s="336">
        <v>0</v>
      </c>
      <c r="GY18" s="336">
        <v>0</v>
      </c>
      <c r="GZ18" s="336">
        <v>0</v>
      </c>
      <c r="HA18" s="336">
        <v>0</v>
      </c>
      <c r="HB18" s="336">
        <v>0</v>
      </c>
      <c r="HC18" s="336">
        <v>0</v>
      </c>
      <c r="HD18" s="336">
        <v>0</v>
      </c>
      <c r="HE18" s="336">
        <v>0</v>
      </c>
      <c r="HF18" s="336">
        <v>-12814</v>
      </c>
      <c r="HG18" s="336">
        <v>-8845394</v>
      </c>
      <c r="HH18" s="336">
        <v>-3506602</v>
      </c>
      <c r="HI18" s="336">
        <v>0</v>
      </c>
      <c r="HJ18" s="336">
        <v>0</v>
      </c>
      <c r="HK18" s="336">
        <v>0</v>
      </c>
      <c r="HL18" s="336">
        <v>0</v>
      </c>
      <c r="HM18" s="336">
        <v>0</v>
      </c>
      <c r="HN18" s="336">
        <v>0</v>
      </c>
      <c r="HO18" s="336">
        <v>-59742</v>
      </c>
      <c r="HP18" s="336">
        <v>967215</v>
      </c>
      <c r="HQ18" s="336">
        <v>0</v>
      </c>
      <c r="HR18" s="336">
        <v>39041569</v>
      </c>
      <c r="HS18" s="336">
        <v>0</v>
      </c>
      <c r="HT18" s="336">
        <v>0</v>
      </c>
      <c r="HU18" s="336">
        <v>0</v>
      </c>
      <c r="HV18" s="336">
        <v>0</v>
      </c>
      <c r="HW18" s="336">
        <v>0</v>
      </c>
      <c r="HX18" s="336">
        <v>0</v>
      </c>
      <c r="HY18" s="336">
        <v>0</v>
      </c>
      <c r="HZ18" s="336">
        <v>0</v>
      </c>
      <c r="IA18" s="336">
        <v>0</v>
      </c>
      <c r="IB18" s="336">
        <v>0</v>
      </c>
      <c r="IC18" s="336">
        <v>0</v>
      </c>
      <c r="ID18" s="336">
        <v>0</v>
      </c>
      <c r="IE18" s="336">
        <v>0</v>
      </c>
      <c r="IF18" s="336">
        <v>0</v>
      </c>
      <c r="IG18" s="336">
        <v>0</v>
      </c>
      <c r="IH18" s="336">
        <v>0</v>
      </c>
      <c r="II18" s="336">
        <v>0</v>
      </c>
      <c r="IJ18" s="336">
        <v>0</v>
      </c>
      <c r="IK18" s="336">
        <v>0</v>
      </c>
      <c r="IL18" s="336">
        <v>0</v>
      </c>
      <c r="IM18" s="336">
        <v>0</v>
      </c>
      <c r="IN18" s="336">
        <v>0</v>
      </c>
      <c r="IO18" s="336">
        <v>0</v>
      </c>
      <c r="IP18" s="336">
        <v>540149</v>
      </c>
      <c r="IQ18" s="336">
        <v>7678472</v>
      </c>
      <c r="IR18" s="336">
        <v>1057054</v>
      </c>
      <c r="IS18" s="336">
        <v>944403</v>
      </c>
      <c r="IT18" s="336">
        <v>137729</v>
      </c>
      <c r="IU18" s="336">
        <v>806</v>
      </c>
      <c r="IV18" s="336">
        <v>54878</v>
      </c>
      <c r="IW18" s="336">
        <v>0</v>
      </c>
      <c r="IX18" s="336">
        <v>0</v>
      </c>
      <c r="IY18" s="336">
        <v>0</v>
      </c>
      <c r="IZ18" s="336">
        <v>0</v>
      </c>
      <c r="JA18" s="336">
        <v>0</v>
      </c>
      <c r="JB18" s="336">
        <v>0</v>
      </c>
      <c r="JC18" s="336">
        <v>0</v>
      </c>
      <c r="JD18" s="336">
        <v>0</v>
      </c>
      <c r="JE18" s="336">
        <v>0</v>
      </c>
      <c r="JF18" s="336">
        <v>0</v>
      </c>
      <c r="JG18" s="336">
        <v>0</v>
      </c>
      <c r="JH18" s="336">
        <v>0</v>
      </c>
      <c r="JI18" s="336">
        <v>3388955</v>
      </c>
      <c r="JJ18" s="336">
        <v>58995</v>
      </c>
      <c r="JK18" s="336">
        <v>12994232</v>
      </c>
      <c r="JL18" s="336">
        <v>0</v>
      </c>
      <c r="JM18" s="336">
        <v>0</v>
      </c>
      <c r="JN18" s="336">
        <v>0</v>
      </c>
      <c r="JO18" s="336">
        <v>0</v>
      </c>
      <c r="JP18" s="336">
        <v>0</v>
      </c>
      <c r="JQ18" s="336">
        <v>430266</v>
      </c>
      <c r="JR18" s="336">
        <v>2148840</v>
      </c>
      <c r="JS18" s="336">
        <v>2443</v>
      </c>
      <c r="JT18" s="336">
        <v>697618</v>
      </c>
      <c r="JU18" s="336">
        <v>0</v>
      </c>
      <c r="JV18" s="336">
        <v>0</v>
      </c>
      <c r="JW18" s="336">
        <v>0</v>
      </c>
      <c r="JX18" s="336">
        <v>0</v>
      </c>
      <c r="JY18" s="336">
        <v>0</v>
      </c>
      <c r="JZ18" s="336">
        <v>0</v>
      </c>
      <c r="KA18" s="336">
        <v>0</v>
      </c>
      <c r="KB18" s="336">
        <v>41869227</v>
      </c>
      <c r="KC18" s="336">
        <v>0</v>
      </c>
      <c r="KD18" s="336">
        <v>0</v>
      </c>
      <c r="KE18" s="336">
        <v>0</v>
      </c>
      <c r="KF18" s="336">
        <v>0</v>
      </c>
      <c r="KG18" s="336">
        <v>0</v>
      </c>
      <c r="KH18" s="336">
        <v>0</v>
      </c>
      <c r="KI18" s="336">
        <v>0</v>
      </c>
      <c r="KJ18" s="336">
        <v>1560237</v>
      </c>
      <c r="KK18" s="336">
        <v>553227</v>
      </c>
      <c r="KL18" s="336">
        <v>-96</v>
      </c>
      <c r="KM18" s="336">
        <v>23651</v>
      </c>
      <c r="KN18" s="336">
        <v>0</v>
      </c>
      <c r="KO18" s="336">
        <v>23413</v>
      </c>
      <c r="KP18" s="336">
        <v>0</v>
      </c>
      <c r="KQ18" s="336">
        <v>0</v>
      </c>
      <c r="KR18" s="336">
        <v>33570412</v>
      </c>
      <c r="KS18" s="336">
        <v>24882356</v>
      </c>
      <c r="KT18" s="336">
        <v>0</v>
      </c>
      <c r="KU18" s="336">
        <v>1505447</v>
      </c>
      <c r="KV18" s="336">
        <v>0</v>
      </c>
      <c r="KW18" s="336">
        <v>0</v>
      </c>
      <c r="KX18" s="336">
        <v>0</v>
      </c>
      <c r="KY18" s="336">
        <v>0</v>
      </c>
      <c r="KZ18" s="336">
        <v>0</v>
      </c>
      <c r="LA18" s="336">
        <v>8381760</v>
      </c>
      <c r="LB18" s="336">
        <v>5998848</v>
      </c>
      <c r="LC18" s="336">
        <v>0</v>
      </c>
      <c r="LD18" s="336">
        <v>7056966</v>
      </c>
      <c r="LE18" s="336">
        <v>0</v>
      </c>
      <c r="LF18" s="336">
        <v>0</v>
      </c>
      <c r="LG18" s="336">
        <v>0</v>
      </c>
      <c r="LH18" s="336">
        <v>0</v>
      </c>
      <c r="LI18" s="336">
        <v>0</v>
      </c>
      <c r="LJ18" s="336">
        <v>332405</v>
      </c>
      <c r="LK18" s="336">
        <v>3315558</v>
      </c>
      <c r="LL18" s="336">
        <v>0</v>
      </c>
      <c r="LM18" s="336">
        <v>842898</v>
      </c>
      <c r="LN18" s="336">
        <v>0</v>
      </c>
      <c r="LO18" s="336">
        <v>0</v>
      </c>
      <c r="LP18" s="336">
        <v>0</v>
      </c>
      <c r="LQ18" s="336">
        <v>0</v>
      </c>
      <c r="LR18" s="336">
        <v>0</v>
      </c>
      <c r="LS18" s="336">
        <v>0</v>
      </c>
      <c r="LT18" s="336">
        <v>0</v>
      </c>
      <c r="LU18" s="336">
        <v>0</v>
      </c>
      <c r="LV18" s="336">
        <v>0</v>
      </c>
      <c r="LW18" s="336">
        <v>0</v>
      </c>
      <c r="LX18" s="336">
        <v>0</v>
      </c>
      <c r="LY18" s="336">
        <v>0</v>
      </c>
      <c r="LZ18" s="336">
        <v>0</v>
      </c>
      <c r="MA18" s="336">
        <v>0</v>
      </c>
      <c r="MB18" s="336">
        <v>17796428</v>
      </c>
      <c r="MC18" s="336">
        <v>9695935</v>
      </c>
      <c r="MD18" s="336">
        <v>0</v>
      </c>
      <c r="ME18" s="336">
        <v>4521081</v>
      </c>
      <c r="MF18" s="336">
        <v>0</v>
      </c>
      <c r="MG18" s="336">
        <v>0</v>
      </c>
      <c r="MH18" s="336">
        <v>0</v>
      </c>
      <c r="MI18" s="336">
        <v>0</v>
      </c>
      <c r="MJ18" s="336">
        <v>0</v>
      </c>
      <c r="MK18" s="336">
        <v>3047936</v>
      </c>
      <c r="ML18" s="336">
        <v>14166720</v>
      </c>
      <c r="MM18" s="336">
        <v>0</v>
      </c>
      <c r="MN18" s="336">
        <v>2729720</v>
      </c>
      <c r="MO18" s="336">
        <v>38278</v>
      </c>
      <c r="MP18" s="336">
        <v>0</v>
      </c>
      <c r="MQ18" s="336">
        <v>0</v>
      </c>
      <c r="MR18" s="336">
        <v>0</v>
      </c>
      <c r="MS18" s="336">
        <v>0</v>
      </c>
      <c r="MT18" s="336">
        <v>8150498</v>
      </c>
      <c r="MU18" s="336">
        <v>13069251</v>
      </c>
      <c r="MV18" s="336">
        <v>0</v>
      </c>
      <c r="MW18" s="336">
        <v>446945</v>
      </c>
      <c r="MX18" s="336">
        <v>0</v>
      </c>
      <c r="MY18" s="336">
        <v>0</v>
      </c>
      <c r="MZ18" s="336">
        <v>0</v>
      </c>
      <c r="NA18" s="336">
        <v>0</v>
      </c>
      <c r="NB18" s="336">
        <v>0</v>
      </c>
      <c r="NC18" s="336">
        <v>1318961</v>
      </c>
      <c r="ND18" s="336">
        <v>9246590</v>
      </c>
      <c r="NE18" s="336">
        <v>0</v>
      </c>
      <c r="NF18" s="336">
        <v>11191</v>
      </c>
      <c r="NG18" s="336">
        <v>0</v>
      </c>
      <c r="NH18" s="336">
        <v>0</v>
      </c>
      <c r="NI18" s="336">
        <v>2543582</v>
      </c>
      <c r="NJ18" s="336">
        <v>0</v>
      </c>
      <c r="NK18" s="336">
        <v>0</v>
      </c>
      <c r="NL18" s="336">
        <v>1814522</v>
      </c>
      <c r="NM18" s="336">
        <v>10924353</v>
      </c>
      <c r="NN18" s="336">
        <v>0</v>
      </c>
      <c r="NO18" s="336">
        <v>11924227</v>
      </c>
      <c r="NP18" s="336">
        <v>0</v>
      </c>
      <c r="NQ18" s="336">
        <v>0</v>
      </c>
      <c r="NR18" s="336">
        <v>0</v>
      </c>
      <c r="NS18" s="336">
        <v>0</v>
      </c>
      <c r="NT18" s="336">
        <v>0</v>
      </c>
      <c r="NU18" s="336">
        <v>0</v>
      </c>
      <c r="NV18" s="336">
        <v>0</v>
      </c>
      <c r="NW18" s="336">
        <v>61023128</v>
      </c>
      <c r="NX18" s="336">
        <v>0</v>
      </c>
      <c r="NY18" s="336">
        <v>0</v>
      </c>
      <c r="NZ18" s="336">
        <v>0</v>
      </c>
      <c r="OA18" s="336">
        <v>0</v>
      </c>
      <c r="OB18" s="336">
        <v>0</v>
      </c>
      <c r="OC18" s="336">
        <v>0</v>
      </c>
      <c r="OD18" s="336">
        <v>139555</v>
      </c>
      <c r="OE18" s="336">
        <v>1267646</v>
      </c>
      <c r="OF18" s="336">
        <v>180506</v>
      </c>
      <c r="OG18" s="336">
        <v>191248</v>
      </c>
      <c r="OH18" s="336">
        <v>0</v>
      </c>
      <c r="OI18" s="336">
        <v>0</v>
      </c>
      <c r="OJ18" s="336">
        <v>0</v>
      </c>
      <c r="OK18" s="336">
        <v>0</v>
      </c>
      <c r="OL18" s="336">
        <v>0</v>
      </c>
      <c r="OM18" s="336">
        <v>0</v>
      </c>
      <c r="ON18" s="336">
        <v>1122561</v>
      </c>
      <c r="OO18" s="336">
        <v>0</v>
      </c>
      <c r="OP18" s="336">
        <v>0</v>
      </c>
      <c r="OQ18" s="336">
        <v>0</v>
      </c>
      <c r="OR18" s="336">
        <v>0</v>
      </c>
      <c r="OS18" s="336">
        <v>0</v>
      </c>
      <c r="OT18" s="336">
        <v>0</v>
      </c>
      <c r="OU18" s="336">
        <v>3221197</v>
      </c>
      <c r="OV18" s="336">
        <v>0</v>
      </c>
      <c r="OW18" s="336">
        <v>0</v>
      </c>
      <c r="OX18" s="336">
        <v>0</v>
      </c>
      <c r="OY18" s="336">
        <v>0</v>
      </c>
      <c r="OZ18" s="336">
        <v>0</v>
      </c>
      <c r="PA18" s="336">
        <v>0</v>
      </c>
      <c r="PB18" s="336">
        <v>22195783</v>
      </c>
      <c r="PC18" s="336">
        <v>0</v>
      </c>
      <c r="PD18" s="336">
        <v>0</v>
      </c>
      <c r="PE18" s="336">
        <v>4415199</v>
      </c>
      <c r="PF18" s="336">
        <v>9375013</v>
      </c>
      <c r="PG18" s="336">
        <v>24235642</v>
      </c>
      <c r="PH18" s="336">
        <v>-45586045</v>
      </c>
      <c r="PI18" s="336">
        <v>19344</v>
      </c>
      <c r="PJ18" s="336">
        <v>320932</v>
      </c>
      <c r="PK18" s="336">
        <v>23460750</v>
      </c>
      <c r="PL18" s="336">
        <v>0</v>
      </c>
      <c r="PM18" s="336">
        <v>0</v>
      </c>
      <c r="PN18" s="336">
        <v>0</v>
      </c>
      <c r="PO18" s="336">
        <v>0</v>
      </c>
      <c r="PP18" s="336">
        <v>0</v>
      </c>
      <c r="PQ18" s="336">
        <v>0</v>
      </c>
      <c r="PR18" s="336">
        <v>0</v>
      </c>
      <c r="PS18" s="336">
        <v>0</v>
      </c>
      <c r="PT18" s="336">
        <v>0</v>
      </c>
      <c r="PU18" s="336">
        <v>0</v>
      </c>
      <c r="PV18" s="336">
        <v>0</v>
      </c>
      <c r="PW18" s="336">
        <v>-18581677</v>
      </c>
      <c r="PX18" s="336">
        <v>-3638794</v>
      </c>
      <c r="PY18" s="336">
        <v>-15688927</v>
      </c>
      <c r="PZ18" s="336">
        <v>0</v>
      </c>
      <c r="QA18" s="336">
        <v>0</v>
      </c>
      <c r="QB18" s="336">
        <v>0</v>
      </c>
      <c r="QC18" s="336">
        <v>0</v>
      </c>
      <c r="QD18" s="336">
        <v>0</v>
      </c>
      <c r="QE18" s="336">
        <v>0</v>
      </c>
      <c r="QF18" s="336">
        <v>1270940</v>
      </c>
      <c r="QG18" s="336">
        <v>11077286</v>
      </c>
      <c r="QH18" s="336">
        <v>2124751</v>
      </c>
      <c r="QI18" s="336">
        <v>-501897</v>
      </c>
      <c r="QJ18" s="336">
        <v>432949</v>
      </c>
      <c r="QK18" s="336">
        <v>4622683</v>
      </c>
      <c r="QL18" s="336">
        <v>805036</v>
      </c>
      <c r="QM18" s="336">
        <v>0</v>
      </c>
      <c r="QN18" s="336">
        <v>0</v>
      </c>
      <c r="QO18" s="336">
        <v>0</v>
      </c>
      <c r="QP18" s="336">
        <v>0</v>
      </c>
      <c r="QQ18" s="336">
        <v>0</v>
      </c>
      <c r="QR18" s="336">
        <v>0</v>
      </c>
      <c r="QS18" s="336">
        <v>0</v>
      </c>
      <c r="QT18" s="336">
        <v>2213193</v>
      </c>
      <c r="QU18" s="336">
        <v>0</v>
      </c>
      <c r="QV18" s="336">
        <v>0</v>
      </c>
      <c r="QW18" s="336">
        <v>0</v>
      </c>
      <c r="QX18" s="336">
        <v>0</v>
      </c>
      <c r="QY18" s="336">
        <v>0</v>
      </c>
      <c r="QZ18" s="336">
        <v>0</v>
      </c>
      <c r="RA18" s="336">
        <v>0</v>
      </c>
      <c r="RB18" s="336">
        <v>0</v>
      </c>
      <c r="RC18" s="336">
        <v>0</v>
      </c>
      <c r="RD18" s="336">
        <v>0</v>
      </c>
      <c r="RE18" s="336">
        <v>0</v>
      </c>
      <c r="RF18" s="336">
        <v>0</v>
      </c>
      <c r="RG18" s="336">
        <v>0</v>
      </c>
      <c r="RH18" s="336">
        <v>0</v>
      </c>
      <c r="RI18" s="336">
        <v>0</v>
      </c>
      <c r="RJ18" s="336">
        <v>0</v>
      </c>
      <c r="RK18" s="336">
        <v>0</v>
      </c>
      <c r="RL18" s="336">
        <v>0</v>
      </c>
      <c r="RM18" s="336">
        <v>0</v>
      </c>
      <c r="RN18" s="336">
        <v>0</v>
      </c>
      <c r="RO18" s="336">
        <v>-29829923</v>
      </c>
      <c r="RP18" s="336">
        <v>0</v>
      </c>
      <c r="RQ18" s="336">
        <v>0</v>
      </c>
      <c r="RR18" s="336">
        <v>0</v>
      </c>
      <c r="RS18" s="336">
        <v>0</v>
      </c>
      <c r="RT18" s="336">
        <v>0</v>
      </c>
      <c r="RU18" s="336">
        <v>0</v>
      </c>
      <c r="RV18" s="336">
        <v>0</v>
      </c>
      <c r="RW18" s="336">
        <v>0</v>
      </c>
      <c r="RX18" s="336">
        <v>11098101</v>
      </c>
      <c r="RY18" s="336">
        <v>0</v>
      </c>
      <c r="RZ18" s="336">
        <v>0</v>
      </c>
      <c r="SA18" s="336">
        <v>0</v>
      </c>
      <c r="SB18" s="336">
        <v>0</v>
      </c>
      <c r="SC18" s="336">
        <v>0</v>
      </c>
      <c r="SD18" s="336">
        <v>0</v>
      </c>
      <c r="SE18" s="336">
        <v>0</v>
      </c>
      <c r="SF18" s="336">
        <v>0</v>
      </c>
      <c r="SG18" s="336">
        <v>0</v>
      </c>
      <c r="SH18" s="336">
        <v>0</v>
      </c>
      <c r="SI18" s="336">
        <v>0</v>
      </c>
      <c r="SJ18" s="336">
        <v>0</v>
      </c>
      <c r="SK18" s="336">
        <v>0</v>
      </c>
      <c r="SL18" s="336">
        <v>0</v>
      </c>
      <c r="SM18" s="336">
        <v>0</v>
      </c>
      <c r="SN18" s="336">
        <v>0</v>
      </c>
      <c r="SO18" s="336">
        <v>0</v>
      </c>
      <c r="SP18" s="336">
        <v>4119</v>
      </c>
      <c r="SQ18" s="336">
        <v>139555</v>
      </c>
      <c r="SR18" s="336">
        <v>1267646</v>
      </c>
      <c r="SS18" s="336">
        <v>180506</v>
      </c>
      <c r="ST18" s="336">
        <v>191248</v>
      </c>
      <c r="SU18" s="336">
        <v>0</v>
      </c>
      <c r="SV18" s="336">
        <v>0</v>
      </c>
      <c r="SW18" s="336">
        <v>-22195783</v>
      </c>
      <c r="SX18" s="336">
        <v>0</v>
      </c>
      <c r="SY18" s="336">
        <v>0</v>
      </c>
      <c r="SZ18" s="336" t="s">
        <v>1420</v>
      </c>
      <c r="TA18" s="336" t="s">
        <v>1420</v>
      </c>
      <c r="TB18" s="336" t="s">
        <v>1420</v>
      </c>
      <c r="TC18" s="336">
        <v>120030</v>
      </c>
      <c r="TD18" s="336">
        <v>988531</v>
      </c>
      <c r="TE18" s="336">
        <v>348</v>
      </c>
      <c r="TF18" s="336">
        <v>0</v>
      </c>
      <c r="TG18" s="336">
        <v>169709</v>
      </c>
      <c r="TH18" s="336">
        <v>40142</v>
      </c>
      <c r="TI18" s="336">
        <v>149703</v>
      </c>
      <c r="TJ18" s="336">
        <v>39696</v>
      </c>
      <c r="TK18" s="336">
        <v>90290</v>
      </c>
      <c r="TL18" s="336">
        <v>180506</v>
      </c>
      <c r="TM18" s="336">
        <v>0</v>
      </c>
      <c r="TN18" s="336">
        <v>0</v>
      </c>
      <c r="TO18" s="336">
        <v>221473</v>
      </c>
      <c r="TP18" s="336">
        <v>0</v>
      </c>
      <c r="TQ18" s="336">
        <v>0</v>
      </c>
      <c r="TR18" s="336">
        <v>0</v>
      </c>
      <c r="TS18" s="336">
        <v>0</v>
      </c>
      <c r="TT18" s="336">
        <v>0</v>
      </c>
      <c r="TU18" s="336">
        <v>0</v>
      </c>
      <c r="TV18" s="336">
        <v>0</v>
      </c>
      <c r="TW18" s="336">
        <v>0</v>
      </c>
      <c r="TX18" s="336">
        <v>0</v>
      </c>
      <c r="TY18" s="336">
        <v>0</v>
      </c>
      <c r="TZ18" s="336">
        <v>0</v>
      </c>
      <c r="UA18" s="336">
        <v>0</v>
      </c>
      <c r="UB18" s="336">
        <v>0</v>
      </c>
      <c r="UC18" s="336">
        <v>0</v>
      </c>
      <c r="UD18" s="336">
        <v>0</v>
      </c>
      <c r="UE18" s="336">
        <v>0</v>
      </c>
      <c r="UF18" s="336">
        <v>0</v>
      </c>
      <c r="UG18" s="336">
        <v>0</v>
      </c>
      <c r="UH18" s="336">
        <v>59958215</v>
      </c>
      <c r="UI18" s="338">
        <v>21437574</v>
      </c>
      <c r="UJ18" s="338">
        <v>4490861</v>
      </c>
      <c r="UK18" s="338">
        <v>0</v>
      </c>
      <c r="UL18" s="338">
        <v>32013444</v>
      </c>
      <c r="UM18" s="338">
        <v>19982654</v>
      </c>
      <c r="UN18" s="338">
        <v>21666694</v>
      </c>
      <c r="UO18" s="338">
        <v>13120324</v>
      </c>
      <c r="UP18" s="338">
        <v>24663102</v>
      </c>
      <c r="UQ18" s="338">
        <v>61023128</v>
      </c>
      <c r="UR18"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1778955</v>
      </c>
      <c r="US18" s="338">
        <f>SUM(Input[[#This Row],[Oth Exp E&amp;G]],Input[[#This Row],[Oth Exp Desg]],Input[[#This Row],[Oth Exp Aux]],Input[[#This Row],[Oth Exp R Exp]],Input[[#This Row],[Oth Exp Loan]],Input[[#This Row],[Oth Exp Annuity]],Input[[#This Row],[Oth Exp Unexp]],Input[[#This Row],[Oth Exp R of Ind]],Input[[#This Row],[Oth Exp Inv in P]])</f>
        <v>4343758</v>
      </c>
      <c r="UT18" s="336">
        <v>46232512</v>
      </c>
      <c r="UU18" s="336">
        <v>19831748</v>
      </c>
      <c r="UV18" s="339" t="s">
        <v>1432</v>
      </c>
      <c r="UW18" s="340">
        <v>9798459761</v>
      </c>
      <c r="UX18" s="339" t="s">
        <v>1433</v>
      </c>
      <c r="UY18" s="339" t="s">
        <v>1439</v>
      </c>
      <c r="UZ18" s="340">
        <v>2549681643</v>
      </c>
      <c r="VA18" s="339" t="s">
        <v>1440</v>
      </c>
      <c r="VB18" s="341" cm="1">
        <f t="array" ref="VB18">IFERROR(_xlfn.IFS(Input[[#This Row],[Type]]="HRI",VLOOKUP(Input[[#This Row],[Institution Name]],FTSEHRI[],9,FALSE),Input[[#This Row],[Type]]="UNIV",VLOOKUP(Input[[#This Row],[Institution Name]],FTSEUNIV[],9,FALSE),OR(Input[[#This Row],[Type]]="TSTC",Input[[#This Row],[Type]]="LSC"),VLOOKUP(Input[[#This Row],[Institution Name]],FTSETSTC[],8,FALSE)),"N/A")</f>
        <v>12684.8</v>
      </c>
      <c r="VC18" s="342" t="str" cm="1">
        <f t="array" ref="VC18">IFERROR(_xlfn.IFS(Input[[#This Row],[Type]]="HRI",VLOOKUP(Input[[#This Row],[Institution Name]],FTSEHRI[],11,FALSE),Input[[#This Row],[Type]]="UNIV",VLOOKUP(Input[[#This Row],[Institution Name]],FTSEUNIV[],11,FALSE),Input[[#This Row],[Type]]="TSTC",VLOOKUP(Input[[#This Row],[Institution Name]],FTSETSTC[],10,FALSE)),"N/A")</f>
        <v>N/A</v>
      </c>
      <c r="VD18"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95886289</v>
      </c>
      <c r="VE18"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18" s="338">
        <f>SUM(Input[[#This Row],[Fed G&amp;C E&amp;G]],Input[[#This Row],[Fed G&amp;C Desg]],Input[[#This Row],[Fed G&amp;C R Exp]],Input[[#This Row],[Fed G&amp;C Loan]],Input[[#This Row],[Fed G&amp;C Annuity]],Input[[#This Row],[Fed G&amp;C Unexp]],Input[[#This Row],[Fed G&amp;C R of Ind]],Input[[#This Row],[Fed G&amp;C Inv in P]])</f>
        <v>39949042</v>
      </c>
      <c r="VG18"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30623553</v>
      </c>
      <c r="VH18"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60719469</v>
      </c>
      <c r="VI18"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27520525</v>
      </c>
      <c r="VJ18" s="338">
        <f>SUM(Input[[#This Row],[Oth Inc E&amp;G]],Input[[#This Row],[Oth Exp Desg]],Input[[#This Row],[Oth Exp R Exp]],Input[[#This Row],[Oth Exp Loan]],Input[[#This Row],[Oth Exp Annuity]],Input[[#This Row],[Oth Exp Unexp]],Input[[#This Row],[Oth Exp R of Ind]],Input[[#This Row],[Oth Exp Inv in P]])</f>
        <v>4343758</v>
      </c>
      <c r="VK18" s="343">
        <f>SUM(Input[[#This Row],[Instr E&amp;G]],Input[[#This Row],[Instr Desg]],Input[[#This Row],[Instr R Exp]],Input[[#This Row],[Instr Loan]],Input[[#This Row],[Instr Annuity]],Input[[#This Row],[Instr Unexp]],Input[[#This Row],[Instr R of Ind]],Input[[#This Row],[Instr Inv in P]])</f>
        <v>59958215</v>
      </c>
      <c r="VL18" s="343">
        <f>SUM(Input[[#This Row],[Res E&amp;G]],Input[[#This Row],[Res Desg]],Input[[#This Row],[Res R Exp]],Input[[#This Row],[Res Loan]],Input[[#This Row],[Res Annuity]],Input[[#This Row],[Res Unexp]],Input[[#This Row],[Res R of Ind]],Input[[#This Row],[Res Inv in P]])</f>
        <v>21437574</v>
      </c>
      <c r="VM18" s="343">
        <f>SUM(Input[[#This Row],[Acad Sup E&amp;G]],Input[[#This Row],[Acad Sup Desg]],Input[[#This Row],[Acad Sup R Exp]],Input[[#This Row],[Acad Sup Loan]],Input[[#This Row],[Acad Sup Annuity]],Input[[#This Row],[Acad Sup Unexp]],Input[[#This Row],[Acad Sup R of Ind]],Input[[#This Row],[Acad Sup Inv in P]])</f>
        <v>32013444</v>
      </c>
      <c r="VN18" s="343">
        <f>SUM(Input[[#This Row],[Stu Svc E&amp;G]],Input[[#This Row],[Stu Svc Desg]],Input[[#This Row],[Stu Svc R Exp]],Input[[#This Row],[Stu Svc Loan]],Input[[#This Row],[Stu Svc Annuity]],Input[[#This Row],[Stu Svc Unexp]],Input[[#This Row],[Stu Svc R of Ind]],Input[[#This Row],[Stu Svc Inv in P]])</f>
        <v>19982654</v>
      </c>
      <c r="VO18" s="343">
        <f>SUM(Input[[#This Row],[Inst. Spt E&amp;G]],Input[[#This Row],[Inst. Spt Desg]],Input[[#This Row],[Inst. Spt R Exp]],Input[[#This Row],[Inst. Spt Loan]],Input[[#This Row],[Inst. Spt Annuity]],Input[[#This Row],[Inst. Spt Unexp]],Input[[#This Row],[Inst. Spt R of Ind]],Input[[#This Row],[Inst. Spt Inv in P]])</f>
        <v>21666694</v>
      </c>
      <c r="VP18" s="343">
        <f>SUM(Input[[#This Row],[M&amp;O Plnt E&amp;G]],Input[[#This Row],[M&amp;O Plnt Desg]],Input[[#This Row],[M&amp;O Plnt R Exp]],Input[[#This Row],[M&amp;O Plnt Loan]],Input[[#This Row],[M&amp;O Plnt Annuity]],Input[[#This Row],[M&amp;O Plnt Unexp]],Input[[#This Row],[M&amp;O Plnt R of Ind]],Input[[#This Row],[M&amp;O Plnt Inv in P]])</f>
        <v>13120324</v>
      </c>
      <c r="VQ18" s="343">
        <f>SUM(Input[[#This Row],[Schl &amp; Fell E&amp;G]],Input[[#This Row],[Schl &amp; Fell Desg]],Input[[#This Row],[Schl &amp; Fell R Exp]],Input[[#This Row],[Schl &amp; Fell Loan]],Input[[#This Row],[Schl &amp; Fell Annuity]],Input[[#This Row],[Schl &amp; Fell Unexp]],Input[[#This Row],[Schl &amp; Fell R of Ind]],Input[[#This Row],[Schl &amp; Fell Inv in P]])</f>
        <v>24663102</v>
      </c>
      <c r="VR18" s="343">
        <f>SUM(Input[[#This Row],[Cap Out fund E&amp;G]],Input[[#This Row],[Cap Out fund Desg]],Input[[#This Row],[Cap Out fund R Exp]],Input[[#This Row],[Cap Out fund Loan]],Input[[#This Row],[Cap Out fund Annuity]],Input[[#This Row],[Cap Out fund Unexp]],Input[[#This Row],[Cap Out fund R of Ind]],Input[[#This Row],[Cap Out fund Inv in P]])</f>
        <v>1598449</v>
      </c>
      <c r="VS18" s="343">
        <f>SUM(Input[[#This Row],[Oth Exp E&amp;G]],Input[[#This Row],[Oth Exp Desg]],Input[[#This Row],[Oth Exp R Exp]],Input[[#This Row],[Oth Exp Loan]],Input[[#This Row],[Oth Exp Annuity]],Input[[#This Row],[Oth Exp Unexp]],Input[[#This Row],[Oth Exp R of Ind]],Input[[#This Row],[Oth Exp Inv in P]],Input[[#This Row],[Oth Exp Inv in P]])</f>
        <v>7564955</v>
      </c>
    </row>
    <row r="19" spans="1:591" s="344" customFormat="1" ht="27" customHeight="1" x14ac:dyDescent="0.55000000000000004">
      <c r="A19" s="339" t="s">
        <v>701</v>
      </c>
      <c r="B19" s="334" t="s">
        <v>830</v>
      </c>
      <c r="C19" s="350" t="s">
        <v>1914</v>
      </c>
      <c r="D19" s="334">
        <v>605</v>
      </c>
      <c r="E19" s="334" t="s">
        <v>1622</v>
      </c>
      <c r="F19" s="335">
        <v>555</v>
      </c>
      <c r="G19" s="336">
        <v>78618658</v>
      </c>
      <c r="H19" s="336">
        <v>0</v>
      </c>
      <c r="I19" s="336">
        <v>0</v>
      </c>
      <c r="J19" s="336">
        <v>0</v>
      </c>
      <c r="K19" s="336">
        <v>0</v>
      </c>
      <c r="L19" s="336">
        <v>0</v>
      </c>
      <c r="M19" s="336">
        <v>0</v>
      </c>
      <c r="N19" s="336">
        <v>0</v>
      </c>
      <c r="O19" s="336">
        <v>0</v>
      </c>
      <c r="P19" s="336">
        <v>0</v>
      </c>
      <c r="Q19" s="336">
        <v>268869</v>
      </c>
      <c r="R19" s="336">
        <v>0</v>
      </c>
      <c r="S19" s="336">
        <v>849830</v>
      </c>
      <c r="T19" s="336">
        <v>0</v>
      </c>
      <c r="U19" s="336">
        <v>0</v>
      </c>
      <c r="V19" s="336">
        <v>0</v>
      </c>
      <c r="W19" s="336">
        <v>0</v>
      </c>
      <c r="X19" s="336">
        <v>0</v>
      </c>
      <c r="Y19" s="336">
        <v>0</v>
      </c>
      <c r="Z19" s="336">
        <v>0</v>
      </c>
      <c r="AA19" s="336">
        <v>0</v>
      </c>
      <c r="AB19" s="336">
        <v>0</v>
      </c>
      <c r="AC19" s="336">
        <v>0</v>
      </c>
      <c r="AD19" s="336">
        <v>0</v>
      </c>
      <c r="AE19" s="336">
        <v>0</v>
      </c>
      <c r="AF19" s="336">
        <v>0</v>
      </c>
      <c r="AG19" s="336">
        <v>0</v>
      </c>
      <c r="AH19" s="336">
        <v>0</v>
      </c>
      <c r="AI19" s="336">
        <v>0</v>
      </c>
      <c r="AJ19" s="336">
        <v>0</v>
      </c>
      <c r="AK19" s="336">
        <v>0</v>
      </c>
      <c r="AL19" s="336">
        <v>0</v>
      </c>
      <c r="AM19" s="336">
        <v>0</v>
      </c>
      <c r="AN19" s="336">
        <v>0</v>
      </c>
      <c r="AO19" s="336">
        <v>0</v>
      </c>
      <c r="AP19" s="336">
        <v>0</v>
      </c>
      <c r="AQ19" s="336">
        <v>0</v>
      </c>
      <c r="AR19" s="336">
        <v>0</v>
      </c>
      <c r="AS19" s="336">
        <v>0</v>
      </c>
      <c r="AT19" s="336">
        <v>0</v>
      </c>
      <c r="AU19" s="336">
        <v>0</v>
      </c>
      <c r="AV19" s="336">
        <v>0</v>
      </c>
      <c r="AW19" s="336">
        <v>0</v>
      </c>
      <c r="AX19" s="336">
        <v>0</v>
      </c>
      <c r="AY19" s="336">
        <v>0</v>
      </c>
      <c r="AZ19" s="336">
        <v>0</v>
      </c>
      <c r="BA19" s="336">
        <v>0</v>
      </c>
      <c r="BB19" s="336">
        <v>0</v>
      </c>
      <c r="BC19" s="336">
        <v>0</v>
      </c>
      <c r="BD19" s="336">
        <v>0</v>
      </c>
      <c r="BE19" s="336">
        <v>0</v>
      </c>
      <c r="BF19" s="336">
        <v>0</v>
      </c>
      <c r="BG19" s="336">
        <v>0</v>
      </c>
      <c r="BH19" s="336">
        <v>0</v>
      </c>
      <c r="BI19" s="336">
        <v>0</v>
      </c>
      <c r="BJ19" s="336">
        <v>0</v>
      </c>
      <c r="BK19" s="336">
        <v>0</v>
      </c>
      <c r="BL19" s="336">
        <v>0</v>
      </c>
      <c r="BM19" s="336">
        <v>0</v>
      </c>
      <c r="BN19" s="336">
        <v>0</v>
      </c>
      <c r="BO19" s="336">
        <v>0</v>
      </c>
      <c r="BP19" s="336">
        <v>0</v>
      </c>
      <c r="BQ19" s="336">
        <v>0</v>
      </c>
      <c r="BR19" s="336">
        <v>0</v>
      </c>
      <c r="BS19" s="336">
        <v>0</v>
      </c>
      <c r="BT19" s="336">
        <v>0</v>
      </c>
      <c r="BU19" s="336">
        <v>0</v>
      </c>
      <c r="BV19" s="336">
        <v>0</v>
      </c>
      <c r="BW19" s="336">
        <v>0</v>
      </c>
      <c r="BX19" s="336">
        <v>0</v>
      </c>
      <c r="BY19" s="336">
        <v>0</v>
      </c>
      <c r="BZ19" s="336">
        <v>0</v>
      </c>
      <c r="CA19" s="336">
        <v>0</v>
      </c>
      <c r="CB19" s="336">
        <v>0</v>
      </c>
      <c r="CC19" s="336">
        <v>0</v>
      </c>
      <c r="CD19" s="336">
        <v>0</v>
      </c>
      <c r="CE19" s="336">
        <v>0</v>
      </c>
      <c r="CF19" s="336">
        <v>0</v>
      </c>
      <c r="CG19" s="336">
        <v>0</v>
      </c>
      <c r="CH19" s="336">
        <v>0</v>
      </c>
      <c r="CI19" s="336">
        <v>0</v>
      </c>
      <c r="CJ19" s="336">
        <v>0</v>
      </c>
      <c r="CK19" s="336">
        <v>0</v>
      </c>
      <c r="CL19" s="336">
        <v>0</v>
      </c>
      <c r="CM19" s="336">
        <v>0</v>
      </c>
      <c r="CN19" s="336">
        <v>0</v>
      </c>
      <c r="CO19" s="336">
        <v>0</v>
      </c>
      <c r="CP19" s="336">
        <v>0</v>
      </c>
      <c r="CQ19" s="336">
        <v>0</v>
      </c>
      <c r="CR19" s="336">
        <v>0</v>
      </c>
      <c r="CS19" s="336">
        <v>0</v>
      </c>
      <c r="CT19" s="336">
        <v>0</v>
      </c>
      <c r="CU19" s="336">
        <v>0</v>
      </c>
      <c r="CV19" s="336">
        <v>0</v>
      </c>
      <c r="CW19" s="336">
        <v>0</v>
      </c>
      <c r="CX19" s="336">
        <v>0</v>
      </c>
      <c r="CY19" s="336">
        <v>0</v>
      </c>
      <c r="CZ19" s="336">
        <v>0</v>
      </c>
      <c r="DA19" s="336">
        <v>0</v>
      </c>
      <c r="DB19" s="336">
        <v>0</v>
      </c>
      <c r="DC19" s="336">
        <v>0</v>
      </c>
      <c r="DD19" s="336">
        <v>0</v>
      </c>
      <c r="DE19" s="336">
        <v>0</v>
      </c>
      <c r="DF19" s="336">
        <v>0</v>
      </c>
      <c r="DG19" s="336">
        <v>0</v>
      </c>
      <c r="DH19" s="336">
        <v>0</v>
      </c>
      <c r="DI19" s="336">
        <v>0</v>
      </c>
      <c r="DJ19" s="336">
        <v>0</v>
      </c>
      <c r="DK19" s="336">
        <v>0</v>
      </c>
      <c r="DL19" s="336">
        <v>0</v>
      </c>
      <c r="DM19" s="336">
        <v>0</v>
      </c>
      <c r="DN19" s="336">
        <v>0</v>
      </c>
      <c r="DO19" s="336">
        <v>0</v>
      </c>
      <c r="DP19" s="336">
        <v>0</v>
      </c>
      <c r="DQ19" s="336">
        <v>0</v>
      </c>
      <c r="DR19" s="336">
        <v>0</v>
      </c>
      <c r="DS19" s="336">
        <v>0</v>
      </c>
      <c r="DT19" s="336">
        <v>0</v>
      </c>
      <c r="DU19" s="336">
        <v>0</v>
      </c>
      <c r="DV19" s="336">
        <v>0</v>
      </c>
      <c r="DW19" s="336">
        <v>0</v>
      </c>
      <c r="DX19" s="336">
        <v>0</v>
      </c>
      <c r="DY19" s="336">
        <v>0</v>
      </c>
      <c r="DZ19" s="336">
        <v>0</v>
      </c>
      <c r="EA19" s="336">
        <v>0</v>
      </c>
      <c r="EB19" s="336">
        <v>0</v>
      </c>
      <c r="EC19" s="336">
        <v>0</v>
      </c>
      <c r="ED19" s="336">
        <v>0</v>
      </c>
      <c r="EE19" s="336">
        <v>0</v>
      </c>
      <c r="EF19" s="336">
        <v>0</v>
      </c>
      <c r="EG19" s="336">
        <v>0</v>
      </c>
      <c r="EH19" s="336">
        <v>0</v>
      </c>
      <c r="EI19" s="336">
        <v>0</v>
      </c>
      <c r="EJ19" s="336">
        <v>0</v>
      </c>
      <c r="EK19" s="336">
        <v>0</v>
      </c>
      <c r="EL19" s="336">
        <v>0</v>
      </c>
      <c r="EM19" s="336">
        <v>0</v>
      </c>
      <c r="EN19" s="336">
        <v>0</v>
      </c>
      <c r="EO19" s="336">
        <v>0</v>
      </c>
      <c r="EP19" s="336">
        <v>0</v>
      </c>
      <c r="EQ19" s="336">
        <v>0</v>
      </c>
      <c r="ER19" s="336">
        <v>0</v>
      </c>
      <c r="ES19" s="336">
        <v>0</v>
      </c>
      <c r="ET19" s="336">
        <v>0</v>
      </c>
      <c r="EU19" s="336">
        <v>0</v>
      </c>
      <c r="EV19" s="336">
        <v>0</v>
      </c>
      <c r="EW19" s="336">
        <v>0</v>
      </c>
      <c r="EX19" s="336">
        <v>0</v>
      </c>
      <c r="EY19" s="336">
        <v>0</v>
      </c>
      <c r="EZ19" s="336">
        <v>0</v>
      </c>
      <c r="FA19" s="336">
        <v>0</v>
      </c>
      <c r="FB19" s="336">
        <v>0</v>
      </c>
      <c r="FC19" s="336">
        <v>0</v>
      </c>
      <c r="FD19" s="336">
        <v>0</v>
      </c>
      <c r="FE19" s="336">
        <v>0</v>
      </c>
      <c r="FF19" s="336">
        <v>0</v>
      </c>
      <c r="FG19" s="336">
        <v>0</v>
      </c>
      <c r="FH19" s="336">
        <v>0</v>
      </c>
      <c r="FI19" s="336">
        <v>0</v>
      </c>
      <c r="FJ19" s="336">
        <v>0</v>
      </c>
      <c r="FK19" s="336">
        <v>0</v>
      </c>
      <c r="FL19" s="336">
        <v>0</v>
      </c>
      <c r="FM19" s="336">
        <v>0</v>
      </c>
      <c r="FN19" s="336">
        <v>0</v>
      </c>
      <c r="FO19" s="336">
        <v>0</v>
      </c>
      <c r="FP19" s="336">
        <v>0</v>
      </c>
      <c r="FQ19" s="336">
        <v>0</v>
      </c>
      <c r="FR19" s="336">
        <v>0</v>
      </c>
      <c r="FS19" s="336">
        <v>0</v>
      </c>
      <c r="FT19" s="336">
        <v>0</v>
      </c>
      <c r="FU19" s="336">
        <v>0</v>
      </c>
      <c r="FV19" s="336">
        <v>0</v>
      </c>
      <c r="FW19" s="336">
        <v>0</v>
      </c>
      <c r="FX19" s="336">
        <v>0</v>
      </c>
      <c r="FY19" s="336">
        <v>0</v>
      </c>
      <c r="FZ19" s="336">
        <v>0</v>
      </c>
      <c r="GA19" s="336">
        <v>0</v>
      </c>
      <c r="GB19" s="336">
        <v>0</v>
      </c>
      <c r="GC19" s="336">
        <v>0</v>
      </c>
      <c r="GD19" s="336">
        <v>0</v>
      </c>
      <c r="GE19" s="336">
        <v>0</v>
      </c>
      <c r="GF19" s="336">
        <v>0</v>
      </c>
      <c r="GG19" s="336">
        <v>0</v>
      </c>
      <c r="GH19" s="336">
        <v>0</v>
      </c>
      <c r="GI19" s="336">
        <v>0</v>
      </c>
      <c r="GJ19" s="336">
        <v>0</v>
      </c>
      <c r="GK19" s="336">
        <v>0</v>
      </c>
      <c r="GL19" s="336">
        <v>0</v>
      </c>
      <c r="GM19" s="336">
        <v>0</v>
      </c>
      <c r="GN19" s="336">
        <v>0</v>
      </c>
      <c r="GO19" s="336">
        <v>0</v>
      </c>
      <c r="GP19" s="336">
        <v>0</v>
      </c>
      <c r="GQ19" s="336">
        <v>0</v>
      </c>
      <c r="GR19" s="336">
        <v>0</v>
      </c>
      <c r="GS19" s="336">
        <v>0</v>
      </c>
      <c r="GT19" s="336">
        <v>0</v>
      </c>
      <c r="GU19" s="336">
        <v>0</v>
      </c>
      <c r="GV19" s="336">
        <v>0</v>
      </c>
      <c r="GW19" s="336">
        <v>0</v>
      </c>
      <c r="GX19" s="336">
        <v>0</v>
      </c>
      <c r="GY19" s="336">
        <v>0</v>
      </c>
      <c r="GZ19" s="336">
        <v>0</v>
      </c>
      <c r="HA19" s="336">
        <v>0</v>
      </c>
      <c r="HB19" s="336">
        <v>0</v>
      </c>
      <c r="HC19" s="336">
        <v>0</v>
      </c>
      <c r="HD19" s="336">
        <v>0</v>
      </c>
      <c r="HE19" s="336">
        <v>0</v>
      </c>
      <c r="HF19" s="336">
        <v>0</v>
      </c>
      <c r="HG19" s="336">
        <v>0</v>
      </c>
      <c r="HH19" s="336">
        <v>0</v>
      </c>
      <c r="HI19" s="336">
        <v>0</v>
      </c>
      <c r="HJ19" s="336">
        <v>0</v>
      </c>
      <c r="HK19" s="336">
        <v>0</v>
      </c>
      <c r="HL19" s="336">
        <v>0</v>
      </c>
      <c r="HM19" s="336">
        <v>0</v>
      </c>
      <c r="HN19" s="336">
        <v>0</v>
      </c>
      <c r="HO19" s="336">
        <v>14470310</v>
      </c>
      <c r="HP19" s="336">
        <v>5109106</v>
      </c>
      <c r="HQ19" s="336">
        <v>0</v>
      </c>
      <c r="HR19" s="336">
        <v>30313860</v>
      </c>
      <c r="HS19" s="336">
        <v>0</v>
      </c>
      <c r="HT19" s="336">
        <v>0</v>
      </c>
      <c r="HU19" s="336">
        <v>0</v>
      </c>
      <c r="HV19" s="336">
        <v>0</v>
      </c>
      <c r="HW19" s="336">
        <v>0</v>
      </c>
      <c r="HX19" s="336">
        <v>0</v>
      </c>
      <c r="HY19" s="336">
        <v>0</v>
      </c>
      <c r="HZ19" s="336">
        <v>0</v>
      </c>
      <c r="IA19" s="336">
        <v>0</v>
      </c>
      <c r="IB19" s="336">
        <v>0</v>
      </c>
      <c r="IC19" s="336">
        <v>0</v>
      </c>
      <c r="ID19" s="336">
        <v>0</v>
      </c>
      <c r="IE19" s="336">
        <v>0</v>
      </c>
      <c r="IF19" s="336">
        <v>0</v>
      </c>
      <c r="IG19" s="336">
        <v>0</v>
      </c>
      <c r="IH19" s="336">
        <v>0</v>
      </c>
      <c r="II19" s="336">
        <v>0</v>
      </c>
      <c r="IJ19" s="336">
        <v>0</v>
      </c>
      <c r="IK19" s="336">
        <v>0</v>
      </c>
      <c r="IL19" s="336">
        <v>0</v>
      </c>
      <c r="IM19" s="336">
        <v>0</v>
      </c>
      <c r="IN19" s="336">
        <v>0</v>
      </c>
      <c r="IO19" s="336">
        <v>0</v>
      </c>
      <c r="IP19" s="336">
        <v>3217</v>
      </c>
      <c r="IQ19" s="336">
        <v>2567471</v>
      </c>
      <c r="IR19" s="336">
        <v>0</v>
      </c>
      <c r="IS19" s="336">
        <v>0</v>
      </c>
      <c r="IT19" s="336">
        <v>0</v>
      </c>
      <c r="IU19" s="336">
        <v>0</v>
      </c>
      <c r="IV19" s="336">
        <v>0</v>
      </c>
      <c r="IW19" s="336">
        <v>0</v>
      </c>
      <c r="IX19" s="336">
        <v>0</v>
      </c>
      <c r="IY19" s="336">
        <v>0</v>
      </c>
      <c r="IZ19" s="336">
        <v>0</v>
      </c>
      <c r="JA19" s="336">
        <v>0</v>
      </c>
      <c r="JB19" s="336">
        <v>0</v>
      </c>
      <c r="JC19" s="336">
        <v>0</v>
      </c>
      <c r="JD19" s="336">
        <v>0</v>
      </c>
      <c r="JE19" s="336">
        <v>0</v>
      </c>
      <c r="JF19" s="336">
        <v>0</v>
      </c>
      <c r="JG19" s="336">
        <v>0</v>
      </c>
      <c r="JH19" s="336">
        <v>0</v>
      </c>
      <c r="JI19" s="336">
        <v>3778168</v>
      </c>
      <c r="JJ19" s="336">
        <v>0</v>
      </c>
      <c r="JK19" s="336">
        <v>13243946</v>
      </c>
      <c r="JL19" s="336">
        <v>0</v>
      </c>
      <c r="JM19" s="336">
        <v>0</v>
      </c>
      <c r="JN19" s="336">
        <v>0</v>
      </c>
      <c r="JO19" s="336">
        <v>0</v>
      </c>
      <c r="JP19" s="336">
        <v>0</v>
      </c>
      <c r="JQ19" s="336">
        <v>0</v>
      </c>
      <c r="JR19" s="336">
        <v>15532667</v>
      </c>
      <c r="JS19" s="336">
        <v>0</v>
      </c>
      <c r="JT19" s="336">
        <v>0</v>
      </c>
      <c r="JU19" s="336">
        <v>0</v>
      </c>
      <c r="JV19" s="336">
        <v>0</v>
      </c>
      <c r="JW19" s="336">
        <v>0</v>
      </c>
      <c r="JX19" s="336">
        <v>0</v>
      </c>
      <c r="JY19" s="336">
        <v>0</v>
      </c>
      <c r="JZ19" s="336">
        <v>0</v>
      </c>
      <c r="KA19" s="336">
        <v>0</v>
      </c>
      <c r="KB19" s="336">
        <v>0</v>
      </c>
      <c r="KC19" s="336">
        <v>0</v>
      </c>
      <c r="KD19" s="336">
        <v>0</v>
      </c>
      <c r="KE19" s="336">
        <v>0</v>
      </c>
      <c r="KF19" s="336">
        <v>0</v>
      </c>
      <c r="KG19" s="336">
        <v>0</v>
      </c>
      <c r="KH19" s="336">
        <v>0</v>
      </c>
      <c r="KI19" s="336">
        <v>27507</v>
      </c>
      <c r="KJ19" s="336">
        <v>927949</v>
      </c>
      <c r="KK19" s="336">
        <v>0</v>
      </c>
      <c r="KL19" s="336">
        <v>0</v>
      </c>
      <c r="KM19" s="336">
        <v>0</v>
      </c>
      <c r="KN19" s="336">
        <v>0</v>
      </c>
      <c r="KO19" s="336">
        <v>0</v>
      </c>
      <c r="KP19" s="336">
        <v>0</v>
      </c>
      <c r="KQ19" s="336">
        <v>88084</v>
      </c>
      <c r="KR19" s="336">
        <v>0</v>
      </c>
      <c r="KS19" s="336">
        <v>0</v>
      </c>
      <c r="KT19" s="336">
        <v>0</v>
      </c>
      <c r="KU19" s="336">
        <v>0</v>
      </c>
      <c r="KV19" s="336">
        <v>0</v>
      </c>
      <c r="KW19" s="336">
        <v>0</v>
      </c>
      <c r="KX19" s="336">
        <v>0</v>
      </c>
      <c r="KY19" s="336">
        <v>0</v>
      </c>
      <c r="KZ19" s="336">
        <v>0</v>
      </c>
      <c r="LA19" s="336">
        <v>174562</v>
      </c>
      <c r="LB19" s="336">
        <v>8184</v>
      </c>
      <c r="LC19" s="336">
        <v>0</v>
      </c>
      <c r="LD19" s="336">
        <v>2291457</v>
      </c>
      <c r="LE19" s="336">
        <v>0</v>
      </c>
      <c r="LF19" s="336">
        <v>0</v>
      </c>
      <c r="LG19" s="336">
        <v>0</v>
      </c>
      <c r="LH19" s="336">
        <v>0</v>
      </c>
      <c r="LI19" s="336">
        <v>0</v>
      </c>
      <c r="LJ19" s="336">
        <v>96347121</v>
      </c>
      <c r="LK19" s="336">
        <v>23707018</v>
      </c>
      <c r="LL19" s="336">
        <v>0</v>
      </c>
      <c r="LM19" s="336">
        <v>41429986</v>
      </c>
      <c r="LN19" s="336">
        <v>0</v>
      </c>
      <c r="LO19" s="336">
        <v>0</v>
      </c>
      <c r="LP19" s="336">
        <v>0</v>
      </c>
      <c r="LQ19" s="336">
        <v>0</v>
      </c>
      <c r="LR19" s="336">
        <v>0</v>
      </c>
      <c r="LS19" s="336">
        <v>0</v>
      </c>
      <c r="LT19" s="336">
        <v>0</v>
      </c>
      <c r="LU19" s="336">
        <v>0</v>
      </c>
      <c r="LV19" s="336">
        <v>0</v>
      </c>
      <c r="LW19" s="336">
        <v>0</v>
      </c>
      <c r="LX19" s="336">
        <v>0</v>
      </c>
      <c r="LY19" s="336">
        <v>0</v>
      </c>
      <c r="LZ19" s="336">
        <v>0</v>
      </c>
      <c r="MA19" s="336">
        <v>0</v>
      </c>
      <c r="MB19" s="336">
        <v>0</v>
      </c>
      <c r="MC19" s="336">
        <v>0</v>
      </c>
      <c r="MD19" s="336">
        <v>0</v>
      </c>
      <c r="ME19" s="336">
        <v>0</v>
      </c>
      <c r="MF19" s="336">
        <v>0</v>
      </c>
      <c r="MG19" s="336">
        <v>0</v>
      </c>
      <c r="MH19" s="336">
        <v>0</v>
      </c>
      <c r="MI19" s="336">
        <v>0</v>
      </c>
      <c r="MJ19" s="336">
        <v>0</v>
      </c>
      <c r="MK19" s="336">
        <v>0</v>
      </c>
      <c r="ML19" s="336">
        <v>0</v>
      </c>
      <c r="MM19" s="336">
        <v>0</v>
      </c>
      <c r="MN19" s="336">
        <v>0</v>
      </c>
      <c r="MO19" s="336">
        <v>0</v>
      </c>
      <c r="MP19" s="336">
        <v>0</v>
      </c>
      <c r="MQ19" s="336">
        <v>0</v>
      </c>
      <c r="MR19" s="336">
        <v>0</v>
      </c>
      <c r="MS19" s="336">
        <v>0</v>
      </c>
      <c r="MT19" s="336">
        <v>8938601</v>
      </c>
      <c r="MU19" s="336">
        <v>0</v>
      </c>
      <c r="MV19" s="336">
        <v>0</v>
      </c>
      <c r="MW19" s="336">
        <v>0</v>
      </c>
      <c r="MX19" s="336">
        <v>0</v>
      </c>
      <c r="MY19" s="336">
        <v>0</v>
      </c>
      <c r="MZ19" s="336">
        <v>0</v>
      </c>
      <c r="NA19" s="336">
        <v>0</v>
      </c>
      <c r="NB19" s="336">
        <v>0</v>
      </c>
      <c r="NC19" s="336">
        <v>1686838</v>
      </c>
      <c r="ND19" s="336">
        <v>627109</v>
      </c>
      <c r="NE19" s="336">
        <v>0</v>
      </c>
      <c r="NF19" s="336">
        <v>0</v>
      </c>
      <c r="NG19" s="336">
        <v>0</v>
      </c>
      <c r="NH19" s="336">
        <v>0</v>
      </c>
      <c r="NI19" s="336">
        <v>0</v>
      </c>
      <c r="NJ19" s="336">
        <v>0</v>
      </c>
      <c r="NK19" s="336">
        <v>0</v>
      </c>
      <c r="NL19" s="336">
        <v>0</v>
      </c>
      <c r="NM19" s="336">
        <v>0</v>
      </c>
      <c r="NN19" s="336">
        <v>0</v>
      </c>
      <c r="NO19" s="336">
        <v>0</v>
      </c>
      <c r="NP19" s="336">
        <v>0</v>
      </c>
      <c r="NQ19" s="336">
        <v>0</v>
      </c>
      <c r="NR19" s="336">
        <v>0</v>
      </c>
      <c r="NS19" s="336">
        <v>0</v>
      </c>
      <c r="NT19" s="336">
        <v>0</v>
      </c>
      <c r="NU19" s="336">
        <v>0</v>
      </c>
      <c r="NV19" s="336">
        <v>0</v>
      </c>
      <c r="NW19" s="336">
        <v>0</v>
      </c>
      <c r="NX19" s="336">
        <v>0</v>
      </c>
      <c r="NY19" s="336">
        <v>0</v>
      </c>
      <c r="NZ19" s="336">
        <v>0</v>
      </c>
      <c r="OA19" s="336">
        <v>0</v>
      </c>
      <c r="OB19" s="336">
        <v>0</v>
      </c>
      <c r="OC19" s="336">
        <v>0</v>
      </c>
      <c r="OD19" s="336">
        <v>1273167</v>
      </c>
      <c r="OE19" s="336">
        <v>1058958</v>
      </c>
      <c r="OF19" s="336">
        <v>0</v>
      </c>
      <c r="OG19" s="336">
        <v>208958</v>
      </c>
      <c r="OH19" s="336">
        <v>0</v>
      </c>
      <c r="OI19" s="336">
        <v>0</v>
      </c>
      <c r="OJ19" s="336">
        <v>0</v>
      </c>
      <c r="OK19" s="336">
        <v>0</v>
      </c>
      <c r="OL19" s="336">
        <v>0</v>
      </c>
      <c r="OM19" s="336">
        <v>6271</v>
      </c>
      <c r="ON19" s="336">
        <v>160310</v>
      </c>
      <c r="OO19" s="336">
        <v>0</v>
      </c>
      <c r="OP19" s="336">
        <v>5382</v>
      </c>
      <c r="OQ19" s="336">
        <v>0</v>
      </c>
      <c r="OR19" s="336">
        <v>0</v>
      </c>
      <c r="OS19" s="336">
        <v>0</v>
      </c>
      <c r="OT19" s="336">
        <v>0</v>
      </c>
      <c r="OU19" s="336">
        <v>10886</v>
      </c>
      <c r="OV19" s="336">
        <v>0</v>
      </c>
      <c r="OW19" s="336">
        <v>0</v>
      </c>
      <c r="OX19" s="336">
        <v>0</v>
      </c>
      <c r="OY19" s="336">
        <v>0</v>
      </c>
      <c r="OZ19" s="336">
        <v>0</v>
      </c>
      <c r="PA19" s="336">
        <v>0</v>
      </c>
      <c r="PB19" s="336">
        <v>0</v>
      </c>
      <c r="PC19" s="336">
        <v>0</v>
      </c>
      <c r="PD19" s="336">
        <v>0</v>
      </c>
      <c r="PE19" s="336">
        <v>1785631</v>
      </c>
      <c r="PF19" s="336">
        <v>1291182</v>
      </c>
      <c r="PG19" s="336">
        <v>0</v>
      </c>
      <c r="PH19" s="336">
        <v>-11351</v>
      </c>
      <c r="PI19" s="336">
        <v>0</v>
      </c>
      <c r="PJ19" s="336">
        <v>21257</v>
      </c>
      <c r="PK19" s="336">
        <v>0</v>
      </c>
      <c r="PL19" s="336">
        <v>0</v>
      </c>
      <c r="PM19" s="336">
        <v>0</v>
      </c>
      <c r="PN19" s="336">
        <v>0</v>
      </c>
      <c r="PO19" s="336">
        <v>0</v>
      </c>
      <c r="PP19" s="336">
        <v>0</v>
      </c>
      <c r="PQ19" s="336">
        <v>0</v>
      </c>
      <c r="PR19" s="336">
        <v>0</v>
      </c>
      <c r="PS19" s="336">
        <v>0</v>
      </c>
      <c r="PT19" s="336">
        <v>0</v>
      </c>
      <c r="PU19" s="336">
        <v>0</v>
      </c>
      <c r="PV19" s="336">
        <v>0</v>
      </c>
      <c r="PW19" s="336">
        <v>0</v>
      </c>
      <c r="PX19" s="336">
        <v>-389400</v>
      </c>
      <c r="PY19" s="336">
        <v>0</v>
      </c>
      <c r="PZ19" s="336">
        <v>0</v>
      </c>
      <c r="QA19" s="336">
        <v>0</v>
      </c>
      <c r="QB19" s="336">
        <v>0</v>
      </c>
      <c r="QC19" s="336">
        <v>0</v>
      </c>
      <c r="QD19" s="336">
        <v>0</v>
      </c>
      <c r="QE19" s="336">
        <v>0</v>
      </c>
      <c r="QF19" s="336">
        <v>0</v>
      </c>
      <c r="QG19" s="336">
        <v>3694003</v>
      </c>
      <c r="QH19" s="336">
        <v>0</v>
      </c>
      <c r="QI19" s="336">
        <v>0</v>
      </c>
      <c r="QJ19" s="336">
        <v>0</v>
      </c>
      <c r="QK19" s="336">
        <v>110730</v>
      </c>
      <c r="QL19" s="336">
        <v>0</v>
      </c>
      <c r="QM19" s="336">
        <v>0</v>
      </c>
      <c r="QN19" s="336">
        <v>0</v>
      </c>
      <c r="QO19" s="336">
        <v>0</v>
      </c>
      <c r="QP19" s="336">
        <v>0</v>
      </c>
      <c r="QQ19" s="336">
        <v>0</v>
      </c>
      <c r="QR19" s="336">
        <v>0</v>
      </c>
      <c r="QS19" s="336">
        <v>0</v>
      </c>
      <c r="QT19" s="336">
        <v>0</v>
      </c>
      <c r="QU19" s="336">
        <v>0</v>
      </c>
      <c r="QV19" s="336">
        <v>0</v>
      </c>
      <c r="QW19" s="336">
        <v>0</v>
      </c>
      <c r="QX19" s="336">
        <v>0</v>
      </c>
      <c r="QY19" s="336">
        <v>0</v>
      </c>
      <c r="QZ19" s="336">
        <v>0</v>
      </c>
      <c r="RA19" s="336">
        <v>0</v>
      </c>
      <c r="RB19" s="336">
        <v>0</v>
      </c>
      <c r="RC19" s="336">
        <v>0</v>
      </c>
      <c r="RD19" s="336">
        <v>0</v>
      </c>
      <c r="RE19" s="336">
        <v>0</v>
      </c>
      <c r="RF19" s="336">
        <v>0</v>
      </c>
      <c r="RG19" s="336">
        <v>0</v>
      </c>
      <c r="RH19" s="336">
        <v>0</v>
      </c>
      <c r="RI19" s="336">
        <v>0</v>
      </c>
      <c r="RJ19" s="336">
        <v>0</v>
      </c>
      <c r="RK19" s="336">
        <v>0</v>
      </c>
      <c r="RL19" s="336">
        <v>0</v>
      </c>
      <c r="RM19" s="336">
        <v>0</v>
      </c>
      <c r="RN19" s="336">
        <v>0</v>
      </c>
      <c r="RO19" s="336">
        <v>-2755383</v>
      </c>
      <c r="RP19" s="336">
        <v>0</v>
      </c>
      <c r="RQ19" s="336">
        <v>0</v>
      </c>
      <c r="RR19" s="336">
        <v>0</v>
      </c>
      <c r="RS19" s="336">
        <v>0</v>
      </c>
      <c r="RT19" s="336">
        <v>0</v>
      </c>
      <c r="RU19" s="336">
        <v>0</v>
      </c>
      <c r="RV19" s="336">
        <v>0</v>
      </c>
      <c r="RW19" s="336">
        <v>0</v>
      </c>
      <c r="RX19" s="336">
        <v>-19507</v>
      </c>
      <c r="RY19" s="336">
        <v>0</v>
      </c>
      <c r="RZ19" s="336">
        <v>0</v>
      </c>
      <c r="SA19" s="336">
        <v>0</v>
      </c>
      <c r="SB19" s="336">
        <v>0</v>
      </c>
      <c r="SC19" s="336">
        <v>0</v>
      </c>
      <c r="SD19" s="336">
        <v>0</v>
      </c>
      <c r="SE19" s="336">
        <v>0</v>
      </c>
      <c r="SF19" s="336">
        <v>0</v>
      </c>
      <c r="SG19" s="336">
        <v>0</v>
      </c>
      <c r="SH19" s="336">
        <v>0</v>
      </c>
      <c r="SI19" s="336">
        <v>0</v>
      </c>
      <c r="SJ19" s="336">
        <v>0</v>
      </c>
      <c r="SK19" s="336">
        <v>0</v>
      </c>
      <c r="SL19" s="336">
        <v>0</v>
      </c>
      <c r="SM19" s="336">
        <v>0</v>
      </c>
      <c r="SN19" s="336">
        <v>0</v>
      </c>
      <c r="SO19" s="336">
        <v>0</v>
      </c>
      <c r="SP19" s="336">
        <v>78794</v>
      </c>
      <c r="SQ19" s="336">
        <v>1273167</v>
      </c>
      <c r="SR19" s="336">
        <v>1058958</v>
      </c>
      <c r="SS19" s="336">
        <v>0</v>
      </c>
      <c r="ST19" s="336">
        <v>208958</v>
      </c>
      <c r="SU19" s="336">
        <v>0</v>
      </c>
      <c r="SV19" s="336">
        <v>0</v>
      </c>
      <c r="SW19" s="336">
        <v>0</v>
      </c>
      <c r="SX19" s="336">
        <v>0</v>
      </c>
      <c r="SY19" s="336">
        <v>0</v>
      </c>
      <c r="SZ19" s="336" t="s">
        <v>1420</v>
      </c>
      <c r="TA19" s="336" t="s">
        <v>1420</v>
      </c>
      <c r="TB19" s="336" t="s">
        <v>1420</v>
      </c>
      <c r="TC19" s="336">
        <v>0</v>
      </c>
      <c r="TD19" s="336">
        <v>65669</v>
      </c>
      <c r="TE19" s="336">
        <v>2250319</v>
      </c>
      <c r="TF19" s="336">
        <v>0</v>
      </c>
      <c r="TG19" s="336">
        <v>0</v>
      </c>
      <c r="TH19" s="336">
        <v>0</v>
      </c>
      <c r="TI19" s="336">
        <v>219723</v>
      </c>
      <c r="TJ19" s="336">
        <v>5372</v>
      </c>
      <c r="TK19" s="336">
        <v>0</v>
      </c>
      <c r="TL19" s="336">
        <v>0</v>
      </c>
      <c r="TM19" s="336">
        <v>0</v>
      </c>
      <c r="TN19" s="336">
        <v>0</v>
      </c>
      <c r="TO19" s="336">
        <v>80714</v>
      </c>
      <c r="TP19" s="336">
        <v>127084</v>
      </c>
      <c r="TQ19" s="336">
        <v>0</v>
      </c>
      <c r="TR19" s="336">
        <v>0</v>
      </c>
      <c r="TS19" s="336">
        <v>0</v>
      </c>
      <c r="TT19" s="336">
        <v>0</v>
      </c>
      <c r="TU19" s="336">
        <v>0</v>
      </c>
      <c r="TV19" s="336">
        <v>0</v>
      </c>
      <c r="TW19" s="336">
        <v>0</v>
      </c>
      <c r="TX19" s="336">
        <v>0</v>
      </c>
      <c r="TY19" s="336">
        <v>4961</v>
      </c>
      <c r="TZ19" s="336">
        <v>0</v>
      </c>
      <c r="UA19" s="336">
        <v>0</v>
      </c>
      <c r="UB19" s="336">
        <v>0</v>
      </c>
      <c r="UC19" s="336">
        <v>0</v>
      </c>
      <c r="UD19" s="336">
        <v>0</v>
      </c>
      <c r="UE19" s="336">
        <v>0</v>
      </c>
      <c r="UF19" s="336">
        <v>0</v>
      </c>
      <c r="UG19" s="336">
        <v>0</v>
      </c>
      <c r="UH19" s="336">
        <v>0</v>
      </c>
      <c r="UI19" s="338">
        <v>2474203</v>
      </c>
      <c r="UJ19" s="338">
        <v>161484125</v>
      </c>
      <c r="UK19" s="338">
        <v>0</v>
      </c>
      <c r="UL19" s="338">
        <v>0</v>
      </c>
      <c r="UM19" s="338">
        <v>0</v>
      </c>
      <c r="UN19" s="338">
        <v>8938601</v>
      </c>
      <c r="UO19" s="338">
        <v>2313947</v>
      </c>
      <c r="UP19" s="338">
        <v>0</v>
      </c>
      <c r="UQ19" s="338">
        <v>0</v>
      </c>
      <c r="UR19"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2541083</v>
      </c>
      <c r="US19" s="338">
        <f>SUM(Input[[#This Row],[Oth Exp E&amp;G]],Input[[#This Row],[Oth Exp Desg]],Input[[#This Row],[Oth Exp Aux]],Input[[#This Row],[Oth Exp R Exp]],Input[[#This Row],[Oth Exp Loan]],Input[[#This Row],[Oth Exp Annuity]],Input[[#This Row],[Oth Exp Unexp]],Input[[#This Row],[Oth Exp R of Ind]],Input[[#This Row],[Oth Exp Inv in P]])</f>
        <v>182849</v>
      </c>
      <c r="UT19" s="336">
        <v>0</v>
      </c>
      <c r="UU19" s="336">
        <v>0</v>
      </c>
      <c r="UV19" s="339" t="s">
        <v>1432</v>
      </c>
      <c r="UW19" s="340">
        <v>9798459761</v>
      </c>
      <c r="UX19" s="339" t="s">
        <v>1433</v>
      </c>
      <c r="UY19" s="339" t="s">
        <v>1579</v>
      </c>
      <c r="UZ19" s="340">
        <v>9793142257</v>
      </c>
      <c r="VA19" s="339" t="s">
        <v>1580</v>
      </c>
      <c r="VB19" s="341" t="str" cm="1">
        <f t="array" ref="VB19">IFERROR(_xlfn.IFS(Input[[#This Row],[Type]]="HRI",VLOOKUP(Input[[#This Row],[Institution Name]],FTSEHRI[],9,FALSE),Input[[#This Row],[Type]]="UNIV",VLOOKUP(Input[[#This Row],[Institution Name]],FTSEUNIV[],9,FALSE),OR(Input[[#This Row],[Type]]="TSTC",Input[[#This Row],[Type]]="LSC"),VLOOKUP(Input[[#This Row],[Institution Name]],FTSETSTC[],8,FALSE)),"N/A")</f>
        <v>N/A</v>
      </c>
      <c r="VC19" s="342" t="str" cm="1">
        <f t="array" ref="VC19">IFERROR(_xlfn.IFS(Input[[#This Row],[Type]]="HRI",VLOOKUP(Input[[#This Row],[Institution Name]],FTSEHRI[],11,FALSE),Input[[#This Row],[Type]]="UNIV",VLOOKUP(Input[[#This Row],[Institution Name]],FTSEUNIV[],11,FALSE),Input[[#This Row],[Type]]="TSTC",VLOOKUP(Input[[#This Row],[Institution Name]],FTSETSTC[],10,FALSE)),"N/A")</f>
        <v>N/A</v>
      </c>
      <c r="VD19"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79737357</v>
      </c>
      <c r="VE19"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19" s="338">
        <f>SUM(Input[[#This Row],[Fed G&amp;C E&amp;G]],Input[[#This Row],[Fed G&amp;C Desg]],Input[[#This Row],[Fed G&amp;C R Exp]],Input[[#This Row],[Fed G&amp;C Loan]],Input[[#This Row],[Fed G&amp;C Annuity]],Input[[#This Row],[Fed G&amp;C Unexp]],Input[[#This Row],[Fed G&amp;C R of Ind]],Input[[#This Row],[Fed G&amp;C Inv in P]])</f>
        <v>49893276</v>
      </c>
      <c r="VG19"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36169009</v>
      </c>
      <c r="VH19"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0</v>
      </c>
      <c r="VI19"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J19" s="338">
        <f>SUM(Input[[#This Row],[Oth Inc E&amp;G]],Input[[#This Row],[Oth Exp Desg]],Input[[#This Row],[Oth Exp R Exp]],Input[[#This Row],[Oth Exp Loan]],Input[[#This Row],[Oth Exp Annuity]],Input[[#This Row],[Oth Exp Unexp]],Input[[#This Row],[Oth Exp R of Ind]],Input[[#This Row],[Oth Exp Inv in P]])</f>
        <v>204085</v>
      </c>
      <c r="VK19" s="343">
        <f>SUM(Input[[#This Row],[Instr E&amp;G]],Input[[#This Row],[Instr Desg]],Input[[#This Row],[Instr R Exp]],Input[[#This Row],[Instr Loan]],Input[[#This Row],[Instr Annuity]],Input[[#This Row],[Instr Unexp]],Input[[#This Row],[Instr R of Ind]],Input[[#This Row],[Instr Inv in P]])</f>
        <v>0</v>
      </c>
      <c r="VL19" s="343">
        <f>SUM(Input[[#This Row],[Res E&amp;G]],Input[[#This Row],[Res Desg]],Input[[#This Row],[Res R Exp]],Input[[#This Row],[Res Loan]],Input[[#This Row],[Res Annuity]],Input[[#This Row],[Res Unexp]],Input[[#This Row],[Res R of Ind]],Input[[#This Row],[Res Inv in P]])</f>
        <v>2474203</v>
      </c>
      <c r="VM19" s="343">
        <f>SUM(Input[[#This Row],[Acad Sup E&amp;G]],Input[[#This Row],[Acad Sup Desg]],Input[[#This Row],[Acad Sup R Exp]],Input[[#This Row],[Acad Sup Loan]],Input[[#This Row],[Acad Sup Annuity]],Input[[#This Row],[Acad Sup Unexp]],Input[[#This Row],[Acad Sup R of Ind]],Input[[#This Row],[Acad Sup Inv in P]])</f>
        <v>0</v>
      </c>
      <c r="VN19" s="343">
        <f>SUM(Input[[#This Row],[Stu Svc E&amp;G]],Input[[#This Row],[Stu Svc Desg]],Input[[#This Row],[Stu Svc R Exp]],Input[[#This Row],[Stu Svc Loan]],Input[[#This Row],[Stu Svc Annuity]],Input[[#This Row],[Stu Svc Unexp]],Input[[#This Row],[Stu Svc R of Ind]],Input[[#This Row],[Stu Svc Inv in P]])</f>
        <v>0</v>
      </c>
      <c r="VO19" s="343">
        <f>SUM(Input[[#This Row],[Inst. Spt E&amp;G]],Input[[#This Row],[Inst. Spt Desg]],Input[[#This Row],[Inst. Spt R Exp]],Input[[#This Row],[Inst. Spt Loan]],Input[[#This Row],[Inst. Spt Annuity]],Input[[#This Row],[Inst. Spt Unexp]],Input[[#This Row],[Inst. Spt R of Ind]],Input[[#This Row],[Inst. Spt Inv in P]])</f>
        <v>8938601</v>
      </c>
      <c r="VP19" s="343">
        <f>SUM(Input[[#This Row],[M&amp;O Plnt E&amp;G]],Input[[#This Row],[M&amp;O Plnt Desg]],Input[[#This Row],[M&amp;O Plnt R Exp]],Input[[#This Row],[M&amp;O Plnt Loan]],Input[[#This Row],[M&amp;O Plnt Annuity]],Input[[#This Row],[M&amp;O Plnt Unexp]],Input[[#This Row],[M&amp;O Plnt R of Ind]],Input[[#This Row],[M&amp;O Plnt Inv in P]])</f>
        <v>2313947</v>
      </c>
      <c r="VQ19" s="343">
        <f>SUM(Input[[#This Row],[Schl &amp; Fell E&amp;G]],Input[[#This Row],[Schl &amp; Fell Desg]],Input[[#This Row],[Schl &amp; Fell R Exp]],Input[[#This Row],[Schl &amp; Fell Loan]],Input[[#This Row],[Schl &amp; Fell Annuity]],Input[[#This Row],[Schl &amp; Fell Unexp]],Input[[#This Row],[Schl &amp; Fell R of Ind]],Input[[#This Row],[Schl &amp; Fell Inv in P]])</f>
        <v>0</v>
      </c>
      <c r="VR19" s="343">
        <f>SUM(Input[[#This Row],[Cap Out fund E&amp;G]],Input[[#This Row],[Cap Out fund Desg]],Input[[#This Row],[Cap Out fund R Exp]],Input[[#This Row],[Cap Out fund Loan]],Input[[#This Row],[Cap Out fund Annuity]],Input[[#This Row],[Cap Out fund Unexp]],Input[[#This Row],[Cap Out fund R of Ind]],Input[[#This Row],[Cap Out fund Inv in P]])</f>
        <v>2541083</v>
      </c>
      <c r="VS19" s="343">
        <f>SUM(Input[[#This Row],[Oth Exp E&amp;G]],Input[[#This Row],[Oth Exp Desg]],Input[[#This Row],[Oth Exp R Exp]],Input[[#This Row],[Oth Exp Loan]],Input[[#This Row],[Oth Exp Annuity]],Input[[#This Row],[Oth Exp Unexp]],Input[[#This Row],[Oth Exp R of Ind]],Input[[#This Row],[Oth Exp Inv in P]],Input[[#This Row],[Oth Exp Inv in P]])</f>
        <v>193735</v>
      </c>
    </row>
    <row r="20" spans="1:591" s="344" customFormat="1" ht="27" customHeight="1" x14ac:dyDescent="0.55000000000000004">
      <c r="A20" s="339" t="s">
        <v>700</v>
      </c>
      <c r="B20" s="334" t="s">
        <v>830</v>
      </c>
      <c r="C20" s="350" t="s">
        <v>1914</v>
      </c>
      <c r="D20" s="334">
        <v>600</v>
      </c>
      <c r="E20" s="334" t="s">
        <v>1622</v>
      </c>
      <c r="F20" s="335">
        <v>556</v>
      </c>
      <c r="G20" s="336">
        <v>99437964</v>
      </c>
      <c r="H20" s="336">
        <v>0</v>
      </c>
      <c r="I20" s="336">
        <v>0</v>
      </c>
      <c r="J20" s="336">
        <v>0</v>
      </c>
      <c r="K20" s="336">
        <v>0</v>
      </c>
      <c r="L20" s="336">
        <v>0</v>
      </c>
      <c r="M20" s="336">
        <v>0</v>
      </c>
      <c r="N20" s="336">
        <v>0</v>
      </c>
      <c r="O20" s="336">
        <v>0</v>
      </c>
      <c r="P20" s="336">
        <v>0</v>
      </c>
      <c r="Q20" s="336">
        <v>212033</v>
      </c>
      <c r="R20" s="336">
        <v>0</v>
      </c>
      <c r="S20" s="336">
        <v>1552237</v>
      </c>
      <c r="T20" s="336">
        <v>0</v>
      </c>
      <c r="U20" s="336">
        <v>0</v>
      </c>
      <c r="V20" s="336">
        <v>0</v>
      </c>
      <c r="W20" s="336">
        <v>0</v>
      </c>
      <c r="X20" s="336">
        <v>0</v>
      </c>
      <c r="Y20" s="336">
        <v>0</v>
      </c>
      <c r="Z20" s="336">
        <v>0</v>
      </c>
      <c r="AA20" s="336">
        <v>0</v>
      </c>
      <c r="AB20" s="336">
        <v>0</v>
      </c>
      <c r="AC20" s="336">
        <v>0</v>
      </c>
      <c r="AD20" s="336">
        <v>0</v>
      </c>
      <c r="AE20" s="336">
        <v>0</v>
      </c>
      <c r="AF20" s="336">
        <v>0</v>
      </c>
      <c r="AG20" s="336">
        <v>0</v>
      </c>
      <c r="AH20" s="336">
        <v>0</v>
      </c>
      <c r="AI20" s="336">
        <v>0</v>
      </c>
      <c r="AJ20" s="336">
        <v>0</v>
      </c>
      <c r="AK20" s="336">
        <v>0</v>
      </c>
      <c r="AL20" s="336">
        <v>0</v>
      </c>
      <c r="AM20" s="336">
        <v>0</v>
      </c>
      <c r="AN20" s="336">
        <v>0</v>
      </c>
      <c r="AO20" s="336">
        <v>0</v>
      </c>
      <c r="AP20" s="336">
        <v>0</v>
      </c>
      <c r="AQ20" s="336">
        <v>0</v>
      </c>
      <c r="AR20" s="336">
        <v>0</v>
      </c>
      <c r="AS20" s="336">
        <v>0</v>
      </c>
      <c r="AT20" s="336">
        <v>0</v>
      </c>
      <c r="AU20" s="336">
        <v>0</v>
      </c>
      <c r="AV20" s="336">
        <v>0</v>
      </c>
      <c r="AW20" s="336">
        <v>0</v>
      </c>
      <c r="AX20" s="336">
        <v>0</v>
      </c>
      <c r="AY20" s="336">
        <v>0</v>
      </c>
      <c r="AZ20" s="336">
        <v>0</v>
      </c>
      <c r="BA20" s="336">
        <v>0</v>
      </c>
      <c r="BB20" s="336">
        <v>0</v>
      </c>
      <c r="BC20" s="336">
        <v>0</v>
      </c>
      <c r="BD20" s="336">
        <v>0</v>
      </c>
      <c r="BE20" s="336">
        <v>0</v>
      </c>
      <c r="BF20" s="336">
        <v>0</v>
      </c>
      <c r="BG20" s="336">
        <v>0</v>
      </c>
      <c r="BH20" s="336">
        <v>0</v>
      </c>
      <c r="BI20" s="336">
        <v>0</v>
      </c>
      <c r="BJ20" s="336">
        <v>0</v>
      </c>
      <c r="BK20" s="336">
        <v>0</v>
      </c>
      <c r="BL20" s="336">
        <v>0</v>
      </c>
      <c r="BM20" s="336">
        <v>0</v>
      </c>
      <c r="BN20" s="336">
        <v>0</v>
      </c>
      <c r="BO20" s="336">
        <v>0</v>
      </c>
      <c r="BP20" s="336">
        <v>0</v>
      </c>
      <c r="BQ20" s="336">
        <v>0</v>
      </c>
      <c r="BR20" s="336">
        <v>0</v>
      </c>
      <c r="BS20" s="336">
        <v>0</v>
      </c>
      <c r="BT20" s="336">
        <v>0</v>
      </c>
      <c r="BU20" s="336">
        <v>0</v>
      </c>
      <c r="BV20" s="336">
        <v>0</v>
      </c>
      <c r="BW20" s="336">
        <v>0</v>
      </c>
      <c r="BX20" s="336">
        <v>0</v>
      </c>
      <c r="BY20" s="336">
        <v>0</v>
      </c>
      <c r="BZ20" s="336">
        <v>0</v>
      </c>
      <c r="CA20" s="336">
        <v>0</v>
      </c>
      <c r="CB20" s="336">
        <v>0</v>
      </c>
      <c r="CC20" s="336">
        <v>0</v>
      </c>
      <c r="CD20" s="336">
        <v>0</v>
      </c>
      <c r="CE20" s="336">
        <v>0</v>
      </c>
      <c r="CF20" s="336">
        <v>0</v>
      </c>
      <c r="CG20" s="336">
        <v>0</v>
      </c>
      <c r="CH20" s="336">
        <v>0</v>
      </c>
      <c r="CI20" s="336">
        <v>0</v>
      </c>
      <c r="CJ20" s="336">
        <v>0</v>
      </c>
      <c r="CK20" s="336">
        <v>0</v>
      </c>
      <c r="CL20" s="336">
        <v>0</v>
      </c>
      <c r="CM20" s="336">
        <v>0</v>
      </c>
      <c r="CN20" s="336">
        <v>0</v>
      </c>
      <c r="CO20" s="336">
        <v>0</v>
      </c>
      <c r="CP20" s="336">
        <v>0</v>
      </c>
      <c r="CQ20" s="336">
        <v>0</v>
      </c>
      <c r="CR20" s="336">
        <v>0</v>
      </c>
      <c r="CS20" s="336">
        <v>0</v>
      </c>
      <c r="CT20" s="336">
        <v>0</v>
      </c>
      <c r="CU20" s="336">
        <v>0</v>
      </c>
      <c r="CV20" s="336">
        <v>0</v>
      </c>
      <c r="CW20" s="336">
        <v>0</v>
      </c>
      <c r="CX20" s="336">
        <v>0</v>
      </c>
      <c r="CY20" s="336">
        <v>0</v>
      </c>
      <c r="CZ20" s="336">
        <v>0</v>
      </c>
      <c r="DA20" s="336">
        <v>0</v>
      </c>
      <c r="DB20" s="336">
        <v>0</v>
      </c>
      <c r="DC20" s="336">
        <v>0</v>
      </c>
      <c r="DD20" s="336">
        <v>0</v>
      </c>
      <c r="DE20" s="336">
        <v>0</v>
      </c>
      <c r="DF20" s="336">
        <v>0</v>
      </c>
      <c r="DG20" s="336">
        <v>0</v>
      </c>
      <c r="DH20" s="336">
        <v>0</v>
      </c>
      <c r="DI20" s="336">
        <v>0</v>
      </c>
      <c r="DJ20" s="336">
        <v>0</v>
      </c>
      <c r="DK20" s="336">
        <v>0</v>
      </c>
      <c r="DL20" s="336">
        <v>0</v>
      </c>
      <c r="DM20" s="336">
        <v>0</v>
      </c>
      <c r="DN20" s="336">
        <v>0</v>
      </c>
      <c r="DO20" s="336">
        <v>0</v>
      </c>
      <c r="DP20" s="336">
        <v>0</v>
      </c>
      <c r="DQ20" s="336">
        <v>0</v>
      </c>
      <c r="DR20" s="336">
        <v>0</v>
      </c>
      <c r="DS20" s="336">
        <v>0</v>
      </c>
      <c r="DT20" s="336">
        <v>0</v>
      </c>
      <c r="DU20" s="336">
        <v>0</v>
      </c>
      <c r="DV20" s="336">
        <v>0</v>
      </c>
      <c r="DW20" s="336">
        <v>0</v>
      </c>
      <c r="DX20" s="336">
        <v>0</v>
      </c>
      <c r="DY20" s="336">
        <v>0</v>
      </c>
      <c r="DZ20" s="336">
        <v>0</v>
      </c>
      <c r="EA20" s="336">
        <v>0</v>
      </c>
      <c r="EB20" s="336">
        <v>0</v>
      </c>
      <c r="EC20" s="336">
        <v>0</v>
      </c>
      <c r="ED20" s="336">
        <v>0</v>
      </c>
      <c r="EE20" s="336">
        <v>0</v>
      </c>
      <c r="EF20" s="336">
        <v>0</v>
      </c>
      <c r="EG20" s="336">
        <v>0</v>
      </c>
      <c r="EH20" s="336">
        <v>0</v>
      </c>
      <c r="EI20" s="336">
        <v>0</v>
      </c>
      <c r="EJ20" s="336">
        <v>0</v>
      </c>
      <c r="EK20" s="336">
        <v>0</v>
      </c>
      <c r="EL20" s="336">
        <v>0</v>
      </c>
      <c r="EM20" s="336">
        <v>0</v>
      </c>
      <c r="EN20" s="336">
        <v>0</v>
      </c>
      <c r="EO20" s="336">
        <v>0</v>
      </c>
      <c r="EP20" s="336">
        <v>0</v>
      </c>
      <c r="EQ20" s="336">
        <v>0</v>
      </c>
      <c r="ER20" s="336">
        <v>0</v>
      </c>
      <c r="ES20" s="336">
        <v>0</v>
      </c>
      <c r="ET20" s="336">
        <v>0</v>
      </c>
      <c r="EU20" s="336">
        <v>0</v>
      </c>
      <c r="EV20" s="336">
        <v>0</v>
      </c>
      <c r="EW20" s="336">
        <v>0</v>
      </c>
      <c r="EX20" s="336">
        <v>0</v>
      </c>
      <c r="EY20" s="336">
        <v>0</v>
      </c>
      <c r="EZ20" s="336">
        <v>0</v>
      </c>
      <c r="FA20" s="336">
        <v>0</v>
      </c>
      <c r="FB20" s="336">
        <v>0</v>
      </c>
      <c r="FC20" s="336">
        <v>0</v>
      </c>
      <c r="FD20" s="336">
        <v>0</v>
      </c>
      <c r="FE20" s="336">
        <v>0</v>
      </c>
      <c r="FF20" s="336">
        <v>0</v>
      </c>
      <c r="FG20" s="336">
        <v>0</v>
      </c>
      <c r="FH20" s="336">
        <v>0</v>
      </c>
      <c r="FI20" s="336">
        <v>0</v>
      </c>
      <c r="FJ20" s="336">
        <v>0</v>
      </c>
      <c r="FK20" s="336">
        <v>0</v>
      </c>
      <c r="FL20" s="336">
        <v>0</v>
      </c>
      <c r="FM20" s="336">
        <v>0</v>
      </c>
      <c r="FN20" s="336">
        <v>0</v>
      </c>
      <c r="FO20" s="336">
        <v>0</v>
      </c>
      <c r="FP20" s="336">
        <v>0</v>
      </c>
      <c r="FQ20" s="336">
        <v>0</v>
      </c>
      <c r="FR20" s="336">
        <v>0</v>
      </c>
      <c r="FS20" s="336">
        <v>0</v>
      </c>
      <c r="FT20" s="336">
        <v>0</v>
      </c>
      <c r="FU20" s="336">
        <v>0</v>
      </c>
      <c r="FV20" s="336">
        <v>0</v>
      </c>
      <c r="FW20" s="336">
        <v>0</v>
      </c>
      <c r="FX20" s="336">
        <v>0</v>
      </c>
      <c r="FY20" s="336">
        <v>0</v>
      </c>
      <c r="FZ20" s="336">
        <v>0</v>
      </c>
      <c r="GA20" s="336">
        <v>0</v>
      </c>
      <c r="GB20" s="336">
        <v>0</v>
      </c>
      <c r="GC20" s="336">
        <v>0</v>
      </c>
      <c r="GD20" s="336">
        <v>0</v>
      </c>
      <c r="GE20" s="336">
        <v>0</v>
      </c>
      <c r="GF20" s="336">
        <v>0</v>
      </c>
      <c r="GG20" s="336">
        <v>0</v>
      </c>
      <c r="GH20" s="336">
        <v>0</v>
      </c>
      <c r="GI20" s="336">
        <v>0</v>
      </c>
      <c r="GJ20" s="336">
        <v>0</v>
      </c>
      <c r="GK20" s="336">
        <v>0</v>
      </c>
      <c r="GL20" s="336">
        <v>0</v>
      </c>
      <c r="GM20" s="336">
        <v>0</v>
      </c>
      <c r="GN20" s="336">
        <v>0</v>
      </c>
      <c r="GO20" s="336">
        <v>0</v>
      </c>
      <c r="GP20" s="336">
        <v>0</v>
      </c>
      <c r="GQ20" s="336">
        <v>0</v>
      </c>
      <c r="GR20" s="336">
        <v>0</v>
      </c>
      <c r="GS20" s="336">
        <v>0</v>
      </c>
      <c r="GT20" s="336">
        <v>0</v>
      </c>
      <c r="GU20" s="336">
        <v>0</v>
      </c>
      <c r="GV20" s="336">
        <v>0</v>
      </c>
      <c r="GW20" s="336">
        <v>0</v>
      </c>
      <c r="GX20" s="336">
        <v>0</v>
      </c>
      <c r="GY20" s="336">
        <v>0</v>
      </c>
      <c r="GZ20" s="336">
        <v>0</v>
      </c>
      <c r="HA20" s="336">
        <v>0</v>
      </c>
      <c r="HB20" s="336">
        <v>0</v>
      </c>
      <c r="HC20" s="336">
        <v>0</v>
      </c>
      <c r="HD20" s="336">
        <v>0</v>
      </c>
      <c r="HE20" s="336">
        <v>0</v>
      </c>
      <c r="HF20" s="336">
        <v>0</v>
      </c>
      <c r="HG20" s="336">
        <v>0</v>
      </c>
      <c r="HH20" s="336">
        <v>0</v>
      </c>
      <c r="HI20" s="336">
        <v>0</v>
      </c>
      <c r="HJ20" s="336">
        <v>0</v>
      </c>
      <c r="HK20" s="336">
        <v>0</v>
      </c>
      <c r="HL20" s="336">
        <v>0</v>
      </c>
      <c r="HM20" s="336">
        <v>0</v>
      </c>
      <c r="HN20" s="336">
        <v>0</v>
      </c>
      <c r="HO20" s="336">
        <v>10169680</v>
      </c>
      <c r="HP20" s="336">
        <v>20781413</v>
      </c>
      <c r="HQ20" s="336">
        <v>0</v>
      </c>
      <c r="HR20" s="336">
        <v>98289890</v>
      </c>
      <c r="HS20" s="336">
        <v>0</v>
      </c>
      <c r="HT20" s="336">
        <v>0</v>
      </c>
      <c r="HU20" s="336">
        <v>0</v>
      </c>
      <c r="HV20" s="336">
        <v>0</v>
      </c>
      <c r="HW20" s="336">
        <v>0</v>
      </c>
      <c r="HX20" s="336">
        <v>0</v>
      </c>
      <c r="HY20" s="336">
        <v>0</v>
      </c>
      <c r="HZ20" s="336">
        <v>0</v>
      </c>
      <c r="IA20" s="336">
        <v>0</v>
      </c>
      <c r="IB20" s="336">
        <v>0</v>
      </c>
      <c r="IC20" s="336">
        <v>0</v>
      </c>
      <c r="ID20" s="336">
        <v>0</v>
      </c>
      <c r="IE20" s="336">
        <v>0</v>
      </c>
      <c r="IF20" s="336">
        <v>0</v>
      </c>
      <c r="IG20" s="336">
        <v>0</v>
      </c>
      <c r="IH20" s="336">
        <v>0</v>
      </c>
      <c r="II20" s="336">
        <v>0</v>
      </c>
      <c r="IJ20" s="336">
        <v>0</v>
      </c>
      <c r="IK20" s="336">
        <v>0</v>
      </c>
      <c r="IL20" s="336">
        <v>0</v>
      </c>
      <c r="IM20" s="336">
        <v>0</v>
      </c>
      <c r="IN20" s="336">
        <v>0</v>
      </c>
      <c r="IO20" s="336">
        <v>0</v>
      </c>
      <c r="IP20" s="336">
        <v>0</v>
      </c>
      <c r="IQ20" s="336">
        <v>6416767</v>
      </c>
      <c r="IR20" s="336">
        <v>0</v>
      </c>
      <c r="IS20" s="336">
        <v>303442</v>
      </c>
      <c r="IT20" s="336">
        <v>0</v>
      </c>
      <c r="IU20" s="336">
        <v>0</v>
      </c>
      <c r="IV20" s="336">
        <v>0</v>
      </c>
      <c r="IW20" s="336">
        <v>0</v>
      </c>
      <c r="IX20" s="336">
        <v>0</v>
      </c>
      <c r="IY20" s="336">
        <v>0</v>
      </c>
      <c r="IZ20" s="336">
        <v>53343</v>
      </c>
      <c r="JA20" s="336">
        <v>0</v>
      </c>
      <c r="JB20" s="336">
        <v>395494</v>
      </c>
      <c r="JC20" s="336">
        <v>0</v>
      </c>
      <c r="JD20" s="336">
        <v>0</v>
      </c>
      <c r="JE20" s="336">
        <v>0</v>
      </c>
      <c r="JF20" s="336">
        <v>0</v>
      </c>
      <c r="JG20" s="336">
        <v>0</v>
      </c>
      <c r="JH20" s="336">
        <v>0</v>
      </c>
      <c r="JI20" s="336">
        <v>6980781</v>
      </c>
      <c r="JJ20" s="336">
        <v>0</v>
      </c>
      <c r="JK20" s="336">
        <v>14275989</v>
      </c>
      <c r="JL20" s="336">
        <v>0</v>
      </c>
      <c r="JM20" s="336">
        <v>0</v>
      </c>
      <c r="JN20" s="336">
        <v>0</v>
      </c>
      <c r="JO20" s="336">
        <v>0</v>
      </c>
      <c r="JP20" s="336">
        <v>0</v>
      </c>
      <c r="JQ20" s="336">
        <v>7621501</v>
      </c>
      <c r="JR20" s="336">
        <v>22711976</v>
      </c>
      <c r="JS20" s="336">
        <v>0</v>
      </c>
      <c r="JT20" s="336">
        <v>0</v>
      </c>
      <c r="JU20" s="336">
        <v>0</v>
      </c>
      <c r="JV20" s="336">
        <v>0</v>
      </c>
      <c r="JW20" s="336">
        <v>0</v>
      </c>
      <c r="JX20" s="336">
        <v>0</v>
      </c>
      <c r="JY20" s="336">
        <v>0</v>
      </c>
      <c r="JZ20" s="336">
        <v>0</v>
      </c>
      <c r="KA20" s="336">
        <v>0</v>
      </c>
      <c r="KB20" s="336">
        <v>0</v>
      </c>
      <c r="KC20" s="336">
        <v>0</v>
      </c>
      <c r="KD20" s="336">
        <v>0</v>
      </c>
      <c r="KE20" s="336">
        <v>0</v>
      </c>
      <c r="KF20" s="336">
        <v>0</v>
      </c>
      <c r="KG20" s="336">
        <v>0</v>
      </c>
      <c r="KH20" s="336">
        <v>0</v>
      </c>
      <c r="KI20" s="336">
        <v>93916</v>
      </c>
      <c r="KJ20" s="336">
        <v>1937258</v>
      </c>
      <c r="KK20" s="336">
        <v>0</v>
      </c>
      <c r="KL20" s="336">
        <v>1285000</v>
      </c>
      <c r="KM20" s="336">
        <v>0</v>
      </c>
      <c r="KN20" s="336">
        <v>0</v>
      </c>
      <c r="KO20" s="336">
        <v>0</v>
      </c>
      <c r="KP20" s="336">
        <v>0</v>
      </c>
      <c r="KQ20" s="336">
        <v>-33804</v>
      </c>
      <c r="KR20" s="336">
        <v>0</v>
      </c>
      <c r="KS20" s="336">
        <v>0</v>
      </c>
      <c r="KT20" s="336">
        <v>0</v>
      </c>
      <c r="KU20" s="336">
        <v>0</v>
      </c>
      <c r="KV20" s="336">
        <v>0</v>
      </c>
      <c r="KW20" s="336">
        <v>0</v>
      </c>
      <c r="KX20" s="336">
        <v>0</v>
      </c>
      <c r="KY20" s="336">
        <v>0</v>
      </c>
      <c r="KZ20" s="336">
        <v>0</v>
      </c>
      <c r="LA20" s="336">
        <v>101630417</v>
      </c>
      <c r="LB20" s="336">
        <v>54506850</v>
      </c>
      <c r="LC20" s="336">
        <v>0</v>
      </c>
      <c r="LD20" s="336">
        <v>101806660</v>
      </c>
      <c r="LE20" s="336">
        <v>0</v>
      </c>
      <c r="LF20" s="336">
        <v>0</v>
      </c>
      <c r="LG20" s="336">
        <v>2419484</v>
      </c>
      <c r="LH20" s="336">
        <v>0</v>
      </c>
      <c r="LI20" s="336">
        <v>0</v>
      </c>
      <c r="LJ20" s="336">
        <v>6538637</v>
      </c>
      <c r="LK20" s="336">
        <v>0</v>
      </c>
      <c r="LL20" s="336">
        <v>0</v>
      </c>
      <c r="LM20" s="336">
        <v>68230</v>
      </c>
      <c r="LN20" s="336">
        <v>0</v>
      </c>
      <c r="LO20" s="336">
        <v>0</v>
      </c>
      <c r="LP20" s="336">
        <v>0</v>
      </c>
      <c r="LQ20" s="336">
        <v>0</v>
      </c>
      <c r="LR20" s="336">
        <v>0</v>
      </c>
      <c r="LS20" s="336">
        <v>0</v>
      </c>
      <c r="LT20" s="336">
        <v>0</v>
      </c>
      <c r="LU20" s="336">
        <v>0</v>
      </c>
      <c r="LV20" s="336">
        <v>0</v>
      </c>
      <c r="LW20" s="336">
        <v>0</v>
      </c>
      <c r="LX20" s="336">
        <v>0</v>
      </c>
      <c r="LY20" s="336">
        <v>0</v>
      </c>
      <c r="LZ20" s="336">
        <v>0</v>
      </c>
      <c r="MA20" s="336">
        <v>0</v>
      </c>
      <c r="MB20" s="336">
        <v>0</v>
      </c>
      <c r="MC20" s="336">
        <v>0</v>
      </c>
      <c r="MD20" s="336">
        <v>0</v>
      </c>
      <c r="ME20" s="336">
        <v>0</v>
      </c>
      <c r="MF20" s="336">
        <v>0</v>
      </c>
      <c r="MG20" s="336">
        <v>0</v>
      </c>
      <c r="MH20" s="336">
        <v>0</v>
      </c>
      <c r="MI20" s="336">
        <v>0</v>
      </c>
      <c r="MJ20" s="336">
        <v>0</v>
      </c>
      <c r="MK20" s="336">
        <v>0</v>
      </c>
      <c r="ML20" s="336">
        <v>0</v>
      </c>
      <c r="MM20" s="336">
        <v>0</v>
      </c>
      <c r="MN20" s="336">
        <v>0</v>
      </c>
      <c r="MO20" s="336">
        <v>0</v>
      </c>
      <c r="MP20" s="336">
        <v>0</v>
      </c>
      <c r="MQ20" s="336">
        <v>0</v>
      </c>
      <c r="MR20" s="336">
        <v>0</v>
      </c>
      <c r="MS20" s="336">
        <v>0</v>
      </c>
      <c r="MT20" s="336">
        <v>0</v>
      </c>
      <c r="MU20" s="336">
        <v>0</v>
      </c>
      <c r="MV20" s="336">
        <v>0</v>
      </c>
      <c r="MW20" s="336">
        <v>0</v>
      </c>
      <c r="MX20" s="336">
        <v>0</v>
      </c>
      <c r="MY20" s="336">
        <v>0</v>
      </c>
      <c r="MZ20" s="336">
        <v>0</v>
      </c>
      <c r="NA20" s="336">
        <v>0</v>
      </c>
      <c r="NB20" s="336">
        <v>0</v>
      </c>
      <c r="NC20" s="336">
        <v>0</v>
      </c>
      <c r="ND20" s="336">
        <v>0</v>
      </c>
      <c r="NE20" s="336">
        <v>0</v>
      </c>
      <c r="NF20" s="336">
        <v>0</v>
      </c>
      <c r="NG20" s="336">
        <v>0</v>
      </c>
      <c r="NH20" s="336">
        <v>0</v>
      </c>
      <c r="NI20" s="336">
        <v>0</v>
      </c>
      <c r="NJ20" s="336">
        <v>0</v>
      </c>
      <c r="NK20" s="336">
        <v>0</v>
      </c>
      <c r="NL20" s="336">
        <v>0</v>
      </c>
      <c r="NM20" s="336">
        <v>0</v>
      </c>
      <c r="NN20" s="336">
        <v>0</v>
      </c>
      <c r="NO20" s="336">
        <v>0</v>
      </c>
      <c r="NP20" s="336">
        <v>0</v>
      </c>
      <c r="NQ20" s="336">
        <v>0</v>
      </c>
      <c r="NR20" s="336">
        <v>0</v>
      </c>
      <c r="NS20" s="336">
        <v>0</v>
      </c>
      <c r="NT20" s="336">
        <v>0</v>
      </c>
      <c r="NU20" s="336">
        <v>0</v>
      </c>
      <c r="NV20" s="336">
        <v>0</v>
      </c>
      <c r="NW20" s="336">
        <v>0</v>
      </c>
      <c r="NX20" s="336">
        <v>0</v>
      </c>
      <c r="NY20" s="336">
        <v>0</v>
      </c>
      <c r="NZ20" s="336">
        <v>0</v>
      </c>
      <c r="OA20" s="336">
        <v>0</v>
      </c>
      <c r="OB20" s="336">
        <v>0</v>
      </c>
      <c r="OC20" s="336">
        <v>0</v>
      </c>
      <c r="OD20" s="336">
        <v>13614126</v>
      </c>
      <c r="OE20" s="336">
        <v>-2926058</v>
      </c>
      <c r="OF20" s="336">
        <v>0</v>
      </c>
      <c r="OG20" s="336">
        <v>12976439</v>
      </c>
      <c r="OH20" s="336">
        <v>0</v>
      </c>
      <c r="OI20" s="336">
        <v>0</v>
      </c>
      <c r="OJ20" s="336">
        <v>0</v>
      </c>
      <c r="OK20" s="336">
        <v>0</v>
      </c>
      <c r="OL20" s="336">
        <v>0</v>
      </c>
      <c r="OM20" s="336">
        <v>0</v>
      </c>
      <c r="ON20" s="336">
        <v>452151</v>
      </c>
      <c r="OO20" s="336">
        <v>0</v>
      </c>
      <c r="OP20" s="336">
        <v>0</v>
      </c>
      <c r="OQ20" s="336">
        <v>0</v>
      </c>
      <c r="OR20" s="336">
        <v>0</v>
      </c>
      <c r="OS20" s="336">
        <v>0</v>
      </c>
      <c r="OT20" s="336">
        <v>0</v>
      </c>
      <c r="OU20" s="336">
        <v>1691697</v>
      </c>
      <c r="OV20" s="336">
        <v>0</v>
      </c>
      <c r="OW20" s="336">
        <v>0</v>
      </c>
      <c r="OX20" s="336">
        <v>0</v>
      </c>
      <c r="OY20" s="336">
        <v>0</v>
      </c>
      <c r="OZ20" s="336">
        <v>0</v>
      </c>
      <c r="PA20" s="336">
        <v>0</v>
      </c>
      <c r="PB20" s="336">
        <v>271668</v>
      </c>
      <c r="PC20" s="336">
        <v>0</v>
      </c>
      <c r="PD20" s="336">
        <v>0</v>
      </c>
      <c r="PE20" s="336">
        <v>379867</v>
      </c>
      <c r="PF20" s="336">
        <v>-1447127</v>
      </c>
      <c r="PG20" s="336">
        <v>0</v>
      </c>
      <c r="PH20" s="336">
        <v>1735163</v>
      </c>
      <c r="PI20" s="336">
        <v>0</v>
      </c>
      <c r="PJ20" s="336">
        <v>-98646</v>
      </c>
      <c r="PK20" s="336">
        <v>4046200</v>
      </c>
      <c r="PL20" s="336">
        <v>0</v>
      </c>
      <c r="PM20" s="336">
        <v>98393</v>
      </c>
      <c r="PN20" s="336">
        <v>0</v>
      </c>
      <c r="PO20" s="336">
        <v>0</v>
      </c>
      <c r="PP20" s="336">
        <v>0</v>
      </c>
      <c r="PQ20" s="336">
        <v>0</v>
      </c>
      <c r="PR20" s="336">
        <v>0</v>
      </c>
      <c r="PS20" s="336">
        <v>0</v>
      </c>
      <c r="PT20" s="336">
        <v>0</v>
      </c>
      <c r="PU20" s="336">
        <v>0</v>
      </c>
      <c r="PV20" s="336">
        <v>0</v>
      </c>
      <c r="PW20" s="336">
        <v>0</v>
      </c>
      <c r="PX20" s="336">
        <v>-1763365</v>
      </c>
      <c r="PY20" s="336">
        <v>0</v>
      </c>
      <c r="PZ20" s="336">
        <v>0</v>
      </c>
      <c r="QA20" s="336">
        <v>0</v>
      </c>
      <c r="QB20" s="336">
        <v>0</v>
      </c>
      <c r="QC20" s="336">
        <v>0</v>
      </c>
      <c r="QD20" s="336">
        <v>0</v>
      </c>
      <c r="QE20" s="336">
        <v>0</v>
      </c>
      <c r="QF20" s="336">
        <v>1116981</v>
      </c>
      <c r="QG20" s="336">
        <v>12865606</v>
      </c>
      <c r="QH20" s="336">
        <v>0</v>
      </c>
      <c r="QI20" s="336">
        <v>865226</v>
      </c>
      <c r="QJ20" s="336">
        <v>0</v>
      </c>
      <c r="QK20" s="336">
        <v>3660072</v>
      </c>
      <c r="QL20" s="336">
        <v>0</v>
      </c>
      <c r="QM20" s="336">
        <v>0</v>
      </c>
      <c r="QN20" s="336">
        <v>0</v>
      </c>
      <c r="QO20" s="336">
        <v>0</v>
      </c>
      <c r="QP20" s="336">
        <v>0</v>
      </c>
      <c r="QQ20" s="336">
        <v>0</v>
      </c>
      <c r="QR20" s="336">
        <v>0</v>
      </c>
      <c r="QS20" s="336">
        <v>0</v>
      </c>
      <c r="QT20" s="336">
        <v>0</v>
      </c>
      <c r="QU20" s="336">
        <v>0</v>
      </c>
      <c r="QV20" s="336">
        <v>0</v>
      </c>
      <c r="QW20" s="336">
        <v>0</v>
      </c>
      <c r="QX20" s="336">
        <v>0</v>
      </c>
      <c r="QY20" s="336">
        <v>0</v>
      </c>
      <c r="QZ20" s="336">
        <v>0</v>
      </c>
      <c r="RA20" s="336">
        <v>0</v>
      </c>
      <c r="RB20" s="336">
        <v>0</v>
      </c>
      <c r="RC20" s="336">
        <v>0</v>
      </c>
      <c r="RD20" s="336">
        <v>0</v>
      </c>
      <c r="RE20" s="336">
        <v>0</v>
      </c>
      <c r="RF20" s="336">
        <v>0</v>
      </c>
      <c r="RG20" s="336">
        <v>0</v>
      </c>
      <c r="RH20" s="336">
        <v>0</v>
      </c>
      <c r="RI20" s="336">
        <v>0</v>
      </c>
      <c r="RJ20" s="336">
        <v>0</v>
      </c>
      <c r="RK20" s="336">
        <v>0</v>
      </c>
      <c r="RL20" s="336">
        <v>0</v>
      </c>
      <c r="RM20" s="336">
        <v>0</v>
      </c>
      <c r="RN20" s="336">
        <v>0</v>
      </c>
      <c r="RO20" s="336">
        <v>-17239695</v>
      </c>
      <c r="RP20" s="336">
        <v>0</v>
      </c>
      <c r="RQ20" s="336">
        <v>0</v>
      </c>
      <c r="RR20" s="336">
        <v>0</v>
      </c>
      <c r="RS20" s="336">
        <v>0</v>
      </c>
      <c r="RT20" s="336">
        <v>0</v>
      </c>
      <c r="RU20" s="336">
        <v>0</v>
      </c>
      <c r="RV20" s="336">
        <v>0</v>
      </c>
      <c r="RW20" s="336">
        <v>0</v>
      </c>
      <c r="RX20" s="336">
        <v>3624848</v>
      </c>
      <c r="RY20" s="336">
        <v>0</v>
      </c>
      <c r="RZ20" s="336">
        <v>0</v>
      </c>
      <c r="SA20" s="336">
        <v>0</v>
      </c>
      <c r="SB20" s="336">
        <v>0</v>
      </c>
      <c r="SC20" s="336">
        <v>0</v>
      </c>
      <c r="SD20" s="336">
        <v>0</v>
      </c>
      <c r="SE20" s="336">
        <v>0</v>
      </c>
      <c r="SF20" s="336">
        <v>0</v>
      </c>
      <c r="SG20" s="336">
        <v>0</v>
      </c>
      <c r="SH20" s="336">
        <v>0</v>
      </c>
      <c r="SI20" s="336">
        <v>0</v>
      </c>
      <c r="SJ20" s="336">
        <v>0</v>
      </c>
      <c r="SK20" s="336">
        <v>0</v>
      </c>
      <c r="SL20" s="336">
        <v>0</v>
      </c>
      <c r="SM20" s="336">
        <v>0</v>
      </c>
      <c r="SN20" s="336">
        <v>0</v>
      </c>
      <c r="SO20" s="336">
        <v>0</v>
      </c>
      <c r="SP20" s="336">
        <v>8314841</v>
      </c>
      <c r="SQ20" s="336">
        <v>13614126</v>
      </c>
      <c r="SR20" s="336">
        <v>-2926058</v>
      </c>
      <c r="SS20" s="336">
        <v>0</v>
      </c>
      <c r="ST20" s="336">
        <v>12976439</v>
      </c>
      <c r="SU20" s="336">
        <v>0</v>
      </c>
      <c r="SV20" s="336">
        <v>0</v>
      </c>
      <c r="SW20" s="336">
        <v>-271668</v>
      </c>
      <c r="SX20" s="336">
        <v>0</v>
      </c>
      <c r="SY20" s="336">
        <v>0</v>
      </c>
      <c r="SZ20" s="336" t="s">
        <v>1420</v>
      </c>
      <c r="TA20" s="336" t="s">
        <v>1420</v>
      </c>
      <c r="TB20" s="336" t="s">
        <v>1420</v>
      </c>
      <c r="TC20" s="336">
        <v>0</v>
      </c>
      <c r="TD20" s="336">
        <v>23547394</v>
      </c>
      <c r="TE20" s="336">
        <v>117113</v>
      </c>
      <c r="TF20" s="336">
        <v>0</v>
      </c>
      <c r="TG20" s="336">
        <v>0</v>
      </c>
      <c r="TH20" s="336">
        <v>0</v>
      </c>
      <c r="TI20" s="336">
        <v>0</v>
      </c>
      <c r="TJ20" s="336">
        <v>0</v>
      </c>
      <c r="TK20" s="336">
        <v>0</v>
      </c>
      <c r="TL20" s="336">
        <v>0</v>
      </c>
      <c r="TM20" s="336">
        <v>0</v>
      </c>
      <c r="TN20" s="336">
        <v>0</v>
      </c>
      <c r="TO20" s="336">
        <v>3605831</v>
      </c>
      <c r="TP20" s="336">
        <v>0</v>
      </c>
      <c r="TQ20" s="336">
        <v>0</v>
      </c>
      <c r="TR20" s="336">
        <v>0</v>
      </c>
      <c r="TS20" s="336">
        <v>0</v>
      </c>
      <c r="TT20" s="336">
        <v>0</v>
      </c>
      <c r="TU20" s="336">
        <v>0</v>
      </c>
      <c r="TV20" s="336">
        <v>0</v>
      </c>
      <c r="TW20" s="336">
        <v>0</v>
      </c>
      <c r="TX20" s="336">
        <v>244719</v>
      </c>
      <c r="TY20" s="336">
        <v>0</v>
      </c>
      <c r="TZ20" s="336">
        <v>0</v>
      </c>
      <c r="UA20" s="336">
        <v>0</v>
      </c>
      <c r="UB20" s="336">
        <v>0</v>
      </c>
      <c r="UC20" s="336">
        <v>0</v>
      </c>
      <c r="UD20" s="336">
        <v>0</v>
      </c>
      <c r="UE20" s="336">
        <v>0</v>
      </c>
      <c r="UF20" s="336">
        <v>0</v>
      </c>
      <c r="UG20" s="336">
        <v>0</v>
      </c>
      <c r="UH20" s="336">
        <v>0</v>
      </c>
      <c r="UI20" s="338">
        <v>260363411</v>
      </c>
      <c r="UJ20" s="338">
        <v>6606867</v>
      </c>
      <c r="UK20" s="338">
        <v>0</v>
      </c>
      <c r="UL20" s="338">
        <v>0</v>
      </c>
      <c r="UM20" s="338">
        <v>0</v>
      </c>
      <c r="UN20" s="338">
        <v>0</v>
      </c>
      <c r="UO20" s="338">
        <v>0</v>
      </c>
      <c r="UP20" s="338">
        <v>0</v>
      </c>
      <c r="UQ20" s="338">
        <v>0</v>
      </c>
      <c r="UR20"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23664507</v>
      </c>
      <c r="US20" s="338">
        <f>SUM(Input[[#This Row],[Oth Exp E&amp;G]],Input[[#This Row],[Oth Exp Desg]],Input[[#This Row],[Oth Exp Aux]],Input[[#This Row],[Oth Exp R Exp]],Input[[#This Row],[Oth Exp Loan]],Input[[#This Row],[Oth Exp Annuity]],Input[[#This Row],[Oth Exp Unexp]],Input[[#This Row],[Oth Exp R of Ind]],Input[[#This Row],[Oth Exp Inv in P]])</f>
        <v>2143848</v>
      </c>
      <c r="UT20" s="336">
        <v>2928400</v>
      </c>
      <c r="UU20" s="336">
        <v>18507885</v>
      </c>
      <c r="UV20" s="339" t="s">
        <v>1577</v>
      </c>
      <c r="UW20" s="340">
        <v>9793145898</v>
      </c>
      <c r="UX20" s="339" t="s">
        <v>1578</v>
      </c>
      <c r="UY20" s="339" t="s">
        <v>1436</v>
      </c>
      <c r="UZ20" s="340"/>
      <c r="VA20" s="339"/>
      <c r="VB20" s="341" t="str" cm="1">
        <f t="array" ref="VB20">IFERROR(_xlfn.IFS(Input[[#This Row],[Type]]="HRI",VLOOKUP(Input[[#This Row],[Institution Name]],FTSEHRI[],9,FALSE),Input[[#This Row],[Type]]="UNIV",VLOOKUP(Input[[#This Row],[Institution Name]],FTSEUNIV[],9,FALSE),OR(Input[[#This Row],[Type]]="TSTC",Input[[#This Row],[Type]]="LSC"),VLOOKUP(Input[[#This Row],[Institution Name]],FTSETSTC[],8,FALSE)),"N/A")</f>
        <v>N/A</v>
      </c>
      <c r="VC20" s="342" t="str" cm="1">
        <f t="array" ref="VC20">IFERROR(_xlfn.IFS(Input[[#This Row],[Type]]="HRI",VLOOKUP(Input[[#This Row],[Institution Name]],FTSEHRI[],11,FALSE),Input[[#This Row],[Type]]="UNIV",VLOOKUP(Input[[#This Row],[Institution Name]],FTSEUNIV[],11,FALSE),Input[[#This Row],[Type]]="TSTC",VLOOKUP(Input[[#This Row],[Institution Name]],FTSETSTC[],10,FALSE)),"N/A")</f>
        <v>N/A</v>
      </c>
      <c r="VD20"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101202234</v>
      </c>
      <c r="VE20"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20" s="338">
        <f>SUM(Input[[#This Row],[Fed G&amp;C E&amp;G]],Input[[#This Row],[Fed G&amp;C Desg]],Input[[#This Row],[Fed G&amp;C R Exp]],Input[[#This Row],[Fed G&amp;C Loan]],Input[[#This Row],[Fed G&amp;C Annuity]],Input[[#This Row],[Fed G&amp;C Unexp]],Input[[#This Row],[Fed G&amp;C R of Ind]],Input[[#This Row],[Fed G&amp;C Inv in P]])</f>
        <v>129240983</v>
      </c>
      <c r="VG20"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62041663</v>
      </c>
      <c r="VH20"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0</v>
      </c>
      <c r="VI20"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J20" s="338">
        <f>SUM(Input[[#This Row],[Oth Inc E&amp;G]],Input[[#This Row],[Oth Exp Desg]],Input[[#This Row],[Oth Exp R Exp]],Input[[#This Row],[Oth Exp Loan]],Input[[#This Row],[Oth Exp Annuity]],Input[[#This Row],[Oth Exp Unexp]],Input[[#This Row],[Oth Exp R of Ind]],Input[[#This Row],[Oth Exp Inv in P]])</f>
        <v>2237764</v>
      </c>
      <c r="VK20" s="343">
        <f>SUM(Input[[#This Row],[Instr E&amp;G]],Input[[#This Row],[Instr Desg]],Input[[#This Row],[Instr R Exp]],Input[[#This Row],[Instr Loan]],Input[[#This Row],[Instr Annuity]],Input[[#This Row],[Instr Unexp]],Input[[#This Row],[Instr R of Ind]],Input[[#This Row],[Instr Inv in P]])</f>
        <v>0</v>
      </c>
      <c r="VL20" s="343">
        <f>SUM(Input[[#This Row],[Res E&amp;G]],Input[[#This Row],[Res Desg]],Input[[#This Row],[Res R Exp]],Input[[#This Row],[Res Loan]],Input[[#This Row],[Res Annuity]],Input[[#This Row],[Res Unexp]],Input[[#This Row],[Res R of Ind]],Input[[#This Row],[Res Inv in P]])</f>
        <v>260363411</v>
      </c>
      <c r="VM20" s="343">
        <f>SUM(Input[[#This Row],[Acad Sup E&amp;G]],Input[[#This Row],[Acad Sup Desg]],Input[[#This Row],[Acad Sup R Exp]],Input[[#This Row],[Acad Sup Loan]],Input[[#This Row],[Acad Sup Annuity]],Input[[#This Row],[Acad Sup Unexp]],Input[[#This Row],[Acad Sup R of Ind]],Input[[#This Row],[Acad Sup Inv in P]])</f>
        <v>0</v>
      </c>
      <c r="VN20" s="343">
        <f>SUM(Input[[#This Row],[Stu Svc E&amp;G]],Input[[#This Row],[Stu Svc Desg]],Input[[#This Row],[Stu Svc R Exp]],Input[[#This Row],[Stu Svc Loan]],Input[[#This Row],[Stu Svc Annuity]],Input[[#This Row],[Stu Svc Unexp]],Input[[#This Row],[Stu Svc R of Ind]],Input[[#This Row],[Stu Svc Inv in P]])</f>
        <v>0</v>
      </c>
      <c r="VO20" s="343">
        <f>SUM(Input[[#This Row],[Inst. Spt E&amp;G]],Input[[#This Row],[Inst. Spt Desg]],Input[[#This Row],[Inst. Spt R Exp]],Input[[#This Row],[Inst. Spt Loan]],Input[[#This Row],[Inst. Spt Annuity]],Input[[#This Row],[Inst. Spt Unexp]],Input[[#This Row],[Inst. Spt R of Ind]],Input[[#This Row],[Inst. Spt Inv in P]])</f>
        <v>0</v>
      </c>
      <c r="VP20" s="343">
        <f>SUM(Input[[#This Row],[M&amp;O Plnt E&amp;G]],Input[[#This Row],[M&amp;O Plnt Desg]],Input[[#This Row],[M&amp;O Plnt R Exp]],Input[[#This Row],[M&amp;O Plnt Loan]],Input[[#This Row],[M&amp;O Plnt Annuity]],Input[[#This Row],[M&amp;O Plnt Unexp]],Input[[#This Row],[M&amp;O Plnt R of Ind]],Input[[#This Row],[M&amp;O Plnt Inv in P]])</f>
        <v>0</v>
      </c>
      <c r="VQ20" s="343">
        <f>SUM(Input[[#This Row],[Schl &amp; Fell E&amp;G]],Input[[#This Row],[Schl &amp; Fell Desg]],Input[[#This Row],[Schl &amp; Fell R Exp]],Input[[#This Row],[Schl &amp; Fell Loan]],Input[[#This Row],[Schl &amp; Fell Annuity]],Input[[#This Row],[Schl &amp; Fell Unexp]],Input[[#This Row],[Schl &amp; Fell R of Ind]],Input[[#This Row],[Schl &amp; Fell Inv in P]])</f>
        <v>0</v>
      </c>
      <c r="VR20" s="343">
        <f>SUM(Input[[#This Row],[Cap Out fund E&amp;G]],Input[[#This Row],[Cap Out fund Desg]],Input[[#This Row],[Cap Out fund R Exp]],Input[[#This Row],[Cap Out fund Loan]],Input[[#This Row],[Cap Out fund Annuity]],Input[[#This Row],[Cap Out fund Unexp]],Input[[#This Row],[Cap Out fund R of Ind]],Input[[#This Row],[Cap Out fund Inv in P]])</f>
        <v>23664507</v>
      </c>
      <c r="VS20" s="343">
        <f>SUM(Input[[#This Row],[Oth Exp E&amp;G]],Input[[#This Row],[Oth Exp Desg]],Input[[#This Row],[Oth Exp R Exp]],Input[[#This Row],[Oth Exp Loan]],Input[[#This Row],[Oth Exp Annuity]],Input[[#This Row],[Oth Exp Unexp]],Input[[#This Row],[Oth Exp R of Ind]],Input[[#This Row],[Oth Exp Inv in P]],Input[[#This Row],[Oth Exp Inv in P]])</f>
        <v>3835545</v>
      </c>
    </row>
    <row r="21" spans="1:591" s="344" customFormat="1" ht="27" customHeight="1" x14ac:dyDescent="0.55000000000000004">
      <c r="A21" s="339" t="s">
        <v>702</v>
      </c>
      <c r="B21" s="334" t="s">
        <v>830</v>
      </c>
      <c r="C21" s="350" t="s">
        <v>1914</v>
      </c>
      <c r="D21" s="334">
        <v>610</v>
      </c>
      <c r="E21" s="334" t="s">
        <v>1622</v>
      </c>
      <c r="F21" s="335">
        <v>712</v>
      </c>
      <c r="G21" s="336">
        <v>70607895</v>
      </c>
      <c r="H21" s="336">
        <v>0</v>
      </c>
      <c r="I21" s="336">
        <v>0</v>
      </c>
      <c r="J21" s="336">
        <v>0</v>
      </c>
      <c r="K21" s="336">
        <v>0</v>
      </c>
      <c r="L21" s="336">
        <v>0</v>
      </c>
      <c r="M21" s="336">
        <v>0</v>
      </c>
      <c r="N21" s="336">
        <v>0</v>
      </c>
      <c r="O21" s="336">
        <v>0</v>
      </c>
      <c r="P21" s="336">
        <v>0</v>
      </c>
      <c r="Q21" s="336">
        <v>363829</v>
      </c>
      <c r="R21" s="336">
        <v>0</v>
      </c>
      <c r="S21" s="336">
        <v>29907766</v>
      </c>
      <c r="T21" s="336">
        <v>0</v>
      </c>
      <c r="U21" s="336">
        <v>0</v>
      </c>
      <c r="V21" s="336">
        <v>0</v>
      </c>
      <c r="W21" s="336">
        <v>0</v>
      </c>
      <c r="X21" s="336">
        <v>0</v>
      </c>
      <c r="Y21" s="336">
        <v>0</v>
      </c>
      <c r="Z21" s="336">
        <v>0</v>
      </c>
      <c r="AA21" s="336">
        <v>0</v>
      </c>
      <c r="AB21" s="336">
        <v>0</v>
      </c>
      <c r="AC21" s="336">
        <v>0</v>
      </c>
      <c r="AD21" s="336">
        <v>0</v>
      </c>
      <c r="AE21" s="336">
        <v>0</v>
      </c>
      <c r="AF21" s="336">
        <v>0</v>
      </c>
      <c r="AG21" s="336">
        <v>0</v>
      </c>
      <c r="AH21" s="336">
        <v>0</v>
      </c>
      <c r="AI21" s="336">
        <v>0</v>
      </c>
      <c r="AJ21" s="336">
        <v>0</v>
      </c>
      <c r="AK21" s="336">
        <v>0</v>
      </c>
      <c r="AL21" s="336">
        <v>0</v>
      </c>
      <c r="AM21" s="336">
        <v>0</v>
      </c>
      <c r="AN21" s="336">
        <v>0</v>
      </c>
      <c r="AO21" s="336">
        <v>0</v>
      </c>
      <c r="AP21" s="336">
        <v>0</v>
      </c>
      <c r="AQ21" s="336">
        <v>0</v>
      </c>
      <c r="AR21" s="336">
        <v>0</v>
      </c>
      <c r="AS21" s="336">
        <v>0</v>
      </c>
      <c r="AT21" s="336">
        <v>0</v>
      </c>
      <c r="AU21" s="336">
        <v>0</v>
      </c>
      <c r="AV21" s="336">
        <v>0</v>
      </c>
      <c r="AW21" s="336">
        <v>0</v>
      </c>
      <c r="AX21" s="336">
        <v>0</v>
      </c>
      <c r="AY21" s="336">
        <v>0</v>
      </c>
      <c r="AZ21" s="336">
        <v>0</v>
      </c>
      <c r="BA21" s="336">
        <v>0</v>
      </c>
      <c r="BB21" s="336">
        <v>0</v>
      </c>
      <c r="BC21" s="336">
        <v>0</v>
      </c>
      <c r="BD21" s="336">
        <v>0</v>
      </c>
      <c r="BE21" s="336">
        <v>0</v>
      </c>
      <c r="BF21" s="336">
        <v>0</v>
      </c>
      <c r="BG21" s="336">
        <v>0</v>
      </c>
      <c r="BH21" s="336">
        <v>0</v>
      </c>
      <c r="BI21" s="336">
        <v>0</v>
      </c>
      <c r="BJ21" s="336">
        <v>0</v>
      </c>
      <c r="BK21" s="336">
        <v>0</v>
      </c>
      <c r="BL21" s="336">
        <v>0</v>
      </c>
      <c r="BM21" s="336">
        <v>0</v>
      </c>
      <c r="BN21" s="336">
        <v>0</v>
      </c>
      <c r="BO21" s="336">
        <v>0</v>
      </c>
      <c r="BP21" s="336">
        <v>0</v>
      </c>
      <c r="BQ21" s="336">
        <v>0</v>
      </c>
      <c r="BR21" s="336">
        <v>0</v>
      </c>
      <c r="BS21" s="336">
        <v>0</v>
      </c>
      <c r="BT21" s="336">
        <v>0</v>
      </c>
      <c r="BU21" s="336">
        <v>0</v>
      </c>
      <c r="BV21" s="336">
        <v>0</v>
      </c>
      <c r="BW21" s="336">
        <v>0</v>
      </c>
      <c r="BX21" s="336">
        <v>0</v>
      </c>
      <c r="BY21" s="336">
        <v>0</v>
      </c>
      <c r="BZ21" s="336">
        <v>0</v>
      </c>
      <c r="CA21" s="336">
        <v>0</v>
      </c>
      <c r="CB21" s="336">
        <v>0</v>
      </c>
      <c r="CC21" s="336">
        <v>0</v>
      </c>
      <c r="CD21" s="336">
        <v>0</v>
      </c>
      <c r="CE21" s="336">
        <v>0</v>
      </c>
      <c r="CF21" s="336">
        <v>0</v>
      </c>
      <c r="CG21" s="336">
        <v>0</v>
      </c>
      <c r="CH21" s="336">
        <v>0</v>
      </c>
      <c r="CI21" s="336">
        <v>0</v>
      </c>
      <c r="CJ21" s="336">
        <v>0</v>
      </c>
      <c r="CK21" s="336">
        <v>0</v>
      </c>
      <c r="CL21" s="336">
        <v>0</v>
      </c>
      <c r="CM21" s="336">
        <v>0</v>
      </c>
      <c r="CN21" s="336">
        <v>0</v>
      </c>
      <c r="CO21" s="336">
        <v>0</v>
      </c>
      <c r="CP21" s="336">
        <v>0</v>
      </c>
      <c r="CQ21" s="336">
        <v>0</v>
      </c>
      <c r="CR21" s="336">
        <v>0</v>
      </c>
      <c r="CS21" s="336">
        <v>0</v>
      </c>
      <c r="CT21" s="336">
        <v>0</v>
      </c>
      <c r="CU21" s="336">
        <v>0</v>
      </c>
      <c r="CV21" s="336">
        <v>0</v>
      </c>
      <c r="CW21" s="336">
        <v>0</v>
      </c>
      <c r="CX21" s="336">
        <v>0</v>
      </c>
      <c r="CY21" s="336">
        <v>0</v>
      </c>
      <c r="CZ21" s="336">
        <v>0</v>
      </c>
      <c r="DA21" s="336">
        <v>0</v>
      </c>
      <c r="DB21" s="336">
        <v>0</v>
      </c>
      <c r="DC21" s="336">
        <v>0</v>
      </c>
      <c r="DD21" s="336">
        <v>0</v>
      </c>
      <c r="DE21" s="336">
        <v>0</v>
      </c>
      <c r="DF21" s="336">
        <v>0</v>
      </c>
      <c r="DG21" s="336">
        <v>0</v>
      </c>
      <c r="DH21" s="336">
        <v>0</v>
      </c>
      <c r="DI21" s="336">
        <v>0</v>
      </c>
      <c r="DJ21" s="336">
        <v>0</v>
      </c>
      <c r="DK21" s="336">
        <v>0</v>
      </c>
      <c r="DL21" s="336">
        <v>0</v>
      </c>
      <c r="DM21" s="336">
        <v>0</v>
      </c>
      <c r="DN21" s="336">
        <v>0</v>
      </c>
      <c r="DO21" s="336">
        <v>0</v>
      </c>
      <c r="DP21" s="336">
        <v>0</v>
      </c>
      <c r="DQ21" s="336">
        <v>0</v>
      </c>
      <c r="DR21" s="336">
        <v>0</v>
      </c>
      <c r="DS21" s="336">
        <v>0</v>
      </c>
      <c r="DT21" s="336">
        <v>0</v>
      </c>
      <c r="DU21" s="336">
        <v>0</v>
      </c>
      <c r="DV21" s="336">
        <v>0</v>
      </c>
      <c r="DW21" s="336">
        <v>0</v>
      </c>
      <c r="DX21" s="336">
        <v>0</v>
      </c>
      <c r="DY21" s="336">
        <v>0</v>
      </c>
      <c r="DZ21" s="336">
        <v>0</v>
      </c>
      <c r="EA21" s="336">
        <v>0</v>
      </c>
      <c r="EB21" s="336">
        <v>0</v>
      </c>
      <c r="EC21" s="336">
        <v>0</v>
      </c>
      <c r="ED21" s="336">
        <v>0</v>
      </c>
      <c r="EE21" s="336">
        <v>0</v>
      </c>
      <c r="EF21" s="336">
        <v>0</v>
      </c>
      <c r="EG21" s="336">
        <v>0</v>
      </c>
      <c r="EH21" s="336">
        <v>0</v>
      </c>
      <c r="EI21" s="336">
        <v>0</v>
      </c>
      <c r="EJ21" s="336">
        <v>0</v>
      </c>
      <c r="EK21" s="336">
        <v>0</v>
      </c>
      <c r="EL21" s="336">
        <v>0</v>
      </c>
      <c r="EM21" s="336">
        <v>0</v>
      </c>
      <c r="EN21" s="336">
        <v>0</v>
      </c>
      <c r="EO21" s="336">
        <v>0</v>
      </c>
      <c r="EP21" s="336">
        <v>0</v>
      </c>
      <c r="EQ21" s="336">
        <v>0</v>
      </c>
      <c r="ER21" s="336">
        <v>0</v>
      </c>
      <c r="ES21" s="336">
        <v>0</v>
      </c>
      <c r="ET21" s="336">
        <v>0</v>
      </c>
      <c r="EU21" s="336">
        <v>0</v>
      </c>
      <c r="EV21" s="336">
        <v>0</v>
      </c>
      <c r="EW21" s="336">
        <v>0</v>
      </c>
      <c r="EX21" s="336">
        <v>0</v>
      </c>
      <c r="EY21" s="336">
        <v>0</v>
      </c>
      <c r="EZ21" s="336">
        <v>0</v>
      </c>
      <c r="FA21" s="336">
        <v>0</v>
      </c>
      <c r="FB21" s="336">
        <v>0</v>
      </c>
      <c r="FC21" s="336">
        <v>0</v>
      </c>
      <c r="FD21" s="336">
        <v>0</v>
      </c>
      <c r="FE21" s="336">
        <v>0</v>
      </c>
      <c r="FF21" s="336">
        <v>0</v>
      </c>
      <c r="FG21" s="336">
        <v>0</v>
      </c>
      <c r="FH21" s="336">
        <v>0</v>
      </c>
      <c r="FI21" s="336">
        <v>0</v>
      </c>
      <c r="FJ21" s="336">
        <v>0</v>
      </c>
      <c r="FK21" s="336">
        <v>0</v>
      </c>
      <c r="FL21" s="336">
        <v>0</v>
      </c>
      <c r="FM21" s="336">
        <v>0</v>
      </c>
      <c r="FN21" s="336">
        <v>0</v>
      </c>
      <c r="FO21" s="336">
        <v>0</v>
      </c>
      <c r="FP21" s="336">
        <v>0</v>
      </c>
      <c r="FQ21" s="336">
        <v>0</v>
      </c>
      <c r="FR21" s="336">
        <v>0</v>
      </c>
      <c r="FS21" s="336">
        <v>0</v>
      </c>
      <c r="FT21" s="336">
        <v>0</v>
      </c>
      <c r="FU21" s="336">
        <v>0</v>
      </c>
      <c r="FV21" s="336">
        <v>0</v>
      </c>
      <c r="FW21" s="336">
        <v>0</v>
      </c>
      <c r="FX21" s="336">
        <v>0</v>
      </c>
      <c r="FY21" s="336">
        <v>0</v>
      </c>
      <c r="FZ21" s="336">
        <v>0</v>
      </c>
      <c r="GA21" s="336">
        <v>0</v>
      </c>
      <c r="GB21" s="336">
        <v>0</v>
      </c>
      <c r="GC21" s="336">
        <v>0</v>
      </c>
      <c r="GD21" s="336">
        <v>0</v>
      </c>
      <c r="GE21" s="336">
        <v>0</v>
      </c>
      <c r="GF21" s="336">
        <v>0</v>
      </c>
      <c r="GG21" s="336">
        <v>0</v>
      </c>
      <c r="GH21" s="336">
        <v>0</v>
      </c>
      <c r="GI21" s="336">
        <v>0</v>
      </c>
      <c r="GJ21" s="336">
        <v>0</v>
      </c>
      <c r="GK21" s="336">
        <v>0</v>
      </c>
      <c r="GL21" s="336">
        <v>0</v>
      </c>
      <c r="GM21" s="336">
        <v>0</v>
      </c>
      <c r="GN21" s="336">
        <v>0</v>
      </c>
      <c r="GO21" s="336">
        <v>0</v>
      </c>
      <c r="GP21" s="336">
        <v>0</v>
      </c>
      <c r="GQ21" s="336">
        <v>0</v>
      </c>
      <c r="GR21" s="336">
        <v>0</v>
      </c>
      <c r="GS21" s="336">
        <v>0</v>
      </c>
      <c r="GT21" s="336">
        <v>0</v>
      </c>
      <c r="GU21" s="336">
        <v>0</v>
      </c>
      <c r="GV21" s="336">
        <v>0</v>
      </c>
      <c r="GW21" s="336">
        <v>0</v>
      </c>
      <c r="GX21" s="336">
        <v>0</v>
      </c>
      <c r="GY21" s="336">
        <v>0</v>
      </c>
      <c r="GZ21" s="336">
        <v>0</v>
      </c>
      <c r="HA21" s="336">
        <v>0</v>
      </c>
      <c r="HB21" s="336">
        <v>0</v>
      </c>
      <c r="HC21" s="336">
        <v>0</v>
      </c>
      <c r="HD21" s="336">
        <v>0</v>
      </c>
      <c r="HE21" s="336">
        <v>0</v>
      </c>
      <c r="HF21" s="336">
        <v>0</v>
      </c>
      <c r="HG21" s="336">
        <v>0</v>
      </c>
      <c r="HH21" s="336">
        <v>0</v>
      </c>
      <c r="HI21" s="336">
        <v>0</v>
      </c>
      <c r="HJ21" s="336">
        <v>0</v>
      </c>
      <c r="HK21" s="336">
        <v>0</v>
      </c>
      <c r="HL21" s="336">
        <v>0</v>
      </c>
      <c r="HM21" s="336">
        <v>0</v>
      </c>
      <c r="HN21" s="336">
        <v>0</v>
      </c>
      <c r="HO21" s="336">
        <v>0</v>
      </c>
      <c r="HP21" s="336">
        <v>32223799</v>
      </c>
      <c r="HQ21" s="336">
        <v>0</v>
      </c>
      <c r="HR21" s="336">
        <v>126589423</v>
      </c>
      <c r="HS21" s="336">
        <v>0</v>
      </c>
      <c r="HT21" s="336">
        <v>0</v>
      </c>
      <c r="HU21" s="336">
        <v>0</v>
      </c>
      <c r="HV21" s="336">
        <v>0</v>
      </c>
      <c r="HW21" s="336">
        <v>0</v>
      </c>
      <c r="HX21" s="336">
        <v>0</v>
      </c>
      <c r="HY21" s="336">
        <v>0</v>
      </c>
      <c r="HZ21" s="336">
        <v>0</v>
      </c>
      <c r="IA21" s="336">
        <v>0</v>
      </c>
      <c r="IB21" s="336">
        <v>0</v>
      </c>
      <c r="IC21" s="336">
        <v>0</v>
      </c>
      <c r="ID21" s="336">
        <v>0</v>
      </c>
      <c r="IE21" s="336">
        <v>0</v>
      </c>
      <c r="IF21" s="336">
        <v>0</v>
      </c>
      <c r="IG21" s="336">
        <v>0</v>
      </c>
      <c r="IH21" s="336">
        <v>0</v>
      </c>
      <c r="II21" s="336">
        <v>0</v>
      </c>
      <c r="IJ21" s="336">
        <v>0</v>
      </c>
      <c r="IK21" s="336">
        <v>0</v>
      </c>
      <c r="IL21" s="336">
        <v>0</v>
      </c>
      <c r="IM21" s="336">
        <v>0</v>
      </c>
      <c r="IN21" s="336">
        <v>0</v>
      </c>
      <c r="IO21" s="336">
        <v>0</v>
      </c>
      <c r="IP21" s="336">
        <v>0</v>
      </c>
      <c r="IQ21" s="336">
        <v>2695481</v>
      </c>
      <c r="IR21" s="336">
        <v>0</v>
      </c>
      <c r="IS21" s="336">
        <v>0</v>
      </c>
      <c r="IT21" s="336">
        <v>0</v>
      </c>
      <c r="IU21" s="336">
        <v>0</v>
      </c>
      <c r="IV21" s="336">
        <v>0</v>
      </c>
      <c r="IW21" s="336">
        <v>0</v>
      </c>
      <c r="IX21" s="336">
        <v>0</v>
      </c>
      <c r="IY21" s="336">
        <v>0</v>
      </c>
      <c r="IZ21" s="336">
        <v>0</v>
      </c>
      <c r="JA21" s="336">
        <v>0</v>
      </c>
      <c r="JB21" s="336">
        <v>0</v>
      </c>
      <c r="JC21" s="336">
        <v>0</v>
      </c>
      <c r="JD21" s="336">
        <v>0</v>
      </c>
      <c r="JE21" s="336">
        <v>0</v>
      </c>
      <c r="JF21" s="336">
        <v>0</v>
      </c>
      <c r="JG21" s="336">
        <v>0</v>
      </c>
      <c r="JH21" s="336">
        <v>0</v>
      </c>
      <c r="JI21" s="336">
        <v>8603157</v>
      </c>
      <c r="JJ21" s="336">
        <v>0</v>
      </c>
      <c r="JK21" s="336">
        <v>32645021</v>
      </c>
      <c r="JL21" s="336">
        <v>0</v>
      </c>
      <c r="JM21" s="336">
        <v>0</v>
      </c>
      <c r="JN21" s="336">
        <v>0</v>
      </c>
      <c r="JO21" s="336">
        <v>0</v>
      </c>
      <c r="JP21" s="336">
        <v>0</v>
      </c>
      <c r="JQ21" s="336">
        <v>0</v>
      </c>
      <c r="JR21" s="336">
        <v>15239685</v>
      </c>
      <c r="JS21" s="336">
        <v>0</v>
      </c>
      <c r="JT21" s="336">
        <v>0</v>
      </c>
      <c r="JU21" s="336">
        <v>0</v>
      </c>
      <c r="JV21" s="336">
        <v>0</v>
      </c>
      <c r="JW21" s="336">
        <v>0</v>
      </c>
      <c r="JX21" s="336">
        <v>0</v>
      </c>
      <c r="JY21" s="336">
        <v>0</v>
      </c>
      <c r="JZ21" s="336">
        <v>0</v>
      </c>
      <c r="KA21" s="336">
        <v>0</v>
      </c>
      <c r="KB21" s="336">
        <v>0</v>
      </c>
      <c r="KC21" s="336">
        <v>0</v>
      </c>
      <c r="KD21" s="336">
        <v>0</v>
      </c>
      <c r="KE21" s="336">
        <v>0</v>
      </c>
      <c r="KF21" s="336">
        <v>0</v>
      </c>
      <c r="KG21" s="336">
        <v>0</v>
      </c>
      <c r="KH21" s="336">
        <v>0</v>
      </c>
      <c r="KI21" s="336">
        <v>70</v>
      </c>
      <c r="KJ21" s="336">
        <v>723211</v>
      </c>
      <c r="KK21" s="336">
        <v>0</v>
      </c>
      <c r="KL21" s="336">
        <v>-14</v>
      </c>
      <c r="KM21" s="336">
        <v>0</v>
      </c>
      <c r="KN21" s="336">
        <v>0</v>
      </c>
      <c r="KO21" s="336">
        <v>0</v>
      </c>
      <c r="KP21" s="336">
        <v>0</v>
      </c>
      <c r="KQ21" s="336">
        <v>2599632</v>
      </c>
      <c r="KR21" s="336">
        <v>0</v>
      </c>
      <c r="KS21" s="336">
        <v>0</v>
      </c>
      <c r="KT21" s="336">
        <v>0</v>
      </c>
      <c r="KU21" s="336">
        <v>0</v>
      </c>
      <c r="KV21" s="336">
        <v>0</v>
      </c>
      <c r="KW21" s="336">
        <v>0</v>
      </c>
      <c r="KX21" s="336">
        <v>0</v>
      </c>
      <c r="KY21" s="336">
        <v>0</v>
      </c>
      <c r="KZ21" s="336">
        <v>0</v>
      </c>
      <c r="LA21" s="336">
        <v>31222251</v>
      </c>
      <c r="LB21" s="336">
        <v>52422928</v>
      </c>
      <c r="LC21" s="336">
        <v>0</v>
      </c>
      <c r="LD21" s="336">
        <v>158330913</v>
      </c>
      <c r="LE21" s="336">
        <v>0</v>
      </c>
      <c r="LF21" s="336">
        <v>0</v>
      </c>
      <c r="LG21" s="336">
        <v>146283</v>
      </c>
      <c r="LH21" s="336">
        <v>0</v>
      </c>
      <c r="LI21" s="336">
        <v>0</v>
      </c>
      <c r="LJ21" s="336">
        <v>0</v>
      </c>
      <c r="LK21" s="336">
        <v>0</v>
      </c>
      <c r="LL21" s="336">
        <v>0</v>
      </c>
      <c r="LM21" s="336">
        <v>0</v>
      </c>
      <c r="LN21" s="336">
        <v>0</v>
      </c>
      <c r="LO21" s="336">
        <v>0</v>
      </c>
      <c r="LP21" s="336">
        <v>0</v>
      </c>
      <c r="LQ21" s="336">
        <v>0</v>
      </c>
      <c r="LR21" s="336">
        <v>0</v>
      </c>
      <c r="LS21" s="336">
        <v>0</v>
      </c>
      <c r="LT21" s="336">
        <v>0</v>
      </c>
      <c r="LU21" s="336">
        <v>0</v>
      </c>
      <c r="LV21" s="336">
        <v>0</v>
      </c>
      <c r="LW21" s="336">
        <v>0</v>
      </c>
      <c r="LX21" s="336">
        <v>0</v>
      </c>
      <c r="LY21" s="336">
        <v>0</v>
      </c>
      <c r="LZ21" s="336">
        <v>0</v>
      </c>
      <c r="MA21" s="336">
        <v>0</v>
      </c>
      <c r="MB21" s="336">
        <v>0</v>
      </c>
      <c r="MC21" s="336">
        <v>0</v>
      </c>
      <c r="MD21" s="336">
        <v>0</v>
      </c>
      <c r="ME21" s="336">
        <v>0</v>
      </c>
      <c r="MF21" s="336">
        <v>0</v>
      </c>
      <c r="MG21" s="336">
        <v>0</v>
      </c>
      <c r="MH21" s="336">
        <v>0</v>
      </c>
      <c r="MI21" s="336">
        <v>0</v>
      </c>
      <c r="MJ21" s="336">
        <v>0</v>
      </c>
      <c r="MK21" s="336">
        <v>0</v>
      </c>
      <c r="ML21" s="336">
        <v>0</v>
      </c>
      <c r="MM21" s="336">
        <v>0</v>
      </c>
      <c r="MN21" s="336">
        <v>0</v>
      </c>
      <c r="MO21" s="336">
        <v>0</v>
      </c>
      <c r="MP21" s="336">
        <v>0</v>
      </c>
      <c r="MQ21" s="336">
        <v>0</v>
      </c>
      <c r="MR21" s="336">
        <v>0</v>
      </c>
      <c r="MS21" s="336">
        <v>0</v>
      </c>
      <c r="MT21" s="336">
        <v>0</v>
      </c>
      <c r="MU21" s="336">
        <v>0</v>
      </c>
      <c r="MV21" s="336">
        <v>0</v>
      </c>
      <c r="MW21" s="336">
        <v>0</v>
      </c>
      <c r="MX21" s="336">
        <v>0</v>
      </c>
      <c r="MY21" s="336">
        <v>0</v>
      </c>
      <c r="MZ21" s="336">
        <v>0</v>
      </c>
      <c r="NA21" s="336">
        <v>0</v>
      </c>
      <c r="NB21" s="336">
        <v>0</v>
      </c>
      <c r="NC21" s="336">
        <v>0</v>
      </c>
      <c r="ND21" s="336">
        <v>0</v>
      </c>
      <c r="NE21" s="336">
        <v>0</v>
      </c>
      <c r="NF21" s="336">
        <v>0</v>
      </c>
      <c r="NG21" s="336">
        <v>0</v>
      </c>
      <c r="NH21" s="336">
        <v>0</v>
      </c>
      <c r="NI21" s="336">
        <v>0</v>
      </c>
      <c r="NJ21" s="336">
        <v>0</v>
      </c>
      <c r="NK21" s="336">
        <v>0</v>
      </c>
      <c r="NL21" s="336">
        <v>0</v>
      </c>
      <c r="NM21" s="336">
        <v>0</v>
      </c>
      <c r="NN21" s="336">
        <v>0</v>
      </c>
      <c r="NO21" s="336">
        <v>0</v>
      </c>
      <c r="NP21" s="336">
        <v>0</v>
      </c>
      <c r="NQ21" s="336">
        <v>0</v>
      </c>
      <c r="NR21" s="336">
        <v>0</v>
      </c>
      <c r="NS21" s="336">
        <v>0</v>
      </c>
      <c r="NT21" s="336">
        <v>0</v>
      </c>
      <c r="NU21" s="336">
        <v>0</v>
      </c>
      <c r="NV21" s="336">
        <v>0</v>
      </c>
      <c r="NW21" s="336">
        <v>0</v>
      </c>
      <c r="NX21" s="336">
        <v>0</v>
      </c>
      <c r="NY21" s="336">
        <v>0</v>
      </c>
      <c r="NZ21" s="336">
        <v>0</v>
      </c>
      <c r="OA21" s="336">
        <v>0</v>
      </c>
      <c r="OB21" s="336">
        <v>0</v>
      </c>
      <c r="OC21" s="336">
        <v>0</v>
      </c>
      <c r="OD21" s="336">
        <v>781395</v>
      </c>
      <c r="OE21" s="336">
        <v>3139968</v>
      </c>
      <c r="OF21" s="336">
        <v>0</v>
      </c>
      <c r="OG21" s="336">
        <v>6616244</v>
      </c>
      <c r="OH21" s="336">
        <v>0</v>
      </c>
      <c r="OI21" s="336">
        <v>0</v>
      </c>
      <c r="OJ21" s="336">
        <v>0</v>
      </c>
      <c r="OK21" s="336">
        <v>0</v>
      </c>
      <c r="OL21" s="336">
        <v>0</v>
      </c>
      <c r="OM21" s="336">
        <v>0</v>
      </c>
      <c r="ON21" s="336">
        <v>20474</v>
      </c>
      <c r="OO21" s="336">
        <v>0</v>
      </c>
      <c r="OP21" s="336">
        <v>0</v>
      </c>
      <c r="OQ21" s="336">
        <v>0</v>
      </c>
      <c r="OR21" s="336">
        <v>0</v>
      </c>
      <c r="OS21" s="336">
        <v>1330034</v>
      </c>
      <c r="OT21" s="336">
        <v>0</v>
      </c>
      <c r="OU21" s="336">
        <v>4470727</v>
      </c>
      <c r="OV21" s="336">
        <v>0</v>
      </c>
      <c r="OW21" s="336">
        <v>0</v>
      </c>
      <c r="OX21" s="336">
        <v>0</v>
      </c>
      <c r="OY21" s="336">
        <v>0</v>
      </c>
      <c r="OZ21" s="336">
        <v>0</v>
      </c>
      <c r="PA21" s="336">
        <v>0</v>
      </c>
      <c r="PB21" s="336">
        <v>4706790</v>
      </c>
      <c r="PC21" s="336">
        <v>0</v>
      </c>
      <c r="PD21" s="336">
        <v>0</v>
      </c>
      <c r="PE21" s="336">
        <v>-28612573</v>
      </c>
      <c r="PF21" s="336">
        <v>-940326</v>
      </c>
      <c r="PG21" s="336">
        <v>0</v>
      </c>
      <c r="PH21" s="336">
        <v>236022</v>
      </c>
      <c r="PI21" s="336">
        <v>0</v>
      </c>
      <c r="PJ21" s="336">
        <v>-117299</v>
      </c>
      <c r="PK21" s="336">
        <v>33145775</v>
      </c>
      <c r="PL21" s="336">
        <v>0</v>
      </c>
      <c r="PM21" s="336">
        <v>0</v>
      </c>
      <c r="PN21" s="336">
        <v>0</v>
      </c>
      <c r="PO21" s="336">
        <v>0</v>
      </c>
      <c r="PP21" s="336">
        <v>0</v>
      </c>
      <c r="PQ21" s="336">
        <v>0</v>
      </c>
      <c r="PR21" s="336">
        <v>0</v>
      </c>
      <c r="PS21" s="336">
        <v>0</v>
      </c>
      <c r="PT21" s="336">
        <v>0</v>
      </c>
      <c r="PU21" s="336">
        <v>0</v>
      </c>
      <c r="PV21" s="336">
        <v>0</v>
      </c>
      <c r="PW21" s="336">
        <v>-4799345</v>
      </c>
      <c r="PX21" s="336">
        <v>-3910506</v>
      </c>
      <c r="PY21" s="336">
        <v>0</v>
      </c>
      <c r="PZ21" s="336">
        <v>0</v>
      </c>
      <c r="QA21" s="336">
        <v>0</v>
      </c>
      <c r="QB21" s="336">
        <v>0</v>
      </c>
      <c r="QC21" s="336">
        <v>0</v>
      </c>
      <c r="QD21" s="336">
        <v>0</v>
      </c>
      <c r="QE21" s="336">
        <v>0</v>
      </c>
      <c r="QF21" s="336">
        <v>-799767</v>
      </c>
      <c r="QG21" s="336">
        <v>820911</v>
      </c>
      <c r="QH21" s="336">
        <v>0</v>
      </c>
      <c r="QI21" s="336">
        <v>0</v>
      </c>
      <c r="QJ21" s="336">
        <v>0</v>
      </c>
      <c r="QK21" s="336">
        <v>1133994</v>
      </c>
      <c r="QL21" s="336">
        <v>-975599</v>
      </c>
      <c r="QM21" s="336">
        <v>0</v>
      </c>
      <c r="QN21" s="336">
        <v>0</v>
      </c>
      <c r="QO21" s="336">
        <v>0</v>
      </c>
      <c r="QP21" s="336">
        <v>0</v>
      </c>
      <c r="QQ21" s="336">
        <v>0</v>
      </c>
      <c r="QR21" s="336">
        <v>0</v>
      </c>
      <c r="QS21" s="336">
        <v>0</v>
      </c>
      <c r="QT21" s="336">
        <v>0</v>
      </c>
      <c r="QU21" s="336">
        <v>0</v>
      </c>
      <c r="QV21" s="336">
        <v>0</v>
      </c>
      <c r="QW21" s="336">
        <v>0</v>
      </c>
      <c r="QX21" s="336">
        <v>0</v>
      </c>
      <c r="QY21" s="336">
        <v>0</v>
      </c>
      <c r="QZ21" s="336">
        <v>0</v>
      </c>
      <c r="RA21" s="336">
        <v>0</v>
      </c>
      <c r="RB21" s="336">
        <v>0</v>
      </c>
      <c r="RC21" s="336">
        <v>0</v>
      </c>
      <c r="RD21" s="336">
        <v>0</v>
      </c>
      <c r="RE21" s="336">
        <v>0</v>
      </c>
      <c r="RF21" s="336">
        <v>0</v>
      </c>
      <c r="RG21" s="336">
        <v>0</v>
      </c>
      <c r="RH21" s="336">
        <v>0</v>
      </c>
      <c r="RI21" s="336">
        <v>0</v>
      </c>
      <c r="RJ21" s="336">
        <v>0</v>
      </c>
      <c r="RK21" s="336">
        <v>0</v>
      </c>
      <c r="RL21" s="336">
        <v>0</v>
      </c>
      <c r="RM21" s="336">
        <v>0</v>
      </c>
      <c r="RN21" s="336">
        <v>0</v>
      </c>
      <c r="RO21" s="336">
        <v>-26093509</v>
      </c>
      <c r="RP21" s="336">
        <v>0</v>
      </c>
      <c r="RQ21" s="336">
        <v>0</v>
      </c>
      <c r="RR21" s="336">
        <v>0</v>
      </c>
      <c r="RS21" s="336">
        <v>0</v>
      </c>
      <c r="RT21" s="336">
        <v>0</v>
      </c>
      <c r="RU21" s="336">
        <v>0</v>
      </c>
      <c r="RV21" s="336">
        <v>0</v>
      </c>
      <c r="RW21" s="336">
        <v>0</v>
      </c>
      <c r="RX21" s="336">
        <v>5407425</v>
      </c>
      <c r="RY21" s="336">
        <v>0</v>
      </c>
      <c r="RZ21" s="336">
        <v>0</v>
      </c>
      <c r="SA21" s="336">
        <v>0</v>
      </c>
      <c r="SB21" s="336">
        <v>0</v>
      </c>
      <c r="SC21" s="336">
        <v>0</v>
      </c>
      <c r="SD21" s="336">
        <v>0</v>
      </c>
      <c r="SE21" s="336">
        <v>0</v>
      </c>
      <c r="SF21" s="336">
        <v>0</v>
      </c>
      <c r="SG21" s="336">
        <v>0</v>
      </c>
      <c r="SH21" s="336">
        <v>0</v>
      </c>
      <c r="SI21" s="336">
        <v>0</v>
      </c>
      <c r="SJ21" s="336">
        <v>0</v>
      </c>
      <c r="SK21" s="336">
        <v>0</v>
      </c>
      <c r="SL21" s="336">
        <v>0</v>
      </c>
      <c r="SM21" s="336">
        <v>0</v>
      </c>
      <c r="SN21" s="336">
        <v>0</v>
      </c>
      <c r="SO21" s="336">
        <v>0</v>
      </c>
      <c r="SP21" s="336">
        <v>218849</v>
      </c>
      <c r="SQ21" s="336">
        <v>781395</v>
      </c>
      <c r="SR21" s="336">
        <v>3139968</v>
      </c>
      <c r="SS21" s="336">
        <v>0</v>
      </c>
      <c r="ST21" s="336">
        <v>6616244</v>
      </c>
      <c r="SU21" s="336">
        <v>0</v>
      </c>
      <c r="SV21" s="336">
        <v>0</v>
      </c>
      <c r="SW21" s="336">
        <v>-4706790</v>
      </c>
      <c r="SX21" s="336">
        <v>0</v>
      </c>
      <c r="SY21" s="336">
        <v>0</v>
      </c>
      <c r="SZ21" s="336" t="s">
        <v>1420</v>
      </c>
      <c r="TA21" s="336" t="s">
        <v>1420</v>
      </c>
      <c r="TB21" s="336" t="s">
        <v>1420</v>
      </c>
      <c r="TC21" s="336">
        <v>0</v>
      </c>
      <c r="TD21" s="336">
        <v>10537607</v>
      </c>
      <c r="TE21" s="336">
        <v>0</v>
      </c>
      <c r="TF21" s="336">
        <v>0</v>
      </c>
      <c r="TG21" s="336">
        <v>0</v>
      </c>
      <c r="TH21" s="336">
        <v>0</v>
      </c>
      <c r="TI21" s="336">
        <v>0</v>
      </c>
      <c r="TJ21" s="336">
        <v>0</v>
      </c>
      <c r="TK21" s="336">
        <v>0</v>
      </c>
      <c r="TL21" s="336">
        <v>0</v>
      </c>
      <c r="TM21" s="336">
        <v>0</v>
      </c>
      <c r="TN21" s="336">
        <v>0</v>
      </c>
      <c r="TO21" s="336">
        <v>2535834</v>
      </c>
      <c r="TP21" s="336">
        <v>0</v>
      </c>
      <c r="TQ21" s="336">
        <v>0</v>
      </c>
      <c r="TR21" s="336">
        <v>0</v>
      </c>
      <c r="TS21" s="336">
        <v>0</v>
      </c>
      <c r="TT21" s="336">
        <v>0</v>
      </c>
      <c r="TU21" s="336">
        <v>0</v>
      </c>
      <c r="TV21" s="336">
        <v>0</v>
      </c>
      <c r="TW21" s="336">
        <v>0</v>
      </c>
      <c r="TX21" s="336">
        <v>0</v>
      </c>
      <c r="TY21" s="336">
        <v>0</v>
      </c>
      <c r="TZ21" s="336">
        <v>0</v>
      </c>
      <c r="UA21" s="336">
        <v>0</v>
      </c>
      <c r="UB21" s="336">
        <v>0</v>
      </c>
      <c r="UC21" s="336">
        <v>0</v>
      </c>
      <c r="UD21" s="336">
        <v>0</v>
      </c>
      <c r="UE21" s="336">
        <v>0</v>
      </c>
      <c r="UF21" s="336">
        <v>0</v>
      </c>
      <c r="UG21" s="336">
        <v>0</v>
      </c>
      <c r="UH21" s="336">
        <v>0</v>
      </c>
      <c r="UI21" s="338">
        <v>242122375</v>
      </c>
      <c r="UJ21" s="338">
        <v>0</v>
      </c>
      <c r="UK21" s="338">
        <v>0</v>
      </c>
      <c r="UL21" s="338">
        <v>0</v>
      </c>
      <c r="UM21" s="338">
        <v>0</v>
      </c>
      <c r="UN21" s="338">
        <v>0</v>
      </c>
      <c r="UO21" s="338">
        <v>0</v>
      </c>
      <c r="UP21" s="338">
        <v>0</v>
      </c>
      <c r="UQ21" s="338">
        <v>0</v>
      </c>
      <c r="UR21"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10537607</v>
      </c>
      <c r="US21" s="338">
        <f>SUM(Input[[#This Row],[Oth Exp E&amp;G]],Input[[#This Row],[Oth Exp Desg]],Input[[#This Row],[Oth Exp Aux]],Input[[#This Row],[Oth Exp R Exp]],Input[[#This Row],[Oth Exp Loan]],Input[[#This Row],[Oth Exp Annuity]],Input[[#This Row],[Oth Exp Unexp]],Input[[#This Row],[Oth Exp R of Ind]],Input[[#This Row],[Oth Exp Inv in P]])</f>
        <v>5821235</v>
      </c>
      <c r="UT21" s="336">
        <v>63426276</v>
      </c>
      <c r="UU21" s="336">
        <v>179539</v>
      </c>
      <c r="UV21" s="339" t="s">
        <v>1432</v>
      </c>
      <c r="UW21" s="340">
        <v>9798459761</v>
      </c>
      <c r="UX21" s="339" t="s">
        <v>1433</v>
      </c>
      <c r="UY21" s="339" t="s">
        <v>1581</v>
      </c>
      <c r="UZ21" s="340">
        <v>9794588986</v>
      </c>
      <c r="VA21" s="339" t="s">
        <v>1582</v>
      </c>
      <c r="VB21" s="341" t="str" cm="1">
        <f t="array" ref="VB21">IFERROR(_xlfn.IFS(Input[[#This Row],[Type]]="HRI",VLOOKUP(Input[[#This Row],[Institution Name]],FTSEHRI[],9,FALSE),Input[[#This Row],[Type]]="UNIV",VLOOKUP(Input[[#This Row],[Institution Name]],FTSEUNIV[],9,FALSE),OR(Input[[#This Row],[Type]]="TSTC",Input[[#This Row],[Type]]="LSC"),VLOOKUP(Input[[#This Row],[Institution Name]],FTSETSTC[],8,FALSE)),"N/A")</f>
        <v>N/A</v>
      </c>
      <c r="VC21" s="342" t="str" cm="1">
        <f t="array" ref="VC21">IFERROR(_xlfn.IFS(Input[[#This Row],[Type]]="HRI",VLOOKUP(Input[[#This Row],[Institution Name]],FTSEHRI[],11,FALSE),Input[[#This Row],[Type]]="UNIV",VLOOKUP(Input[[#This Row],[Institution Name]],FTSEUNIV[],11,FALSE),Input[[#This Row],[Type]]="TSTC",VLOOKUP(Input[[#This Row],[Institution Name]],FTSETSTC[],10,FALSE)),"N/A")</f>
        <v>N/A</v>
      </c>
      <c r="VD21"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100879490</v>
      </c>
      <c r="VE21"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21" s="338">
        <f>SUM(Input[[#This Row],[Fed G&amp;C E&amp;G]],Input[[#This Row],[Fed G&amp;C Desg]],Input[[#This Row],[Fed G&amp;C R Exp]],Input[[#This Row],[Fed G&amp;C Loan]],Input[[#This Row],[Fed G&amp;C Annuity]],Input[[#This Row],[Fed G&amp;C Unexp]],Input[[#This Row],[Fed G&amp;C R of Ind]],Input[[#This Row],[Fed G&amp;C Inv in P]])</f>
        <v>158813222</v>
      </c>
      <c r="VG21"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62506243</v>
      </c>
      <c r="VH21"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0</v>
      </c>
      <c r="VI21"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J21" s="338">
        <f>SUM(Input[[#This Row],[Oth Inc E&amp;G]],Input[[#This Row],[Oth Exp Desg]],Input[[#This Row],[Oth Exp R Exp]],Input[[#This Row],[Oth Exp Loan]],Input[[#This Row],[Oth Exp Annuity]],Input[[#This Row],[Oth Exp Unexp]],Input[[#This Row],[Oth Exp R of Ind]],Input[[#This Row],[Oth Exp Inv in P]])</f>
        <v>5821305</v>
      </c>
      <c r="VK21" s="343">
        <f>SUM(Input[[#This Row],[Instr E&amp;G]],Input[[#This Row],[Instr Desg]],Input[[#This Row],[Instr R Exp]],Input[[#This Row],[Instr Loan]],Input[[#This Row],[Instr Annuity]],Input[[#This Row],[Instr Unexp]],Input[[#This Row],[Instr R of Ind]],Input[[#This Row],[Instr Inv in P]])</f>
        <v>0</v>
      </c>
      <c r="VL21" s="343">
        <f>SUM(Input[[#This Row],[Res E&amp;G]],Input[[#This Row],[Res Desg]],Input[[#This Row],[Res R Exp]],Input[[#This Row],[Res Loan]],Input[[#This Row],[Res Annuity]],Input[[#This Row],[Res Unexp]],Input[[#This Row],[Res R of Ind]],Input[[#This Row],[Res Inv in P]])</f>
        <v>242122375</v>
      </c>
      <c r="VM21" s="343">
        <f>SUM(Input[[#This Row],[Acad Sup E&amp;G]],Input[[#This Row],[Acad Sup Desg]],Input[[#This Row],[Acad Sup R Exp]],Input[[#This Row],[Acad Sup Loan]],Input[[#This Row],[Acad Sup Annuity]],Input[[#This Row],[Acad Sup Unexp]],Input[[#This Row],[Acad Sup R of Ind]],Input[[#This Row],[Acad Sup Inv in P]])</f>
        <v>0</v>
      </c>
      <c r="VN21" s="343">
        <f>SUM(Input[[#This Row],[Stu Svc E&amp;G]],Input[[#This Row],[Stu Svc Desg]],Input[[#This Row],[Stu Svc R Exp]],Input[[#This Row],[Stu Svc Loan]],Input[[#This Row],[Stu Svc Annuity]],Input[[#This Row],[Stu Svc Unexp]],Input[[#This Row],[Stu Svc R of Ind]],Input[[#This Row],[Stu Svc Inv in P]])</f>
        <v>0</v>
      </c>
      <c r="VO21" s="343">
        <f>SUM(Input[[#This Row],[Inst. Spt E&amp;G]],Input[[#This Row],[Inst. Spt Desg]],Input[[#This Row],[Inst. Spt R Exp]],Input[[#This Row],[Inst. Spt Loan]],Input[[#This Row],[Inst. Spt Annuity]],Input[[#This Row],[Inst. Spt Unexp]],Input[[#This Row],[Inst. Spt R of Ind]],Input[[#This Row],[Inst. Spt Inv in P]])</f>
        <v>0</v>
      </c>
      <c r="VP21" s="343">
        <f>SUM(Input[[#This Row],[M&amp;O Plnt E&amp;G]],Input[[#This Row],[M&amp;O Plnt Desg]],Input[[#This Row],[M&amp;O Plnt R Exp]],Input[[#This Row],[M&amp;O Plnt Loan]],Input[[#This Row],[M&amp;O Plnt Annuity]],Input[[#This Row],[M&amp;O Plnt Unexp]],Input[[#This Row],[M&amp;O Plnt R of Ind]],Input[[#This Row],[M&amp;O Plnt Inv in P]])</f>
        <v>0</v>
      </c>
      <c r="VQ21" s="343">
        <f>SUM(Input[[#This Row],[Schl &amp; Fell E&amp;G]],Input[[#This Row],[Schl &amp; Fell Desg]],Input[[#This Row],[Schl &amp; Fell R Exp]],Input[[#This Row],[Schl &amp; Fell Loan]],Input[[#This Row],[Schl &amp; Fell Annuity]],Input[[#This Row],[Schl &amp; Fell Unexp]],Input[[#This Row],[Schl &amp; Fell R of Ind]],Input[[#This Row],[Schl &amp; Fell Inv in P]])</f>
        <v>0</v>
      </c>
      <c r="VR21" s="343">
        <f>SUM(Input[[#This Row],[Cap Out fund E&amp;G]],Input[[#This Row],[Cap Out fund Desg]],Input[[#This Row],[Cap Out fund R Exp]],Input[[#This Row],[Cap Out fund Loan]],Input[[#This Row],[Cap Out fund Annuity]],Input[[#This Row],[Cap Out fund Unexp]],Input[[#This Row],[Cap Out fund R of Ind]],Input[[#This Row],[Cap Out fund Inv in P]])</f>
        <v>10537607</v>
      </c>
      <c r="VS21" s="343">
        <f>SUM(Input[[#This Row],[Oth Exp E&amp;G]],Input[[#This Row],[Oth Exp Desg]],Input[[#This Row],[Oth Exp R Exp]],Input[[#This Row],[Oth Exp Loan]],Input[[#This Row],[Oth Exp Annuity]],Input[[#This Row],[Oth Exp Unexp]],Input[[#This Row],[Oth Exp R of Ind]],Input[[#This Row],[Oth Exp Inv in P]],Input[[#This Row],[Oth Exp Inv in P]])</f>
        <v>10291962</v>
      </c>
    </row>
    <row r="22" spans="1:591" s="344" customFormat="1" ht="27" customHeight="1" x14ac:dyDescent="0.55000000000000004">
      <c r="A22" s="339" t="s">
        <v>703</v>
      </c>
      <c r="B22" s="334" t="s">
        <v>830</v>
      </c>
      <c r="C22" s="350" t="s">
        <v>1914</v>
      </c>
      <c r="D22" s="334">
        <v>615</v>
      </c>
      <c r="E22" s="334" t="s">
        <v>1622</v>
      </c>
      <c r="F22" s="335">
        <v>716</v>
      </c>
      <c r="G22" s="336">
        <v>12666931</v>
      </c>
      <c r="H22" s="336">
        <v>0</v>
      </c>
      <c r="I22" s="336">
        <v>0</v>
      </c>
      <c r="J22" s="336">
        <v>0</v>
      </c>
      <c r="K22" s="336">
        <v>0</v>
      </c>
      <c r="L22" s="336">
        <v>0</v>
      </c>
      <c r="M22" s="336">
        <v>0</v>
      </c>
      <c r="N22" s="336">
        <v>0</v>
      </c>
      <c r="O22" s="336">
        <v>0</v>
      </c>
      <c r="P22" s="336">
        <v>20752783</v>
      </c>
      <c r="Q22" s="336">
        <v>0</v>
      </c>
      <c r="R22" s="336">
        <v>0</v>
      </c>
      <c r="S22" s="336">
        <v>0</v>
      </c>
      <c r="T22" s="336">
        <v>0</v>
      </c>
      <c r="U22" s="336">
        <v>0</v>
      </c>
      <c r="V22" s="336">
        <v>0</v>
      </c>
      <c r="W22" s="336">
        <v>0</v>
      </c>
      <c r="X22" s="336">
        <v>0</v>
      </c>
      <c r="Y22" s="336">
        <v>0</v>
      </c>
      <c r="Z22" s="336">
        <v>0</v>
      </c>
      <c r="AA22" s="336">
        <v>0</v>
      </c>
      <c r="AB22" s="336">
        <v>0</v>
      </c>
      <c r="AC22" s="336">
        <v>0</v>
      </c>
      <c r="AD22" s="336">
        <v>0</v>
      </c>
      <c r="AE22" s="336">
        <v>0</v>
      </c>
      <c r="AF22" s="336">
        <v>0</v>
      </c>
      <c r="AG22" s="336">
        <v>0</v>
      </c>
      <c r="AH22" s="336">
        <v>0</v>
      </c>
      <c r="AI22" s="336">
        <v>0</v>
      </c>
      <c r="AJ22" s="336">
        <v>0</v>
      </c>
      <c r="AK22" s="336">
        <v>0</v>
      </c>
      <c r="AL22" s="336">
        <v>0</v>
      </c>
      <c r="AM22" s="336">
        <v>0</v>
      </c>
      <c r="AN22" s="336">
        <v>0</v>
      </c>
      <c r="AO22" s="336">
        <v>0</v>
      </c>
      <c r="AP22" s="336">
        <v>0</v>
      </c>
      <c r="AQ22" s="336">
        <v>0</v>
      </c>
      <c r="AR22" s="336">
        <v>0</v>
      </c>
      <c r="AS22" s="336">
        <v>0</v>
      </c>
      <c r="AT22" s="336">
        <v>0</v>
      </c>
      <c r="AU22" s="336">
        <v>0</v>
      </c>
      <c r="AV22" s="336">
        <v>0</v>
      </c>
      <c r="AW22" s="336">
        <v>0</v>
      </c>
      <c r="AX22" s="336">
        <v>0</v>
      </c>
      <c r="AY22" s="336">
        <v>0</v>
      </c>
      <c r="AZ22" s="336">
        <v>0</v>
      </c>
      <c r="BA22" s="336">
        <v>0</v>
      </c>
      <c r="BB22" s="336">
        <v>0</v>
      </c>
      <c r="BC22" s="336">
        <v>0</v>
      </c>
      <c r="BD22" s="336">
        <v>0</v>
      </c>
      <c r="BE22" s="336">
        <v>0</v>
      </c>
      <c r="BF22" s="336">
        <v>0</v>
      </c>
      <c r="BG22" s="336">
        <v>0</v>
      </c>
      <c r="BH22" s="336">
        <v>0</v>
      </c>
      <c r="BI22" s="336">
        <v>0</v>
      </c>
      <c r="BJ22" s="336">
        <v>0</v>
      </c>
      <c r="BK22" s="336">
        <v>0</v>
      </c>
      <c r="BL22" s="336">
        <v>0</v>
      </c>
      <c r="BM22" s="336">
        <v>0</v>
      </c>
      <c r="BN22" s="336">
        <v>0</v>
      </c>
      <c r="BO22" s="336">
        <v>0</v>
      </c>
      <c r="BP22" s="336">
        <v>0</v>
      </c>
      <c r="BQ22" s="336">
        <v>0</v>
      </c>
      <c r="BR22" s="336">
        <v>0</v>
      </c>
      <c r="BS22" s="336">
        <v>0</v>
      </c>
      <c r="BT22" s="336">
        <v>0</v>
      </c>
      <c r="BU22" s="336">
        <v>0</v>
      </c>
      <c r="BV22" s="336">
        <v>0</v>
      </c>
      <c r="BW22" s="336">
        <v>0</v>
      </c>
      <c r="BX22" s="336">
        <v>0</v>
      </c>
      <c r="BY22" s="336">
        <v>0</v>
      </c>
      <c r="BZ22" s="336">
        <v>0</v>
      </c>
      <c r="CA22" s="336">
        <v>18517505</v>
      </c>
      <c r="CB22" s="336">
        <v>0</v>
      </c>
      <c r="CC22" s="336">
        <v>0</v>
      </c>
      <c r="CD22" s="336">
        <v>0</v>
      </c>
      <c r="CE22" s="336">
        <v>0</v>
      </c>
      <c r="CF22" s="336">
        <v>0</v>
      </c>
      <c r="CG22" s="336">
        <v>0</v>
      </c>
      <c r="CH22" s="336">
        <v>0</v>
      </c>
      <c r="CI22" s="336">
        <v>0</v>
      </c>
      <c r="CJ22" s="336">
        <v>0</v>
      </c>
      <c r="CK22" s="336">
        <v>0</v>
      </c>
      <c r="CL22" s="336">
        <v>0</v>
      </c>
      <c r="CM22" s="336">
        <v>0</v>
      </c>
      <c r="CN22" s="336">
        <v>0</v>
      </c>
      <c r="CO22" s="336">
        <v>0</v>
      </c>
      <c r="CP22" s="336">
        <v>0</v>
      </c>
      <c r="CQ22" s="336">
        <v>0</v>
      </c>
      <c r="CR22" s="336">
        <v>0</v>
      </c>
      <c r="CS22" s="336">
        <v>0</v>
      </c>
      <c r="CT22" s="336">
        <v>0</v>
      </c>
      <c r="CU22" s="336">
        <v>0</v>
      </c>
      <c r="CV22" s="336">
        <v>0</v>
      </c>
      <c r="CW22" s="336">
        <v>0</v>
      </c>
      <c r="CX22" s="336">
        <v>0</v>
      </c>
      <c r="CY22" s="336">
        <v>0</v>
      </c>
      <c r="CZ22" s="336">
        <v>0</v>
      </c>
      <c r="DA22" s="336">
        <v>0</v>
      </c>
      <c r="DB22" s="336">
        <v>0</v>
      </c>
      <c r="DC22" s="336">
        <v>0</v>
      </c>
      <c r="DD22" s="336">
        <v>0</v>
      </c>
      <c r="DE22" s="336">
        <v>0</v>
      </c>
      <c r="DF22" s="336">
        <v>0</v>
      </c>
      <c r="DG22" s="336">
        <v>0</v>
      </c>
      <c r="DH22" s="336">
        <v>0</v>
      </c>
      <c r="DI22" s="336">
        <v>0</v>
      </c>
      <c r="DJ22" s="336">
        <v>0</v>
      </c>
      <c r="DK22" s="336">
        <v>0</v>
      </c>
      <c r="DL22" s="336">
        <v>0</v>
      </c>
      <c r="DM22" s="336">
        <v>0</v>
      </c>
      <c r="DN22" s="336">
        <v>0</v>
      </c>
      <c r="DO22" s="336">
        <v>0</v>
      </c>
      <c r="DP22" s="336">
        <v>0</v>
      </c>
      <c r="DQ22" s="336">
        <v>0</v>
      </c>
      <c r="DR22" s="336">
        <v>0</v>
      </c>
      <c r="DS22" s="336">
        <v>0</v>
      </c>
      <c r="DT22" s="336">
        <v>0</v>
      </c>
      <c r="DU22" s="336">
        <v>0</v>
      </c>
      <c r="DV22" s="336">
        <v>0</v>
      </c>
      <c r="DW22" s="336">
        <v>0</v>
      </c>
      <c r="DX22" s="336">
        <v>0</v>
      </c>
      <c r="DY22" s="336">
        <v>0</v>
      </c>
      <c r="DZ22" s="336">
        <v>0</v>
      </c>
      <c r="EA22" s="336">
        <v>0</v>
      </c>
      <c r="EB22" s="336">
        <v>0</v>
      </c>
      <c r="EC22" s="336">
        <v>0</v>
      </c>
      <c r="ED22" s="336">
        <v>0</v>
      </c>
      <c r="EE22" s="336">
        <v>0</v>
      </c>
      <c r="EF22" s="336">
        <v>0</v>
      </c>
      <c r="EG22" s="336">
        <v>0</v>
      </c>
      <c r="EH22" s="336">
        <v>0</v>
      </c>
      <c r="EI22" s="336">
        <v>0</v>
      </c>
      <c r="EJ22" s="336">
        <v>0</v>
      </c>
      <c r="EK22" s="336">
        <v>0</v>
      </c>
      <c r="EL22" s="336">
        <v>0</v>
      </c>
      <c r="EM22" s="336">
        <v>0</v>
      </c>
      <c r="EN22" s="336">
        <v>0</v>
      </c>
      <c r="EO22" s="336">
        <v>0</v>
      </c>
      <c r="EP22" s="336">
        <v>0</v>
      </c>
      <c r="EQ22" s="336">
        <v>0</v>
      </c>
      <c r="ER22" s="336">
        <v>0</v>
      </c>
      <c r="ES22" s="336">
        <v>0</v>
      </c>
      <c r="ET22" s="336">
        <v>0</v>
      </c>
      <c r="EU22" s="336">
        <v>0</v>
      </c>
      <c r="EV22" s="336">
        <v>0</v>
      </c>
      <c r="EW22" s="336">
        <v>0</v>
      </c>
      <c r="EX22" s="336">
        <v>0</v>
      </c>
      <c r="EY22" s="336">
        <v>0</v>
      </c>
      <c r="EZ22" s="336">
        <v>0</v>
      </c>
      <c r="FA22" s="336">
        <v>0</v>
      </c>
      <c r="FB22" s="336">
        <v>0</v>
      </c>
      <c r="FC22" s="336">
        <v>0</v>
      </c>
      <c r="FD22" s="336">
        <v>0</v>
      </c>
      <c r="FE22" s="336">
        <v>0</v>
      </c>
      <c r="FF22" s="336">
        <v>0</v>
      </c>
      <c r="FG22" s="336">
        <v>0</v>
      </c>
      <c r="FH22" s="336">
        <v>0</v>
      </c>
      <c r="FI22" s="336">
        <v>0</v>
      </c>
      <c r="FJ22" s="336">
        <v>0</v>
      </c>
      <c r="FK22" s="336">
        <v>0</v>
      </c>
      <c r="FL22" s="336">
        <v>0</v>
      </c>
      <c r="FM22" s="336">
        <v>10889476</v>
      </c>
      <c r="FN22" s="336">
        <v>9539</v>
      </c>
      <c r="FO22" s="336">
        <v>0</v>
      </c>
      <c r="FP22" s="336">
        <v>0</v>
      </c>
      <c r="FQ22" s="336">
        <v>0</v>
      </c>
      <c r="FR22" s="336">
        <v>0</v>
      </c>
      <c r="FS22" s="336">
        <v>0</v>
      </c>
      <c r="FT22" s="336">
        <v>0</v>
      </c>
      <c r="FU22" s="336">
        <v>0</v>
      </c>
      <c r="FV22" s="336">
        <v>0</v>
      </c>
      <c r="FW22" s="336">
        <v>0</v>
      </c>
      <c r="FX22" s="336">
        <v>0</v>
      </c>
      <c r="FY22" s="336">
        <v>0</v>
      </c>
      <c r="FZ22" s="336">
        <v>0</v>
      </c>
      <c r="GA22" s="336">
        <v>0</v>
      </c>
      <c r="GB22" s="336">
        <v>0</v>
      </c>
      <c r="GC22" s="336">
        <v>0</v>
      </c>
      <c r="GD22" s="336">
        <v>0</v>
      </c>
      <c r="GE22" s="336">
        <v>0</v>
      </c>
      <c r="GF22" s="336">
        <v>0</v>
      </c>
      <c r="GG22" s="336">
        <v>0</v>
      </c>
      <c r="GH22" s="336">
        <v>0</v>
      </c>
      <c r="GI22" s="336">
        <v>0</v>
      </c>
      <c r="GJ22" s="336">
        <v>0</v>
      </c>
      <c r="GK22" s="336">
        <v>0</v>
      </c>
      <c r="GL22" s="336">
        <v>0</v>
      </c>
      <c r="GM22" s="336">
        <v>0</v>
      </c>
      <c r="GN22" s="336">
        <v>0</v>
      </c>
      <c r="GO22" s="336">
        <v>0</v>
      </c>
      <c r="GP22" s="336">
        <v>0</v>
      </c>
      <c r="GQ22" s="336">
        <v>0</v>
      </c>
      <c r="GR22" s="336">
        <v>0</v>
      </c>
      <c r="GS22" s="336">
        <v>0</v>
      </c>
      <c r="GT22" s="336">
        <v>0</v>
      </c>
      <c r="GU22" s="336">
        <v>0</v>
      </c>
      <c r="GV22" s="336">
        <v>0</v>
      </c>
      <c r="GW22" s="336">
        <v>0</v>
      </c>
      <c r="GX22" s="336">
        <v>0</v>
      </c>
      <c r="GY22" s="336">
        <v>0</v>
      </c>
      <c r="GZ22" s="336">
        <v>0</v>
      </c>
      <c r="HA22" s="336">
        <v>0</v>
      </c>
      <c r="HB22" s="336">
        <v>0</v>
      </c>
      <c r="HC22" s="336">
        <v>0</v>
      </c>
      <c r="HD22" s="336">
        <v>0</v>
      </c>
      <c r="HE22" s="336">
        <v>0</v>
      </c>
      <c r="HF22" s="336">
        <v>0</v>
      </c>
      <c r="HG22" s="336">
        <v>0</v>
      </c>
      <c r="HH22" s="336">
        <v>0</v>
      </c>
      <c r="HI22" s="336">
        <v>0</v>
      </c>
      <c r="HJ22" s="336">
        <v>0</v>
      </c>
      <c r="HK22" s="336">
        <v>0</v>
      </c>
      <c r="HL22" s="336">
        <v>0</v>
      </c>
      <c r="HM22" s="336">
        <v>0</v>
      </c>
      <c r="HN22" s="336">
        <v>0</v>
      </c>
      <c r="HO22" s="336">
        <v>315057</v>
      </c>
      <c r="HP22" s="336">
        <v>0</v>
      </c>
      <c r="HQ22" s="336">
        <v>0</v>
      </c>
      <c r="HR22" s="336">
        <v>36482696</v>
      </c>
      <c r="HS22" s="336">
        <v>0</v>
      </c>
      <c r="HT22" s="336">
        <v>0</v>
      </c>
      <c r="HU22" s="336">
        <v>0</v>
      </c>
      <c r="HV22" s="336">
        <v>0</v>
      </c>
      <c r="HW22" s="336">
        <v>0</v>
      </c>
      <c r="HX22" s="336">
        <v>0</v>
      </c>
      <c r="HY22" s="336">
        <v>0</v>
      </c>
      <c r="HZ22" s="336">
        <v>0</v>
      </c>
      <c r="IA22" s="336">
        <v>0</v>
      </c>
      <c r="IB22" s="336">
        <v>0</v>
      </c>
      <c r="IC22" s="336">
        <v>0</v>
      </c>
      <c r="ID22" s="336">
        <v>0</v>
      </c>
      <c r="IE22" s="336">
        <v>0</v>
      </c>
      <c r="IF22" s="336">
        <v>0</v>
      </c>
      <c r="IG22" s="336">
        <v>0</v>
      </c>
      <c r="IH22" s="336">
        <v>0</v>
      </c>
      <c r="II22" s="336">
        <v>0</v>
      </c>
      <c r="IJ22" s="336">
        <v>0</v>
      </c>
      <c r="IK22" s="336">
        <v>0</v>
      </c>
      <c r="IL22" s="336">
        <v>0</v>
      </c>
      <c r="IM22" s="336">
        <v>0</v>
      </c>
      <c r="IN22" s="336">
        <v>0</v>
      </c>
      <c r="IO22" s="336">
        <v>0</v>
      </c>
      <c r="IP22" s="336">
        <v>481731</v>
      </c>
      <c r="IQ22" s="336">
        <v>3080911</v>
      </c>
      <c r="IR22" s="336">
        <v>0</v>
      </c>
      <c r="IS22" s="336">
        <v>407223</v>
      </c>
      <c r="IT22" s="336">
        <v>0</v>
      </c>
      <c r="IU22" s="336">
        <v>0</v>
      </c>
      <c r="IV22" s="336">
        <v>0</v>
      </c>
      <c r="IW22" s="336">
        <v>0</v>
      </c>
      <c r="IX22" s="336">
        <v>0</v>
      </c>
      <c r="IY22" s="336">
        <v>1650968</v>
      </c>
      <c r="IZ22" s="336">
        <v>0</v>
      </c>
      <c r="JA22" s="336">
        <v>0</v>
      </c>
      <c r="JB22" s="336">
        <v>184664</v>
      </c>
      <c r="JC22" s="336">
        <v>0</v>
      </c>
      <c r="JD22" s="336">
        <v>0</v>
      </c>
      <c r="JE22" s="336">
        <v>0</v>
      </c>
      <c r="JF22" s="336">
        <v>0</v>
      </c>
      <c r="JG22" s="336">
        <v>0</v>
      </c>
      <c r="JH22" s="336">
        <v>21096509</v>
      </c>
      <c r="JI22" s="336">
        <v>114054</v>
      </c>
      <c r="JJ22" s="336">
        <v>0</v>
      </c>
      <c r="JK22" s="336">
        <v>1020364</v>
      </c>
      <c r="JL22" s="336">
        <v>0</v>
      </c>
      <c r="JM22" s="336">
        <v>0</v>
      </c>
      <c r="JN22" s="336">
        <v>0</v>
      </c>
      <c r="JO22" s="336">
        <v>0</v>
      </c>
      <c r="JP22" s="336">
        <v>0</v>
      </c>
      <c r="JQ22" s="336">
        <v>6559270</v>
      </c>
      <c r="JR22" s="336">
        <v>5684095</v>
      </c>
      <c r="JS22" s="336">
        <v>0</v>
      </c>
      <c r="JT22" s="336">
        <v>0</v>
      </c>
      <c r="JU22" s="336">
        <v>0</v>
      </c>
      <c r="JV22" s="336">
        <v>0</v>
      </c>
      <c r="JW22" s="336">
        <v>0</v>
      </c>
      <c r="JX22" s="336">
        <v>0</v>
      </c>
      <c r="JY22" s="336">
        <v>0</v>
      </c>
      <c r="JZ22" s="336">
        <v>0</v>
      </c>
      <c r="KA22" s="336">
        <v>0</v>
      </c>
      <c r="KB22" s="336">
        <v>0</v>
      </c>
      <c r="KC22" s="336">
        <v>0</v>
      </c>
      <c r="KD22" s="336">
        <v>0</v>
      </c>
      <c r="KE22" s="336">
        <v>0</v>
      </c>
      <c r="KF22" s="336">
        <v>0</v>
      </c>
      <c r="KG22" s="336">
        <v>0</v>
      </c>
      <c r="KH22" s="336">
        <v>0</v>
      </c>
      <c r="KI22" s="336">
        <v>29243</v>
      </c>
      <c r="KJ22" s="336">
        <v>399953</v>
      </c>
      <c r="KK22" s="336">
        <v>0</v>
      </c>
      <c r="KL22" s="336">
        <v>16</v>
      </c>
      <c r="KM22" s="336">
        <v>0</v>
      </c>
      <c r="KN22" s="336">
        <v>0</v>
      </c>
      <c r="KO22" s="336">
        <v>0</v>
      </c>
      <c r="KP22" s="336">
        <v>0</v>
      </c>
      <c r="KQ22" s="336">
        <v>301624</v>
      </c>
      <c r="KR22" s="336">
        <v>104920399</v>
      </c>
      <c r="KS22" s="336">
        <v>2068854</v>
      </c>
      <c r="KT22" s="336">
        <v>0</v>
      </c>
      <c r="KU22" s="336">
        <v>29841917</v>
      </c>
      <c r="KV22" s="336">
        <v>0</v>
      </c>
      <c r="KW22" s="336">
        <v>0</v>
      </c>
      <c r="KX22" s="336">
        <v>0</v>
      </c>
      <c r="KY22" s="336">
        <v>0</v>
      </c>
      <c r="KZ22" s="336">
        <v>0</v>
      </c>
      <c r="LA22" s="336">
        <v>0</v>
      </c>
      <c r="LB22" s="336">
        <v>0</v>
      </c>
      <c r="LC22" s="336">
        <v>0</v>
      </c>
      <c r="LD22" s="336">
        <v>0</v>
      </c>
      <c r="LE22" s="336">
        <v>0</v>
      </c>
      <c r="LF22" s="336">
        <v>0</v>
      </c>
      <c r="LG22" s="336">
        <v>0</v>
      </c>
      <c r="LH22" s="336">
        <v>0</v>
      </c>
      <c r="LI22" s="336">
        <v>0</v>
      </c>
      <c r="LJ22" s="336">
        <v>0</v>
      </c>
      <c r="LK22" s="336">
        <v>0</v>
      </c>
      <c r="LL22" s="336">
        <v>0</v>
      </c>
      <c r="LM22" s="336">
        <v>0</v>
      </c>
      <c r="LN22" s="336">
        <v>0</v>
      </c>
      <c r="LO22" s="336">
        <v>0</v>
      </c>
      <c r="LP22" s="336">
        <v>0</v>
      </c>
      <c r="LQ22" s="336">
        <v>0</v>
      </c>
      <c r="LR22" s="336">
        <v>0</v>
      </c>
      <c r="LS22" s="336">
        <v>0</v>
      </c>
      <c r="LT22" s="336">
        <v>0</v>
      </c>
      <c r="LU22" s="336">
        <v>0</v>
      </c>
      <c r="LV22" s="336">
        <v>0</v>
      </c>
      <c r="LW22" s="336">
        <v>0</v>
      </c>
      <c r="LX22" s="336">
        <v>0</v>
      </c>
      <c r="LY22" s="336">
        <v>0</v>
      </c>
      <c r="LZ22" s="336">
        <v>0</v>
      </c>
      <c r="MA22" s="336">
        <v>0</v>
      </c>
      <c r="MB22" s="336">
        <v>0</v>
      </c>
      <c r="MC22" s="336">
        <v>0</v>
      </c>
      <c r="MD22" s="336">
        <v>0</v>
      </c>
      <c r="ME22" s="336">
        <v>0</v>
      </c>
      <c r="MF22" s="336">
        <v>0</v>
      </c>
      <c r="MG22" s="336">
        <v>0</v>
      </c>
      <c r="MH22" s="336">
        <v>0</v>
      </c>
      <c r="MI22" s="336">
        <v>0</v>
      </c>
      <c r="MJ22" s="336">
        <v>0</v>
      </c>
      <c r="MK22" s="336">
        <v>0</v>
      </c>
      <c r="ML22" s="336">
        <v>0</v>
      </c>
      <c r="MM22" s="336">
        <v>0</v>
      </c>
      <c r="MN22" s="336">
        <v>0</v>
      </c>
      <c r="MO22" s="336">
        <v>0</v>
      </c>
      <c r="MP22" s="336">
        <v>0</v>
      </c>
      <c r="MQ22" s="336">
        <v>0</v>
      </c>
      <c r="MR22" s="336">
        <v>0</v>
      </c>
      <c r="MS22" s="336">
        <v>0</v>
      </c>
      <c r="MT22" s="336">
        <v>0</v>
      </c>
      <c r="MU22" s="336">
        <v>0</v>
      </c>
      <c r="MV22" s="336">
        <v>0</v>
      </c>
      <c r="MW22" s="336">
        <v>0</v>
      </c>
      <c r="MX22" s="336">
        <v>0</v>
      </c>
      <c r="MY22" s="336">
        <v>0</v>
      </c>
      <c r="MZ22" s="336">
        <v>0</v>
      </c>
      <c r="NA22" s="336">
        <v>0</v>
      </c>
      <c r="NB22" s="336">
        <v>0</v>
      </c>
      <c r="NC22" s="336">
        <v>0</v>
      </c>
      <c r="ND22" s="336">
        <v>0</v>
      </c>
      <c r="NE22" s="336">
        <v>0</v>
      </c>
      <c r="NF22" s="336">
        <v>0</v>
      </c>
      <c r="NG22" s="336">
        <v>0</v>
      </c>
      <c r="NH22" s="336">
        <v>0</v>
      </c>
      <c r="NI22" s="336">
        <v>0</v>
      </c>
      <c r="NJ22" s="336">
        <v>0</v>
      </c>
      <c r="NK22" s="336">
        <v>0</v>
      </c>
      <c r="NL22" s="336">
        <v>0</v>
      </c>
      <c r="NM22" s="336">
        <v>0</v>
      </c>
      <c r="NN22" s="336">
        <v>0</v>
      </c>
      <c r="NO22" s="336">
        <v>0</v>
      </c>
      <c r="NP22" s="336">
        <v>0</v>
      </c>
      <c r="NQ22" s="336">
        <v>0</v>
      </c>
      <c r="NR22" s="336">
        <v>0</v>
      </c>
      <c r="NS22" s="336">
        <v>0</v>
      </c>
      <c r="NT22" s="336">
        <v>0</v>
      </c>
      <c r="NU22" s="336">
        <v>0</v>
      </c>
      <c r="NV22" s="336">
        <v>0</v>
      </c>
      <c r="NW22" s="336">
        <v>0</v>
      </c>
      <c r="NX22" s="336">
        <v>0</v>
      </c>
      <c r="NY22" s="336">
        <v>0</v>
      </c>
      <c r="NZ22" s="336">
        <v>0</v>
      </c>
      <c r="OA22" s="336">
        <v>0</v>
      </c>
      <c r="OB22" s="336">
        <v>0</v>
      </c>
      <c r="OC22" s="336">
        <v>0</v>
      </c>
      <c r="OD22" s="336">
        <v>2370365</v>
      </c>
      <c r="OE22" s="336">
        <v>3467746</v>
      </c>
      <c r="OF22" s="336">
        <v>0</v>
      </c>
      <c r="OG22" s="336">
        <v>430050</v>
      </c>
      <c r="OH22" s="336">
        <v>0</v>
      </c>
      <c r="OI22" s="336">
        <v>0</v>
      </c>
      <c r="OJ22" s="336">
        <v>0</v>
      </c>
      <c r="OK22" s="336">
        <v>0</v>
      </c>
      <c r="OL22" s="336">
        <v>0</v>
      </c>
      <c r="OM22" s="336">
        <v>36055</v>
      </c>
      <c r="ON22" s="336">
        <v>227800</v>
      </c>
      <c r="OO22" s="336">
        <v>0</v>
      </c>
      <c r="OP22" s="336">
        <v>22469</v>
      </c>
      <c r="OQ22" s="336">
        <v>0</v>
      </c>
      <c r="OR22" s="336">
        <v>0</v>
      </c>
      <c r="OS22" s="336">
        <v>0</v>
      </c>
      <c r="OT22" s="336">
        <v>0</v>
      </c>
      <c r="OU22" s="336">
        <v>3813376</v>
      </c>
      <c r="OV22" s="336">
        <v>0</v>
      </c>
      <c r="OW22" s="336">
        <v>0</v>
      </c>
      <c r="OX22" s="336">
        <v>0</v>
      </c>
      <c r="OY22" s="336">
        <v>0</v>
      </c>
      <c r="OZ22" s="336">
        <v>0</v>
      </c>
      <c r="PA22" s="336">
        <v>0</v>
      </c>
      <c r="PB22" s="336">
        <v>0</v>
      </c>
      <c r="PC22" s="336">
        <v>0</v>
      </c>
      <c r="PD22" s="336">
        <v>0</v>
      </c>
      <c r="PE22" s="336">
        <v>13988482</v>
      </c>
      <c r="PF22" s="336">
        <v>-2796830</v>
      </c>
      <c r="PG22" s="336">
        <v>0</v>
      </c>
      <c r="PH22" s="336">
        <v>-14179229</v>
      </c>
      <c r="PI22" s="336">
        <v>0</v>
      </c>
      <c r="PJ22" s="336">
        <v>-2950</v>
      </c>
      <c r="PK22" s="336">
        <v>0</v>
      </c>
      <c r="PL22" s="336">
        <v>0</v>
      </c>
      <c r="PM22" s="336">
        <v>0</v>
      </c>
      <c r="PN22" s="336">
        <v>0</v>
      </c>
      <c r="PO22" s="336">
        <v>0</v>
      </c>
      <c r="PP22" s="336">
        <v>0</v>
      </c>
      <c r="PQ22" s="336">
        <v>0</v>
      </c>
      <c r="PR22" s="336">
        <v>0</v>
      </c>
      <c r="PS22" s="336">
        <v>0</v>
      </c>
      <c r="PT22" s="336">
        <v>0</v>
      </c>
      <c r="PU22" s="336">
        <v>0</v>
      </c>
      <c r="PV22" s="336">
        <v>0</v>
      </c>
      <c r="PW22" s="336">
        <v>0</v>
      </c>
      <c r="PX22" s="336">
        <v>-3179729</v>
      </c>
      <c r="PY22" s="336">
        <v>0</v>
      </c>
      <c r="PZ22" s="336">
        <v>0</v>
      </c>
      <c r="QA22" s="336">
        <v>0</v>
      </c>
      <c r="QB22" s="336">
        <v>0</v>
      </c>
      <c r="QC22" s="336">
        <v>0</v>
      </c>
      <c r="QD22" s="336">
        <v>0</v>
      </c>
      <c r="QE22" s="336">
        <v>0</v>
      </c>
      <c r="QF22" s="336">
        <v>1091535</v>
      </c>
      <c r="QG22" s="336">
        <v>6824992</v>
      </c>
      <c r="QH22" s="336">
        <v>0</v>
      </c>
      <c r="QI22" s="336">
        <v>860900</v>
      </c>
      <c r="QJ22" s="336">
        <v>0</v>
      </c>
      <c r="QK22" s="336">
        <v>13465</v>
      </c>
      <c r="QL22" s="336">
        <v>152773</v>
      </c>
      <c r="QM22" s="336">
        <v>0</v>
      </c>
      <c r="QN22" s="336">
        <v>0</v>
      </c>
      <c r="QO22" s="336">
        <v>0</v>
      </c>
      <c r="QP22" s="336">
        <v>0</v>
      </c>
      <c r="QQ22" s="336">
        <v>0</v>
      </c>
      <c r="QR22" s="336">
        <v>0</v>
      </c>
      <c r="QS22" s="336">
        <v>0</v>
      </c>
      <c r="QT22" s="336">
        <v>0</v>
      </c>
      <c r="QU22" s="336">
        <v>0</v>
      </c>
      <c r="QV22" s="336">
        <v>0</v>
      </c>
      <c r="QW22" s="336">
        <v>0</v>
      </c>
      <c r="QX22" s="336">
        <v>0</v>
      </c>
      <c r="QY22" s="336">
        <v>0</v>
      </c>
      <c r="QZ22" s="336">
        <v>0</v>
      </c>
      <c r="RA22" s="336">
        <v>0</v>
      </c>
      <c r="RB22" s="336">
        <v>0</v>
      </c>
      <c r="RC22" s="336">
        <v>0</v>
      </c>
      <c r="RD22" s="336">
        <v>0</v>
      </c>
      <c r="RE22" s="336">
        <v>0</v>
      </c>
      <c r="RF22" s="336">
        <v>0</v>
      </c>
      <c r="RG22" s="336">
        <v>0</v>
      </c>
      <c r="RH22" s="336">
        <v>0</v>
      </c>
      <c r="RI22" s="336">
        <v>0</v>
      </c>
      <c r="RJ22" s="336">
        <v>0</v>
      </c>
      <c r="RK22" s="336">
        <v>0</v>
      </c>
      <c r="RL22" s="336">
        <v>0</v>
      </c>
      <c r="RM22" s="336">
        <v>0</v>
      </c>
      <c r="RN22" s="336">
        <v>0</v>
      </c>
      <c r="RO22" s="336">
        <v>-7145745</v>
      </c>
      <c r="RP22" s="336">
        <v>0</v>
      </c>
      <c r="RQ22" s="336">
        <v>0</v>
      </c>
      <c r="RR22" s="336">
        <v>0</v>
      </c>
      <c r="RS22" s="336">
        <v>0</v>
      </c>
      <c r="RT22" s="336">
        <v>0</v>
      </c>
      <c r="RU22" s="336">
        <v>0</v>
      </c>
      <c r="RV22" s="336">
        <v>0</v>
      </c>
      <c r="RW22" s="336">
        <v>0</v>
      </c>
      <c r="RX22" s="336">
        <v>29227129</v>
      </c>
      <c r="RY22" s="336">
        <v>0</v>
      </c>
      <c r="RZ22" s="336">
        <v>0</v>
      </c>
      <c r="SA22" s="336">
        <v>0</v>
      </c>
      <c r="SB22" s="336">
        <v>0</v>
      </c>
      <c r="SC22" s="336">
        <v>0</v>
      </c>
      <c r="SD22" s="336">
        <v>0</v>
      </c>
      <c r="SE22" s="336">
        <v>0</v>
      </c>
      <c r="SF22" s="336">
        <v>0</v>
      </c>
      <c r="SG22" s="336">
        <v>0</v>
      </c>
      <c r="SH22" s="336">
        <v>0</v>
      </c>
      <c r="SI22" s="336">
        <v>0</v>
      </c>
      <c r="SJ22" s="336">
        <v>0</v>
      </c>
      <c r="SK22" s="336">
        <v>0</v>
      </c>
      <c r="SL22" s="336">
        <v>0</v>
      </c>
      <c r="SM22" s="336">
        <v>0</v>
      </c>
      <c r="SN22" s="336">
        <v>0</v>
      </c>
      <c r="SO22" s="336">
        <v>0</v>
      </c>
      <c r="SP22" s="336">
        <v>0</v>
      </c>
      <c r="SQ22" s="336">
        <v>2370365</v>
      </c>
      <c r="SR22" s="336">
        <v>3467746</v>
      </c>
      <c r="SS22" s="336">
        <v>0</v>
      </c>
      <c r="ST22" s="336">
        <v>430050</v>
      </c>
      <c r="SU22" s="336">
        <v>0</v>
      </c>
      <c r="SV22" s="336">
        <v>0</v>
      </c>
      <c r="SW22" s="336">
        <v>0</v>
      </c>
      <c r="SX22" s="336">
        <v>0</v>
      </c>
      <c r="SY22" s="336">
        <v>0</v>
      </c>
      <c r="SZ22" s="336" t="s">
        <v>1420</v>
      </c>
      <c r="TA22" s="336" t="s">
        <v>1420</v>
      </c>
      <c r="TB22" s="336" t="s">
        <v>1420</v>
      </c>
      <c r="TC22" s="336">
        <v>6268161</v>
      </c>
      <c r="TD22" s="336">
        <v>0</v>
      </c>
      <c r="TE22" s="336">
        <v>0</v>
      </c>
      <c r="TF22" s="336">
        <v>0</v>
      </c>
      <c r="TG22" s="336">
        <v>0</v>
      </c>
      <c r="TH22" s="336">
        <v>0</v>
      </c>
      <c r="TI22" s="336">
        <v>0</v>
      </c>
      <c r="TJ22" s="336">
        <v>0</v>
      </c>
      <c r="TK22" s="336">
        <v>0</v>
      </c>
      <c r="TL22" s="336">
        <v>0</v>
      </c>
      <c r="TM22" s="336">
        <v>0</v>
      </c>
      <c r="TN22" s="336">
        <v>2354475</v>
      </c>
      <c r="TO22" s="336">
        <v>0</v>
      </c>
      <c r="TP22" s="336">
        <v>0</v>
      </c>
      <c r="TQ22" s="336">
        <v>0</v>
      </c>
      <c r="TR22" s="336">
        <v>0</v>
      </c>
      <c r="TS22" s="336">
        <v>0</v>
      </c>
      <c r="TT22" s="336">
        <v>0</v>
      </c>
      <c r="TU22" s="336">
        <v>0</v>
      </c>
      <c r="TV22" s="336">
        <v>0</v>
      </c>
      <c r="TW22" s="336">
        <v>0</v>
      </c>
      <c r="TX22" s="336">
        <v>0</v>
      </c>
      <c r="TY22" s="336">
        <v>0</v>
      </c>
      <c r="TZ22" s="336">
        <v>0</v>
      </c>
      <c r="UA22" s="336">
        <v>0</v>
      </c>
      <c r="UB22" s="336">
        <v>0</v>
      </c>
      <c r="UC22" s="336">
        <v>0</v>
      </c>
      <c r="UD22" s="336">
        <v>0</v>
      </c>
      <c r="UE22" s="336">
        <v>0</v>
      </c>
      <c r="UF22" s="336">
        <v>0</v>
      </c>
      <c r="UG22" s="336">
        <v>0</v>
      </c>
      <c r="UH22" s="336">
        <v>136831170</v>
      </c>
      <c r="UI22" s="338">
        <v>0</v>
      </c>
      <c r="UJ22" s="338">
        <v>0</v>
      </c>
      <c r="UK22" s="338">
        <v>0</v>
      </c>
      <c r="UL22" s="338">
        <v>0</v>
      </c>
      <c r="UM22" s="338">
        <v>0</v>
      </c>
      <c r="UN22" s="338">
        <v>0</v>
      </c>
      <c r="UO22" s="338">
        <v>0</v>
      </c>
      <c r="UP22" s="338">
        <v>0</v>
      </c>
      <c r="UQ22" s="338">
        <v>0</v>
      </c>
      <c r="UR22"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6268161</v>
      </c>
      <c r="US22" s="338">
        <f>SUM(Input[[#This Row],[Oth Exp E&amp;G]],Input[[#This Row],[Oth Exp Desg]],Input[[#This Row],[Oth Exp Aux]],Input[[#This Row],[Oth Exp R Exp]],Input[[#This Row],[Oth Exp Loan]],Input[[#This Row],[Oth Exp Annuity]],Input[[#This Row],[Oth Exp Unexp]],Input[[#This Row],[Oth Exp R of Ind]],Input[[#This Row],[Oth Exp Inv in P]])</f>
        <v>4099700</v>
      </c>
      <c r="UT22" s="336">
        <v>0</v>
      </c>
      <c r="UU22" s="336">
        <v>0</v>
      </c>
      <c r="UV22" s="339" t="s">
        <v>1432</v>
      </c>
      <c r="UW22" s="340">
        <v>9798459761</v>
      </c>
      <c r="UX22" s="339" t="s">
        <v>1433</v>
      </c>
      <c r="UY22" s="339" t="s">
        <v>1583</v>
      </c>
      <c r="UZ22" s="340">
        <v>9795006622</v>
      </c>
      <c r="VA22" s="339" t="s">
        <v>1584</v>
      </c>
      <c r="VB22" s="341" t="str" cm="1">
        <f t="array" ref="VB22">IFERROR(_xlfn.IFS(Input[[#This Row],[Type]]="HRI",VLOOKUP(Input[[#This Row],[Institution Name]],FTSEHRI[],9,FALSE),Input[[#This Row],[Type]]="UNIV",VLOOKUP(Input[[#This Row],[Institution Name]],FTSEUNIV[],9,FALSE),OR(Input[[#This Row],[Type]]="TSTC",Input[[#This Row],[Type]]="LSC"),VLOOKUP(Input[[#This Row],[Institution Name]],FTSETSTC[],8,FALSE)),"N/A")</f>
        <v>N/A</v>
      </c>
      <c r="VC22" s="342" t="str" cm="1">
        <f t="array" ref="VC22">IFERROR(_xlfn.IFS(Input[[#This Row],[Type]]="HRI",VLOOKUP(Input[[#This Row],[Institution Name]],FTSEHRI[],11,FALSE),Input[[#This Row],[Type]]="UNIV",VLOOKUP(Input[[#This Row],[Institution Name]],FTSEUNIV[],11,FALSE),Input[[#This Row],[Type]]="TSTC",VLOOKUP(Input[[#This Row],[Institution Name]],FTSETSTC[],10,FALSE)),"N/A")</f>
        <v>N/A</v>
      </c>
      <c r="VD22"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33419714</v>
      </c>
      <c r="VE22"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22" s="338">
        <f>SUM(Input[[#This Row],[Fed G&amp;C E&amp;G]],Input[[#This Row],[Fed G&amp;C Desg]],Input[[#This Row],[Fed G&amp;C R Exp]],Input[[#This Row],[Fed G&amp;C Loan]],Input[[#This Row],[Fed G&amp;C Annuity]],Input[[#This Row],[Fed G&amp;C Unexp]],Input[[#This Row],[Fed G&amp;C R of Ind]],Input[[#This Row],[Fed G&amp;C Inv in P]])</f>
        <v>36797753</v>
      </c>
      <c r="VG22"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41010625</v>
      </c>
      <c r="VH22"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18517505</v>
      </c>
      <c r="VI22"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10899015</v>
      </c>
      <c r="VJ22" s="338">
        <f>SUM(Input[[#This Row],[Oth Inc E&amp;G]],Input[[#This Row],[Oth Exp Desg]],Input[[#This Row],[Oth Exp R Exp]],Input[[#This Row],[Oth Exp Loan]],Input[[#This Row],[Oth Exp Annuity]],Input[[#This Row],[Oth Exp Unexp]],Input[[#This Row],[Oth Exp R of Ind]],Input[[#This Row],[Oth Exp Inv in P]])</f>
        <v>4092888</v>
      </c>
      <c r="VK22" s="343">
        <f>SUM(Input[[#This Row],[Instr E&amp;G]],Input[[#This Row],[Instr Desg]],Input[[#This Row],[Instr R Exp]],Input[[#This Row],[Instr Loan]],Input[[#This Row],[Instr Annuity]],Input[[#This Row],[Instr Unexp]],Input[[#This Row],[Instr R of Ind]],Input[[#This Row],[Instr Inv in P]])</f>
        <v>136831170</v>
      </c>
      <c r="VL22" s="343">
        <f>SUM(Input[[#This Row],[Res E&amp;G]],Input[[#This Row],[Res Desg]],Input[[#This Row],[Res R Exp]],Input[[#This Row],[Res Loan]],Input[[#This Row],[Res Annuity]],Input[[#This Row],[Res Unexp]],Input[[#This Row],[Res R of Ind]],Input[[#This Row],[Res Inv in P]])</f>
        <v>0</v>
      </c>
      <c r="VM22" s="343">
        <f>SUM(Input[[#This Row],[Acad Sup E&amp;G]],Input[[#This Row],[Acad Sup Desg]],Input[[#This Row],[Acad Sup R Exp]],Input[[#This Row],[Acad Sup Loan]],Input[[#This Row],[Acad Sup Annuity]],Input[[#This Row],[Acad Sup Unexp]],Input[[#This Row],[Acad Sup R of Ind]],Input[[#This Row],[Acad Sup Inv in P]])</f>
        <v>0</v>
      </c>
      <c r="VN22" s="343">
        <f>SUM(Input[[#This Row],[Stu Svc E&amp;G]],Input[[#This Row],[Stu Svc Desg]],Input[[#This Row],[Stu Svc R Exp]],Input[[#This Row],[Stu Svc Loan]],Input[[#This Row],[Stu Svc Annuity]],Input[[#This Row],[Stu Svc Unexp]],Input[[#This Row],[Stu Svc R of Ind]],Input[[#This Row],[Stu Svc Inv in P]])</f>
        <v>0</v>
      </c>
      <c r="VO22" s="343">
        <f>SUM(Input[[#This Row],[Inst. Spt E&amp;G]],Input[[#This Row],[Inst. Spt Desg]],Input[[#This Row],[Inst. Spt R Exp]],Input[[#This Row],[Inst. Spt Loan]],Input[[#This Row],[Inst. Spt Annuity]],Input[[#This Row],[Inst. Spt Unexp]],Input[[#This Row],[Inst. Spt R of Ind]],Input[[#This Row],[Inst. Spt Inv in P]])</f>
        <v>0</v>
      </c>
      <c r="VP22" s="343">
        <f>SUM(Input[[#This Row],[M&amp;O Plnt E&amp;G]],Input[[#This Row],[M&amp;O Plnt Desg]],Input[[#This Row],[M&amp;O Plnt R Exp]],Input[[#This Row],[M&amp;O Plnt Loan]],Input[[#This Row],[M&amp;O Plnt Annuity]],Input[[#This Row],[M&amp;O Plnt Unexp]],Input[[#This Row],[M&amp;O Plnt R of Ind]],Input[[#This Row],[M&amp;O Plnt Inv in P]])</f>
        <v>0</v>
      </c>
      <c r="VQ22" s="343">
        <f>SUM(Input[[#This Row],[Schl &amp; Fell E&amp;G]],Input[[#This Row],[Schl &amp; Fell Desg]],Input[[#This Row],[Schl &amp; Fell R Exp]],Input[[#This Row],[Schl &amp; Fell Loan]],Input[[#This Row],[Schl &amp; Fell Annuity]],Input[[#This Row],[Schl &amp; Fell Unexp]],Input[[#This Row],[Schl &amp; Fell R of Ind]],Input[[#This Row],[Schl &amp; Fell Inv in P]])</f>
        <v>0</v>
      </c>
      <c r="VR22" s="343">
        <f>SUM(Input[[#This Row],[Cap Out fund E&amp;G]],Input[[#This Row],[Cap Out fund Desg]],Input[[#This Row],[Cap Out fund R Exp]],Input[[#This Row],[Cap Out fund Loan]],Input[[#This Row],[Cap Out fund Annuity]],Input[[#This Row],[Cap Out fund Unexp]],Input[[#This Row],[Cap Out fund R of Ind]],Input[[#This Row],[Cap Out fund Inv in P]])</f>
        <v>6268161</v>
      </c>
      <c r="VS22" s="343">
        <f>SUM(Input[[#This Row],[Oth Exp E&amp;G]],Input[[#This Row],[Oth Exp Desg]],Input[[#This Row],[Oth Exp R Exp]],Input[[#This Row],[Oth Exp Loan]],Input[[#This Row],[Oth Exp Annuity]],Input[[#This Row],[Oth Exp Unexp]],Input[[#This Row],[Oth Exp R of Ind]],Input[[#This Row],[Oth Exp Inv in P]],Input[[#This Row],[Oth Exp Inv in P]])</f>
        <v>7913076</v>
      </c>
    </row>
    <row r="23" spans="1:591" s="344" customFormat="1" ht="27" customHeight="1" x14ac:dyDescent="0.55000000000000004">
      <c r="A23" s="339" t="s">
        <v>704</v>
      </c>
      <c r="B23" s="334" t="s">
        <v>830</v>
      </c>
      <c r="C23" s="350" t="s">
        <v>1914</v>
      </c>
      <c r="D23" s="334">
        <v>620</v>
      </c>
      <c r="E23" s="334" t="s">
        <v>1622</v>
      </c>
      <c r="F23" s="335">
        <v>576</v>
      </c>
      <c r="G23" s="336">
        <v>14968719</v>
      </c>
      <c r="H23" s="336">
        <v>0</v>
      </c>
      <c r="I23" s="336">
        <v>0</v>
      </c>
      <c r="J23" s="336">
        <v>0</v>
      </c>
      <c r="K23" s="336">
        <v>0</v>
      </c>
      <c r="L23" s="336">
        <v>0</v>
      </c>
      <c r="M23" s="336">
        <v>0</v>
      </c>
      <c r="N23" s="336">
        <v>0</v>
      </c>
      <c r="O23" s="336">
        <v>0</v>
      </c>
      <c r="P23" s="336">
        <v>0</v>
      </c>
      <c r="Q23" s="336">
        <v>0</v>
      </c>
      <c r="R23" s="336">
        <v>0</v>
      </c>
      <c r="S23" s="336">
        <v>0</v>
      </c>
      <c r="T23" s="336">
        <v>0</v>
      </c>
      <c r="U23" s="336">
        <v>0</v>
      </c>
      <c r="V23" s="336">
        <v>0</v>
      </c>
      <c r="W23" s="336">
        <v>0</v>
      </c>
      <c r="X23" s="336">
        <v>0</v>
      </c>
      <c r="Y23" s="336">
        <v>0</v>
      </c>
      <c r="Z23" s="336">
        <v>0</v>
      </c>
      <c r="AA23" s="336">
        <v>0</v>
      </c>
      <c r="AB23" s="336">
        <v>0</v>
      </c>
      <c r="AC23" s="336">
        <v>0</v>
      </c>
      <c r="AD23" s="336">
        <v>0</v>
      </c>
      <c r="AE23" s="336">
        <v>0</v>
      </c>
      <c r="AF23" s="336">
        <v>0</v>
      </c>
      <c r="AG23" s="336">
        <v>0</v>
      </c>
      <c r="AH23" s="336">
        <v>0</v>
      </c>
      <c r="AI23" s="336">
        <v>0</v>
      </c>
      <c r="AJ23" s="336">
        <v>0</v>
      </c>
      <c r="AK23" s="336">
        <v>0</v>
      </c>
      <c r="AL23" s="336">
        <v>0</v>
      </c>
      <c r="AM23" s="336">
        <v>0</v>
      </c>
      <c r="AN23" s="336">
        <v>0</v>
      </c>
      <c r="AO23" s="336">
        <v>0</v>
      </c>
      <c r="AP23" s="336">
        <v>0</v>
      </c>
      <c r="AQ23" s="336">
        <v>0</v>
      </c>
      <c r="AR23" s="336">
        <v>0</v>
      </c>
      <c r="AS23" s="336">
        <v>0</v>
      </c>
      <c r="AT23" s="336">
        <v>0</v>
      </c>
      <c r="AU23" s="336">
        <v>0</v>
      </c>
      <c r="AV23" s="336">
        <v>0</v>
      </c>
      <c r="AW23" s="336">
        <v>0</v>
      </c>
      <c r="AX23" s="336">
        <v>0</v>
      </c>
      <c r="AY23" s="336">
        <v>0</v>
      </c>
      <c r="AZ23" s="336">
        <v>0</v>
      </c>
      <c r="BA23" s="336">
        <v>0</v>
      </c>
      <c r="BB23" s="336">
        <v>0</v>
      </c>
      <c r="BC23" s="336">
        <v>0</v>
      </c>
      <c r="BD23" s="336">
        <v>0</v>
      </c>
      <c r="BE23" s="336">
        <v>0</v>
      </c>
      <c r="BF23" s="336">
        <v>0</v>
      </c>
      <c r="BG23" s="336">
        <v>0</v>
      </c>
      <c r="BH23" s="336">
        <v>0</v>
      </c>
      <c r="BI23" s="336">
        <v>0</v>
      </c>
      <c r="BJ23" s="336">
        <v>0</v>
      </c>
      <c r="BK23" s="336">
        <v>0</v>
      </c>
      <c r="BL23" s="336">
        <v>0</v>
      </c>
      <c r="BM23" s="336">
        <v>0</v>
      </c>
      <c r="BN23" s="336">
        <v>0</v>
      </c>
      <c r="BO23" s="336">
        <v>0</v>
      </c>
      <c r="BP23" s="336">
        <v>0</v>
      </c>
      <c r="BQ23" s="336">
        <v>0</v>
      </c>
      <c r="BR23" s="336">
        <v>0</v>
      </c>
      <c r="BS23" s="336">
        <v>0</v>
      </c>
      <c r="BT23" s="336">
        <v>0</v>
      </c>
      <c r="BU23" s="336">
        <v>0</v>
      </c>
      <c r="BV23" s="336">
        <v>0</v>
      </c>
      <c r="BW23" s="336">
        <v>0</v>
      </c>
      <c r="BX23" s="336">
        <v>0</v>
      </c>
      <c r="BY23" s="336">
        <v>0</v>
      </c>
      <c r="BZ23" s="336">
        <v>0</v>
      </c>
      <c r="CA23" s="336">
        <v>0</v>
      </c>
      <c r="CB23" s="336">
        <v>0</v>
      </c>
      <c r="CC23" s="336">
        <v>0</v>
      </c>
      <c r="CD23" s="336">
        <v>0</v>
      </c>
      <c r="CE23" s="336">
        <v>0</v>
      </c>
      <c r="CF23" s="336">
        <v>0</v>
      </c>
      <c r="CG23" s="336">
        <v>0</v>
      </c>
      <c r="CH23" s="336">
        <v>0</v>
      </c>
      <c r="CI23" s="336">
        <v>0</v>
      </c>
      <c r="CJ23" s="336">
        <v>0</v>
      </c>
      <c r="CK23" s="336">
        <v>0</v>
      </c>
      <c r="CL23" s="336">
        <v>0</v>
      </c>
      <c r="CM23" s="336">
        <v>0</v>
      </c>
      <c r="CN23" s="336">
        <v>0</v>
      </c>
      <c r="CO23" s="336">
        <v>0</v>
      </c>
      <c r="CP23" s="336">
        <v>0</v>
      </c>
      <c r="CQ23" s="336">
        <v>0</v>
      </c>
      <c r="CR23" s="336">
        <v>0</v>
      </c>
      <c r="CS23" s="336">
        <v>0</v>
      </c>
      <c r="CT23" s="336">
        <v>0</v>
      </c>
      <c r="CU23" s="336">
        <v>0</v>
      </c>
      <c r="CV23" s="336">
        <v>0</v>
      </c>
      <c r="CW23" s="336">
        <v>0</v>
      </c>
      <c r="CX23" s="336">
        <v>0</v>
      </c>
      <c r="CY23" s="336">
        <v>0</v>
      </c>
      <c r="CZ23" s="336">
        <v>0</v>
      </c>
      <c r="DA23" s="336">
        <v>0</v>
      </c>
      <c r="DB23" s="336">
        <v>0</v>
      </c>
      <c r="DC23" s="336">
        <v>0</v>
      </c>
      <c r="DD23" s="336">
        <v>0</v>
      </c>
      <c r="DE23" s="336">
        <v>0</v>
      </c>
      <c r="DF23" s="336">
        <v>0</v>
      </c>
      <c r="DG23" s="336">
        <v>0</v>
      </c>
      <c r="DH23" s="336">
        <v>0</v>
      </c>
      <c r="DI23" s="336">
        <v>0</v>
      </c>
      <c r="DJ23" s="336">
        <v>0</v>
      </c>
      <c r="DK23" s="336">
        <v>0</v>
      </c>
      <c r="DL23" s="336">
        <v>0</v>
      </c>
      <c r="DM23" s="336">
        <v>0</v>
      </c>
      <c r="DN23" s="336">
        <v>0</v>
      </c>
      <c r="DO23" s="336">
        <v>0</v>
      </c>
      <c r="DP23" s="336">
        <v>0</v>
      </c>
      <c r="DQ23" s="336">
        <v>0</v>
      </c>
      <c r="DR23" s="336">
        <v>0</v>
      </c>
      <c r="DS23" s="336">
        <v>0</v>
      </c>
      <c r="DT23" s="336">
        <v>0</v>
      </c>
      <c r="DU23" s="336">
        <v>0</v>
      </c>
      <c r="DV23" s="336">
        <v>0</v>
      </c>
      <c r="DW23" s="336">
        <v>0</v>
      </c>
      <c r="DX23" s="336">
        <v>0</v>
      </c>
      <c r="DY23" s="336">
        <v>0</v>
      </c>
      <c r="DZ23" s="336">
        <v>0</v>
      </c>
      <c r="EA23" s="336">
        <v>0</v>
      </c>
      <c r="EB23" s="336">
        <v>0</v>
      </c>
      <c r="EC23" s="336">
        <v>0</v>
      </c>
      <c r="ED23" s="336">
        <v>0</v>
      </c>
      <c r="EE23" s="336">
        <v>0</v>
      </c>
      <c r="EF23" s="336">
        <v>0</v>
      </c>
      <c r="EG23" s="336">
        <v>0</v>
      </c>
      <c r="EH23" s="336">
        <v>0</v>
      </c>
      <c r="EI23" s="336">
        <v>0</v>
      </c>
      <c r="EJ23" s="336">
        <v>0</v>
      </c>
      <c r="EK23" s="336">
        <v>0</v>
      </c>
      <c r="EL23" s="336">
        <v>0</v>
      </c>
      <c r="EM23" s="336">
        <v>0</v>
      </c>
      <c r="EN23" s="336">
        <v>0</v>
      </c>
      <c r="EO23" s="336">
        <v>0</v>
      </c>
      <c r="EP23" s="336">
        <v>0</v>
      </c>
      <c r="EQ23" s="336">
        <v>0</v>
      </c>
      <c r="ER23" s="336">
        <v>0</v>
      </c>
      <c r="ES23" s="336">
        <v>0</v>
      </c>
      <c r="ET23" s="336">
        <v>0</v>
      </c>
      <c r="EU23" s="336">
        <v>0</v>
      </c>
      <c r="EV23" s="336">
        <v>0</v>
      </c>
      <c r="EW23" s="336">
        <v>0</v>
      </c>
      <c r="EX23" s="336">
        <v>0</v>
      </c>
      <c r="EY23" s="336">
        <v>0</v>
      </c>
      <c r="EZ23" s="336">
        <v>0</v>
      </c>
      <c r="FA23" s="336">
        <v>0</v>
      </c>
      <c r="FB23" s="336">
        <v>0</v>
      </c>
      <c r="FC23" s="336">
        <v>0</v>
      </c>
      <c r="FD23" s="336">
        <v>0</v>
      </c>
      <c r="FE23" s="336">
        <v>0</v>
      </c>
      <c r="FF23" s="336">
        <v>0</v>
      </c>
      <c r="FG23" s="336">
        <v>0</v>
      </c>
      <c r="FH23" s="336">
        <v>0</v>
      </c>
      <c r="FI23" s="336">
        <v>0</v>
      </c>
      <c r="FJ23" s="336">
        <v>0</v>
      </c>
      <c r="FK23" s="336">
        <v>0</v>
      </c>
      <c r="FL23" s="336">
        <v>0</v>
      </c>
      <c r="FM23" s="336">
        <v>0</v>
      </c>
      <c r="FN23" s="336">
        <v>0</v>
      </c>
      <c r="FO23" s="336">
        <v>0</v>
      </c>
      <c r="FP23" s="336">
        <v>0</v>
      </c>
      <c r="FQ23" s="336">
        <v>0</v>
      </c>
      <c r="FR23" s="336">
        <v>0</v>
      </c>
      <c r="FS23" s="336">
        <v>0</v>
      </c>
      <c r="FT23" s="336">
        <v>0</v>
      </c>
      <c r="FU23" s="336">
        <v>0</v>
      </c>
      <c r="FV23" s="336">
        <v>0</v>
      </c>
      <c r="FW23" s="336">
        <v>0</v>
      </c>
      <c r="FX23" s="336">
        <v>0</v>
      </c>
      <c r="FY23" s="336">
        <v>0</v>
      </c>
      <c r="FZ23" s="336">
        <v>0</v>
      </c>
      <c r="GA23" s="336">
        <v>0</v>
      </c>
      <c r="GB23" s="336">
        <v>0</v>
      </c>
      <c r="GC23" s="336">
        <v>0</v>
      </c>
      <c r="GD23" s="336">
        <v>0</v>
      </c>
      <c r="GE23" s="336">
        <v>0</v>
      </c>
      <c r="GF23" s="336">
        <v>0</v>
      </c>
      <c r="GG23" s="336">
        <v>0</v>
      </c>
      <c r="GH23" s="336">
        <v>0</v>
      </c>
      <c r="GI23" s="336">
        <v>0</v>
      </c>
      <c r="GJ23" s="336">
        <v>0</v>
      </c>
      <c r="GK23" s="336">
        <v>0</v>
      </c>
      <c r="GL23" s="336">
        <v>0</v>
      </c>
      <c r="GM23" s="336">
        <v>0</v>
      </c>
      <c r="GN23" s="336">
        <v>0</v>
      </c>
      <c r="GO23" s="336">
        <v>0</v>
      </c>
      <c r="GP23" s="336">
        <v>0</v>
      </c>
      <c r="GQ23" s="336">
        <v>0</v>
      </c>
      <c r="GR23" s="336">
        <v>0</v>
      </c>
      <c r="GS23" s="336">
        <v>0</v>
      </c>
      <c r="GT23" s="336">
        <v>0</v>
      </c>
      <c r="GU23" s="336">
        <v>0</v>
      </c>
      <c r="GV23" s="336">
        <v>0</v>
      </c>
      <c r="GW23" s="336">
        <v>0</v>
      </c>
      <c r="GX23" s="336">
        <v>0</v>
      </c>
      <c r="GY23" s="336">
        <v>0</v>
      </c>
      <c r="GZ23" s="336">
        <v>0</v>
      </c>
      <c r="HA23" s="336">
        <v>0</v>
      </c>
      <c r="HB23" s="336">
        <v>0</v>
      </c>
      <c r="HC23" s="336">
        <v>0</v>
      </c>
      <c r="HD23" s="336">
        <v>0</v>
      </c>
      <c r="HE23" s="336">
        <v>0</v>
      </c>
      <c r="HF23" s="336">
        <v>0</v>
      </c>
      <c r="HG23" s="336">
        <v>0</v>
      </c>
      <c r="HH23" s="336">
        <v>0</v>
      </c>
      <c r="HI23" s="336">
        <v>0</v>
      </c>
      <c r="HJ23" s="336">
        <v>0</v>
      </c>
      <c r="HK23" s="336">
        <v>0</v>
      </c>
      <c r="HL23" s="336">
        <v>0</v>
      </c>
      <c r="HM23" s="336">
        <v>0</v>
      </c>
      <c r="HN23" s="336">
        <v>0</v>
      </c>
      <c r="HO23" s="336">
        <v>8098516</v>
      </c>
      <c r="HP23" s="336">
        <v>1729614</v>
      </c>
      <c r="HQ23" s="336">
        <v>0</v>
      </c>
      <c r="HR23" s="336">
        <v>6467176</v>
      </c>
      <c r="HS23" s="336">
        <v>0</v>
      </c>
      <c r="HT23" s="336">
        <v>0</v>
      </c>
      <c r="HU23" s="336">
        <v>0</v>
      </c>
      <c r="HV23" s="336">
        <v>0</v>
      </c>
      <c r="HW23" s="336">
        <v>0</v>
      </c>
      <c r="HX23" s="336">
        <v>0</v>
      </c>
      <c r="HY23" s="336">
        <v>0</v>
      </c>
      <c r="HZ23" s="336">
        <v>0</v>
      </c>
      <c r="IA23" s="336">
        <v>0</v>
      </c>
      <c r="IB23" s="336">
        <v>0</v>
      </c>
      <c r="IC23" s="336">
        <v>0</v>
      </c>
      <c r="ID23" s="336">
        <v>0</v>
      </c>
      <c r="IE23" s="336">
        <v>0</v>
      </c>
      <c r="IF23" s="336">
        <v>0</v>
      </c>
      <c r="IG23" s="336">
        <v>0</v>
      </c>
      <c r="IH23" s="336">
        <v>0</v>
      </c>
      <c r="II23" s="336">
        <v>0</v>
      </c>
      <c r="IJ23" s="336">
        <v>0</v>
      </c>
      <c r="IK23" s="336">
        <v>0</v>
      </c>
      <c r="IL23" s="336">
        <v>0</v>
      </c>
      <c r="IM23" s="336">
        <v>0</v>
      </c>
      <c r="IN23" s="336">
        <v>0</v>
      </c>
      <c r="IO23" s="336">
        <v>0</v>
      </c>
      <c r="IP23" s="336">
        <v>526524</v>
      </c>
      <c r="IQ23" s="336">
        <v>812796</v>
      </c>
      <c r="IR23" s="336">
        <v>0</v>
      </c>
      <c r="IS23" s="336">
        <v>80933</v>
      </c>
      <c r="IT23" s="336">
        <v>0</v>
      </c>
      <c r="IU23" s="336">
        <v>0</v>
      </c>
      <c r="IV23" s="336">
        <v>0</v>
      </c>
      <c r="IW23" s="336">
        <v>0</v>
      </c>
      <c r="IX23" s="336">
        <v>0</v>
      </c>
      <c r="IY23" s="336">
        <v>0</v>
      </c>
      <c r="IZ23" s="336">
        <v>0</v>
      </c>
      <c r="JA23" s="336">
        <v>0</v>
      </c>
      <c r="JB23" s="336">
        <v>0</v>
      </c>
      <c r="JC23" s="336">
        <v>0</v>
      </c>
      <c r="JD23" s="336">
        <v>0</v>
      </c>
      <c r="JE23" s="336">
        <v>0</v>
      </c>
      <c r="JF23" s="336">
        <v>0</v>
      </c>
      <c r="JG23" s="336">
        <v>0</v>
      </c>
      <c r="JH23" s="336">
        <v>0</v>
      </c>
      <c r="JI23" s="336">
        <v>80567</v>
      </c>
      <c r="JJ23" s="336">
        <v>0</v>
      </c>
      <c r="JK23" s="336">
        <v>691736</v>
      </c>
      <c r="JL23" s="336">
        <v>0</v>
      </c>
      <c r="JM23" s="336">
        <v>0</v>
      </c>
      <c r="JN23" s="336">
        <v>0</v>
      </c>
      <c r="JO23" s="336">
        <v>0</v>
      </c>
      <c r="JP23" s="336">
        <v>0</v>
      </c>
      <c r="JQ23" s="336">
        <v>529165</v>
      </c>
      <c r="JR23" s="336">
        <v>2807794</v>
      </c>
      <c r="JS23" s="336">
        <v>0</v>
      </c>
      <c r="JT23" s="336">
        <v>256984</v>
      </c>
      <c r="JU23" s="336">
        <v>0</v>
      </c>
      <c r="JV23" s="336">
        <v>0</v>
      </c>
      <c r="JW23" s="336">
        <v>0</v>
      </c>
      <c r="JX23" s="336">
        <v>0</v>
      </c>
      <c r="JY23" s="336">
        <v>0</v>
      </c>
      <c r="JZ23" s="336">
        <v>0</v>
      </c>
      <c r="KA23" s="336">
        <v>0</v>
      </c>
      <c r="KB23" s="336">
        <v>0</v>
      </c>
      <c r="KC23" s="336">
        <v>0</v>
      </c>
      <c r="KD23" s="336">
        <v>0</v>
      </c>
      <c r="KE23" s="336">
        <v>0</v>
      </c>
      <c r="KF23" s="336">
        <v>0</v>
      </c>
      <c r="KG23" s="336">
        <v>0</v>
      </c>
      <c r="KH23" s="336">
        <v>0</v>
      </c>
      <c r="KI23" s="336">
        <v>23914144</v>
      </c>
      <c r="KJ23" s="336">
        <v>345975</v>
      </c>
      <c r="KK23" s="336">
        <v>0</v>
      </c>
      <c r="KL23" s="336">
        <v>130</v>
      </c>
      <c r="KM23" s="336">
        <v>0</v>
      </c>
      <c r="KN23" s="336">
        <v>0</v>
      </c>
      <c r="KO23" s="336">
        <v>0</v>
      </c>
      <c r="KP23" s="336">
        <v>0</v>
      </c>
      <c r="KQ23" s="336">
        <v>-16892</v>
      </c>
      <c r="KR23" s="336">
        <v>0</v>
      </c>
      <c r="KS23" s="336">
        <v>0</v>
      </c>
      <c r="KT23" s="336">
        <v>0</v>
      </c>
      <c r="KU23" s="336">
        <v>0</v>
      </c>
      <c r="KV23" s="336">
        <v>0</v>
      </c>
      <c r="KW23" s="336">
        <v>0</v>
      </c>
      <c r="KX23" s="336">
        <v>0</v>
      </c>
      <c r="KY23" s="336">
        <v>0</v>
      </c>
      <c r="KZ23" s="336">
        <v>0</v>
      </c>
      <c r="LA23" s="336">
        <v>2557972</v>
      </c>
      <c r="LB23" s="336">
        <v>0</v>
      </c>
      <c r="LC23" s="336">
        <v>0</v>
      </c>
      <c r="LD23" s="336">
        <v>654867</v>
      </c>
      <c r="LE23" s="336">
        <v>0</v>
      </c>
      <c r="LF23" s="336">
        <v>0</v>
      </c>
      <c r="LG23" s="336">
        <v>0</v>
      </c>
      <c r="LH23" s="336">
        <v>0</v>
      </c>
      <c r="LI23" s="336">
        <v>0</v>
      </c>
      <c r="LJ23" s="336">
        <v>127786345</v>
      </c>
      <c r="LK23" s="336">
        <v>2998996</v>
      </c>
      <c r="LL23" s="336">
        <v>0</v>
      </c>
      <c r="LM23" s="336">
        <v>5870904</v>
      </c>
      <c r="LN23" s="336">
        <v>0</v>
      </c>
      <c r="LO23" s="336">
        <v>0</v>
      </c>
      <c r="LP23" s="336">
        <v>187698</v>
      </c>
      <c r="LQ23" s="336">
        <v>0</v>
      </c>
      <c r="LR23" s="336">
        <v>0</v>
      </c>
      <c r="LS23" s="336">
        <v>0</v>
      </c>
      <c r="LT23" s="336">
        <v>0</v>
      </c>
      <c r="LU23" s="336">
        <v>0</v>
      </c>
      <c r="LV23" s="336">
        <v>0</v>
      </c>
      <c r="LW23" s="336">
        <v>0</v>
      </c>
      <c r="LX23" s="336">
        <v>0</v>
      </c>
      <c r="LY23" s="336">
        <v>0</v>
      </c>
      <c r="LZ23" s="336">
        <v>0</v>
      </c>
      <c r="MA23" s="336">
        <v>0</v>
      </c>
      <c r="MB23" s="336">
        <v>0</v>
      </c>
      <c r="MC23" s="336">
        <v>0</v>
      </c>
      <c r="MD23" s="336">
        <v>0</v>
      </c>
      <c r="ME23" s="336">
        <v>0</v>
      </c>
      <c r="MF23" s="336">
        <v>0</v>
      </c>
      <c r="MG23" s="336">
        <v>0</v>
      </c>
      <c r="MH23" s="336">
        <v>0</v>
      </c>
      <c r="MI23" s="336">
        <v>0</v>
      </c>
      <c r="MJ23" s="336">
        <v>0</v>
      </c>
      <c r="MK23" s="336">
        <v>0</v>
      </c>
      <c r="ML23" s="336">
        <v>0</v>
      </c>
      <c r="MM23" s="336">
        <v>0</v>
      </c>
      <c r="MN23" s="336">
        <v>0</v>
      </c>
      <c r="MO23" s="336">
        <v>0</v>
      </c>
      <c r="MP23" s="336">
        <v>0</v>
      </c>
      <c r="MQ23" s="336">
        <v>0</v>
      </c>
      <c r="MR23" s="336">
        <v>0</v>
      </c>
      <c r="MS23" s="336">
        <v>0</v>
      </c>
      <c r="MT23" s="336">
        <v>2881814</v>
      </c>
      <c r="MU23" s="336">
        <v>700020</v>
      </c>
      <c r="MV23" s="336">
        <v>0</v>
      </c>
      <c r="MW23" s="336">
        <v>0</v>
      </c>
      <c r="MX23" s="336">
        <v>0</v>
      </c>
      <c r="MY23" s="336">
        <v>0</v>
      </c>
      <c r="MZ23" s="336">
        <v>0</v>
      </c>
      <c r="NA23" s="336">
        <v>0</v>
      </c>
      <c r="NB23" s="336">
        <v>0</v>
      </c>
      <c r="NC23" s="336">
        <v>1637531</v>
      </c>
      <c r="ND23" s="336">
        <v>13921</v>
      </c>
      <c r="NE23" s="336">
        <v>0</v>
      </c>
      <c r="NF23" s="336">
        <v>265</v>
      </c>
      <c r="NG23" s="336">
        <v>0</v>
      </c>
      <c r="NH23" s="336">
        <v>0</v>
      </c>
      <c r="NI23" s="336">
        <v>216867</v>
      </c>
      <c r="NJ23" s="336">
        <v>0</v>
      </c>
      <c r="NK23" s="336">
        <v>0</v>
      </c>
      <c r="NL23" s="336">
        <v>0</v>
      </c>
      <c r="NM23" s="336">
        <v>0</v>
      </c>
      <c r="NN23" s="336">
        <v>0</v>
      </c>
      <c r="NO23" s="336">
        <v>0</v>
      </c>
      <c r="NP23" s="336">
        <v>0</v>
      </c>
      <c r="NQ23" s="336">
        <v>0</v>
      </c>
      <c r="NR23" s="336">
        <v>0</v>
      </c>
      <c r="NS23" s="336">
        <v>0</v>
      </c>
      <c r="NT23" s="336">
        <v>0</v>
      </c>
      <c r="NU23" s="336">
        <v>0</v>
      </c>
      <c r="NV23" s="336">
        <v>0</v>
      </c>
      <c r="NW23" s="336">
        <v>0</v>
      </c>
      <c r="NX23" s="336">
        <v>0</v>
      </c>
      <c r="NY23" s="336">
        <v>0</v>
      </c>
      <c r="NZ23" s="336">
        <v>0</v>
      </c>
      <c r="OA23" s="336">
        <v>0</v>
      </c>
      <c r="OB23" s="336">
        <v>0</v>
      </c>
      <c r="OC23" s="336">
        <v>0</v>
      </c>
      <c r="OD23" s="336">
        <v>5278304</v>
      </c>
      <c r="OE23" s="336">
        <v>150507</v>
      </c>
      <c r="OF23" s="336">
        <v>0</v>
      </c>
      <c r="OG23" s="336">
        <v>720372</v>
      </c>
      <c r="OH23" s="336">
        <v>0</v>
      </c>
      <c r="OI23" s="336">
        <v>0</v>
      </c>
      <c r="OJ23" s="336">
        <v>0</v>
      </c>
      <c r="OK23" s="336">
        <v>0</v>
      </c>
      <c r="OL23" s="336">
        <v>0</v>
      </c>
      <c r="OM23" s="336">
        <v>17628</v>
      </c>
      <c r="ON23" s="336">
        <v>36064</v>
      </c>
      <c r="OO23" s="336">
        <v>0</v>
      </c>
      <c r="OP23" s="336">
        <v>5160</v>
      </c>
      <c r="OQ23" s="336">
        <v>0</v>
      </c>
      <c r="OR23" s="336">
        <v>0</v>
      </c>
      <c r="OS23" s="336">
        <v>0</v>
      </c>
      <c r="OT23" s="336">
        <v>0</v>
      </c>
      <c r="OU23" s="336">
        <v>0</v>
      </c>
      <c r="OV23" s="336">
        <v>0</v>
      </c>
      <c r="OW23" s="336">
        <v>0</v>
      </c>
      <c r="OX23" s="336">
        <v>0</v>
      </c>
      <c r="OY23" s="336">
        <v>0</v>
      </c>
      <c r="OZ23" s="336">
        <v>0</v>
      </c>
      <c r="PA23" s="336">
        <v>0</v>
      </c>
      <c r="PB23" s="336">
        <v>2894642</v>
      </c>
      <c r="PC23" s="336">
        <v>0</v>
      </c>
      <c r="PD23" s="336">
        <v>0</v>
      </c>
      <c r="PE23" s="336">
        <v>35895651</v>
      </c>
      <c r="PF23" s="336">
        <v>0</v>
      </c>
      <c r="PG23" s="336">
        <v>0</v>
      </c>
      <c r="PH23" s="336">
        <v>0</v>
      </c>
      <c r="PI23" s="336">
        <v>0</v>
      </c>
      <c r="PJ23" s="336">
        <v>0</v>
      </c>
      <c r="PK23" s="336">
        <v>851000</v>
      </c>
      <c r="PL23" s="336">
        <v>0</v>
      </c>
      <c r="PM23" s="336">
        <v>0</v>
      </c>
      <c r="PN23" s="336">
        <v>0</v>
      </c>
      <c r="PO23" s="336">
        <v>0</v>
      </c>
      <c r="PP23" s="336">
        <v>0</v>
      </c>
      <c r="PQ23" s="336">
        <v>0</v>
      </c>
      <c r="PR23" s="336">
        <v>0</v>
      </c>
      <c r="PS23" s="336">
        <v>0</v>
      </c>
      <c r="PT23" s="336">
        <v>0</v>
      </c>
      <c r="PU23" s="336">
        <v>0</v>
      </c>
      <c r="PV23" s="336">
        <v>0</v>
      </c>
      <c r="PW23" s="336">
        <v>0</v>
      </c>
      <c r="PX23" s="336">
        <v>0</v>
      </c>
      <c r="PY23" s="336">
        <v>0</v>
      </c>
      <c r="PZ23" s="336">
        <v>0</v>
      </c>
      <c r="QA23" s="336">
        <v>0</v>
      </c>
      <c r="QB23" s="336">
        <v>0</v>
      </c>
      <c r="QC23" s="336">
        <v>0</v>
      </c>
      <c r="QD23" s="336">
        <v>0</v>
      </c>
      <c r="QE23" s="336">
        <v>0</v>
      </c>
      <c r="QF23" s="336">
        <v>484327</v>
      </c>
      <c r="QG23" s="336">
        <v>817926</v>
      </c>
      <c r="QH23" s="336">
        <v>0</v>
      </c>
      <c r="QI23" s="336">
        <v>0</v>
      </c>
      <c r="QJ23" s="336">
        <v>0</v>
      </c>
      <c r="QK23" s="336">
        <v>0</v>
      </c>
      <c r="QL23" s="336">
        <v>0</v>
      </c>
      <c r="QM23" s="336">
        <v>0</v>
      </c>
      <c r="QN23" s="336">
        <v>0</v>
      </c>
      <c r="QO23" s="336">
        <v>0</v>
      </c>
      <c r="QP23" s="336">
        <v>0</v>
      </c>
      <c r="QQ23" s="336">
        <v>0</v>
      </c>
      <c r="QR23" s="336">
        <v>0</v>
      </c>
      <c r="QS23" s="336">
        <v>0</v>
      </c>
      <c r="QT23" s="336">
        <v>0</v>
      </c>
      <c r="QU23" s="336">
        <v>0</v>
      </c>
      <c r="QV23" s="336">
        <v>0</v>
      </c>
      <c r="QW23" s="336">
        <v>0</v>
      </c>
      <c r="QX23" s="336">
        <v>0</v>
      </c>
      <c r="QY23" s="336">
        <v>0</v>
      </c>
      <c r="QZ23" s="336">
        <v>0</v>
      </c>
      <c r="RA23" s="336">
        <v>0</v>
      </c>
      <c r="RB23" s="336">
        <v>0</v>
      </c>
      <c r="RC23" s="336">
        <v>0</v>
      </c>
      <c r="RD23" s="336">
        <v>0</v>
      </c>
      <c r="RE23" s="336">
        <v>0</v>
      </c>
      <c r="RF23" s="336">
        <v>0</v>
      </c>
      <c r="RG23" s="336">
        <v>0</v>
      </c>
      <c r="RH23" s="336">
        <v>0</v>
      </c>
      <c r="RI23" s="336">
        <v>0</v>
      </c>
      <c r="RJ23" s="336">
        <v>0</v>
      </c>
      <c r="RK23" s="336">
        <v>0</v>
      </c>
      <c r="RL23" s="336">
        <v>0</v>
      </c>
      <c r="RM23" s="336">
        <v>0</v>
      </c>
      <c r="RN23" s="336">
        <v>0</v>
      </c>
      <c r="RO23" s="336">
        <v>-4551614</v>
      </c>
      <c r="RP23" s="336">
        <v>0</v>
      </c>
      <c r="RQ23" s="336">
        <v>0</v>
      </c>
      <c r="RR23" s="336">
        <v>0</v>
      </c>
      <c r="RS23" s="336">
        <v>0</v>
      </c>
      <c r="RT23" s="336">
        <v>0</v>
      </c>
      <c r="RU23" s="336">
        <v>0</v>
      </c>
      <c r="RV23" s="336">
        <v>0</v>
      </c>
      <c r="RW23" s="336">
        <v>0</v>
      </c>
      <c r="RX23" s="336">
        <v>0</v>
      </c>
      <c r="RY23" s="336">
        <v>0</v>
      </c>
      <c r="RZ23" s="336">
        <v>0</v>
      </c>
      <c r="SA23" s="336">
        <v>0</v>
      </c>
      <c r="SB23" s="336">
        <v>0</v>
      </c>
      <c r="SC23" s="336">
        <v>0</v>
      </c>
      <c r="SD23" s="336">
        <v>0</v>
      </c>
      <c r="SE23" s="336">
        <v>0</v>
      </c>
      <c r="SF23" s="336">
        <v>0</v>
      </c>
      <c r="SG23" s="336">
        <v>0</v>
      </c>
      <c r="SH23" s="336">
        <v>0</v>
      </c>
      <c r="SI23" s="336">
        <v>0</v>
      </c>
      <c r="SJ23" s="336">
        <v>0</v>
      </c>
      <c r="SK23" s="336">
        <v>0</v>
      </c>
      <c r="SL23" s="336">
        <v>0</v>
      </c>
      <c r="SM23" s="336">
        <v>0</v>
      </c>
      <c r="SN23" s="336">
        <v>0</v>
      </c>
      <c r="SO23" s="336">
        <v>0</v>
      </c>
      <c r="SP23" s="336">
        <v>190173</v>
      </c>
      <c r="SQ23" s="336">
        <v>5278304</v>
      </c>
      <c r="SR23" s="336">
        <v>150507</v>
      </c>
      <c r="SS23" s="336">
        <v>0</v>
      </c>
      <c r="ST23" s="336">
        <v>720372</v>
      </c>
      <c r="SU23" s="336">
        <v>0</v>
      </c>
      <c r="SV23" s="336">
        <v>0</v>
      </c>
      <c r="SW23" s="336">
        <v>-2894642</v>
      </c>
      <c r="SX23" s="336">
        <v>0</v>
      </c>
      <c r="SY23" s="336">
        <v>0</v>
      </c>
      <c r="SZ23" s="336" t="s">
        <v>1420</v>
      </c>
      <c r="TA23" s="336" t="s">
        <v>1420</v>
      </c>
      <c r="TB23" s="336" t="s">
        <v>1420</v>
      </c>
      <c r="TC23" s="336">
        <v>0</v>
      </c>
      <c r="TD23" s="336">
        <v>124735</v>
      </c>
      <c r="TE23" s="336">
        <v>5982277</v>
      </c>
      <c r="TF23" s="336">
        <v>0</v>
      </c>
      <c r="TG23" s="336">
        <v>0</v>
      </c>
      <c r="TH23" s="336">
        <v>0</v>
      </c>
      <c r="TI23" s="336">
        <v>42171</v>
      </c>
      <c r="TJ23" s="336">
        <v>0</v>
      </c>
      <c r="TK23" s="336">
        <v>0</v>
      </c>
      <c r="TL23" s="336">
        <v>0</v>
      </c>
      <c r="TM23" s="336">
        <v>0</v>
      </c>
      <c r="TN23" s="336">
        <v>0</v>
      </c>
      <c r="TO23" s="336">
        <v>0</v>
      </c>
      <c r="TP23" s="336">
        <v>0</v>
      </c>
      <c r="TQ23" s="336">
        <v>0</v>
      </c>
      <c r="TR23" s="336">
        <v>0</v>
      </c>
      <c r="TS23" s="336">
        <v>0</v>
      </c>
      <c r="TT23" s="336">
        <v>0</v>
      </c>
      <c r="TU23" s="336">
        <v>0</v>
      </c>
      <c r="TV23" s="336">
        <v>0</v>
      </c>
      <c r="TW23" s="336">
        <v>0</v>
      </c>
      <c r="TX23" s="336">
        <v>0</v>
      </c>
      <c r="TY23" s="336">
        <v>0</v>
      </c>
      <c r="TZ23" s="336">
        <v>0</v>
      </c>
      <c r="UA23" s="336">
        <v>0</v>
      </c>
      <c r="UB23" s="336">
        <v>0</v>
      </c>
      <c r="UC23" s="336">
        <v>0</v>
      </c>
      <c r="UD23" s="336">
        <v>0</v>
      </c>
      <c r="UE23" s="336">
        <v>0</v>
      </c>
      <c r="UF23" s="336">
        <v>0</v>
      </c>
      <c r="UG23" s="336">
        <v>0</v>
      </c>
      <c r="UH23" s="336">
        <v>0</v>
      </c>
      <c r="UI23" s="338">
        <v>3212839</v>
      </c>
      <c r="UJ23" s="338">
        <v>136843943</v>
      </c>
      <c r="UK23" s="338">
        <v>0</v>
      </c>
      <c r="UL23" s="338">
        <v>0</v>
      </c>
      <c r="UM23" s="338">
        <v>0</v>
      </c>
      <c r="UN23" s="338">
        <v>3581834</v>
      </c>
      <c r="UO23" s="338">
        <v>1868584</v>
      </c>
      <c r="UP23" s="338">
        <v>0</v>
      </c>
      <c r="UQ23" s="338">
        <v>0</v>
      </c>
      <c r="UR23"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6149183</v>
      </c>
      <c r="US23" s="338">
        <f>SUM(Input[[#This Row],[Oth Exp E&amp;G]],Input[[#This Row],[Oth Exp Desg]],Input[[#This Row],[Oth Exp Aux]],Input[[#This Row],[Oth Exp R Exp]],Input[[#This Row],[Oth Exp Loan]],Input[[#This Row],[Oth Exp Annuity]],Input[[#This Row],[Oth Exp Unexp]],Input[[#This Row],[Oth Exp R of Ind]],Input[[#This Row],[Oth Exp Inv in P]])</f>
        <v>58852</v>
      </c>
      <c r="UT23" s="336">
        <v>0</v>
      </c>
      <c r="UU23" s="336">
        <v>0</v>
      </c>
      <c r="UV23" s="339" t="s">
        <v>1432</v>
      </c>
      <c r="UW23" s="340">
        <v>9798459761</v>
      </c>
      <c r="UX23" s="339" t="s">
        <v>1433</v>
      </c>
      <c r="UY23" s="339" t="s">
        <v>1585</v>
      </c>
      <c r="UZ23" s="340">
        <v>9794586643</v>
      </c>
      <c r="VA23" s="339" t="s">
        <v>1586</v>
      </c>
      <c r="VB23" s="341" t="str" cm="1">
        <f t="array" ref="VB23">IFERROR(_xlfn.IFS(Input[[#This Row],[Type]]="HRI",VLOOKUP(Input[[#This Row],[Institution Name]],FTSEHRI[],9,FALSE),Input[[#This Row],[Type]]="UNIV",VLOOKUP(Input[[#This Row],[Institution Name]],FTSEUNIV[],9,FALSE),OR(Input[[#This Row],[Type]]="TSTC",Input[[#This Row],[Type]]="LSC"),VLOOKUP(Input[[#This Row],[Institution Name]],FTSETSTC[],8,FALSE)),"N/A")</f>
        <v>N/A</v>
      </c>
      <c r="VC23" s="342" t="str" cm="1">
        <f t="array" ref="VC23">IFERROR(_xlfn.IFS(Input[[#This Row],[Type]]="HRI",VLOOKUP(Input[[#This Row],[Institution Name]],FTSEHRI[],11,FALSE),Input[[#This Row],[Type]]="UNIV",VLOOKUP(Input[[#This Row],[Institution Name]],FTSEUNIV[],11,FALSE),Input[[#This Row],[Type]]="TSTC",VLOOKUP(Input[[#This Row],[Institution Name]],FTSETSTC[],10,FALSE)),"N/A")</f>
        <v>N/A</v>
      </c>
      <c r="VD23"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14968719</v>
      </c>
      <c r="VE23"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23" s="338">
        <f>SUM(Input[[#This Row],[Fed G&amp;C E&amp;G]],Input[[#This Row],[Fed G&amp;C Desg]],Input[[#This Row],[Fed G&amp;C R Exp]],Input[[#This Row],[Fed G&amp;C Loan]],Input[[#This Row],[Fed G&amp;C Annuity]],Input[[#This Row],[Fed G&amp;C Unexp]],Input[[#This Row],[Fed G&amp;C R of Ind]],Input[[#This Row],[Fed G&amp;C Inv in P]])</f>
        <v>16295306</v>
      </c>
      <c r="VG23"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30029856</v>
      </c>
      <c r="VH23"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0</v>
      </c>
      <c r="VI23"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J23" s="338">
        <f>SUM(Input[[#This Row],[Oth Inc E&amp;G]],Input[[#This Row],[Oth Exp Desg]],Input[[#This Row],[Oth Exp R Exp]],Input[[#This Row],[Oth Exp Loan]],Input[[#This Row],[Oth Exp Annuity]],Input[[#This Row],[Oth Exp Unexp]],Input[[#This Row],[Oth Exp R of Ind]],Input[[#This Row],[Oth Exp Inv in P]])</f>
        <v>23955368</v>
      </c>
      <c r="VK23" s="343">
        <f>SUM(Input[[#This Row],[Instr E&amp;G]],Input[[#This Row],[Instr Desg]],Input[[#This Row],[Instr R Exp]],Input[[#This Row],[Instr Loan]],Input[[#This Row],[Instr Annuity]],Input[[#This Row],[Instr Unexp]],Input[[#This Row],[Instr R of Ind]],Input[[#This Row],[Instr Inv in P]])</f>
        <v>0</v>
      </c>
      <c r="VL23" s="343">
        <f>SUM(Input[[#This Row],[Res E&amp;G]],Input[[#This Row],[Res Desg]],Input[[#This Row],[Res R Exp]],Input[[#This Row],[Res Loan]],Input[[#This Row],[Res Annuity]],Input[[#This Row],[Res Unexp]],Input[[#This Row],[Res R of Ind]],Input[[#This Row],[Res Inv in P]])</f>
        <v>3212839</v>
      </c>
      <c r="VM23" s="343">
        <f>SUM(Input[[#This Row],[Acad Sup E&amp;G]],Input[[#This Row],[Acad Sup Desg]],Input[[#This Row],[Acad Sup R Exp]],Input[[#This Row],[Acad Sup Loan]],Input[[#This Row],[Acad Sup Annuity]],Input[[#This Row],[Acad Sup Unexp]],Input[[#This Row],[Acad Sup R of Ind]],Input[[#This Row],[Acad Sup Inv in P]])</f>
        <v>0</v>
      </c>
      <c r="VN23" s="343">
        <f>SUM(Input[[#This Row],[Stu Svc E&amp;G]],Input[[#This Row],[Stu Svc Desg]],Input[[#This Row],[Stu Svc R Exp]],Input[[#This Row],[Stu Svc Loan]],Input[[#This Row],[Stu Svc Annuity]],Input[[#This Row],[Stu Svc Unexp]],Input[[#This Row],[Stu Svc R of Ind]],Input[[#This Row],[Stu Svc Inv in P]])</f>
        <v>0</v>
      </c>
      <c r="VO23" s="343">
        <f>SUM(Input[[#This Row],[Inst. Spt E&amp;G]],Input[[#This Row],[Inst. Spt Desg]],Input[[#This Row],[Inst. Spt R Exp]],Input[[#This Row],[Inst. Spt Loan]],Input[[#This Row],[Inst. Spt Annuity]],Input[[#This Row],[Inst. Spt Unexp]],Input[[#This Row],[Inst. Spt R of Ind]],Input[[#This Row],[Inst. Spt Inv in P]])</f>
        <v>3581834</v>
      </c>
      <c r="VP23" s="343">
        <f>SUM(Input[[#This Row],[M&amp;O Plnt E&amp;G]],Input[[#This Row],[M&amp;O Plnt Desg]],Input[[#This Row],[M&amp;O Plnt R Exp]],Input[[#This Row],[M&amp;O Plnt Loan]],Input[[#This Row],[M&amp;O Plnt Annuity]],Input[[#This Row],[M&amp;O Plnt Unexp]],Input[[#This Row],[M&amp;O Plnt R of Ind]],Input[[#This Row],[M&amp;O Plnt Inv in P]])</f>
        <v>1868584</v>
      </c>
      <c r="VQ23" s="343">
        <f>SUM(Input[[#This Row],[Schl &amp; Fell E&amp;G]],Input[[#This Row],[Schl &amp; Fell Desg]],Input[[#This Row],[Schl &amp; Fell R Exp]],Input[[#This Row],[Schl &amp; Fell Loan]],Input[[#This Row],[Schl &amp; Fell Annuity]],Input[[#This Row],[Schl &amp; Fell Unexp]],Input[[#This Row],[Schl &amp; Fell R of Ind]],Input[[#This Row],[Schl &amp; Fell Inv in P]])</f>
        <v>0</v>
      </c>
      <c r="VR23" s="343">
        <f>SUM(Input[[#This Row],[Cap Out fund E&amp;G]],Input[[#This Row],[Cap Out fund Desg]],Input[[#This Row],[Cap Out fund R Exp]],Input[[#This Row],[Cap Out fund Loan]],Input[[#This Row],[Cap Out fund Annuity]],Input[[#This Row],[Cap Out fund Unexp]],Input[[#This Row],[Cap Out fund R of Ind]],Input[[#This Row],[Cap Out fund Inv in P]])</f>
        <v>6149183</v>
      </c>
      <c r="VS23" s="343">
        <f>SUM(Input[[#This Row],[Oth Exp E&amp;G]],Input[[#This Row],[Oth Exp Desg]],Input[[#This Row],[Oth Exp R Exp]],Input[[#This Row],[Oth Exp Loan]],Input[[#This Row],[Oth Exp Annuity]],Input[[#This Row],[Oth Exp Unexp]],Input[[#This Row],[Oth Exp R of Ind]],Input[[#This Row],[Oth Exp Inv in P]],Input[[#This Row],[Oth Exp Inv in P]])</f>
        <v>58852</v>
      </c>
    </row>
    <row r="24" spans="1:591" s="344" customFormat="1" ht="27" customHeight="1" x14ac:dyDescent="0.55000000000000004">
      <c r="A24" s="339" t="s">
        <v>72</v>
      </c>
      <c r="B24" s="334" t="s">
        <v>830</v>
      </c>
      <c r="C24" s="334" t="s">
        <v>21</v>
      </c>
      <c r="D24" s="334">
        <v>190</v>
      </c>
      <c r="E24" s="334" t="s">
        <v>1622</v>
      </c>
      <c r="F24" s="335">
        <v>9651</v>
      </c>
      <c r="G24" s="336">
        <v>53413048</v>
      </c>
      <c r="H24" s="336">
        <v>0</v>
      </c>
      <c r="I24" s="336">
        <v>0</v>
      </c>
      <c r="J24" s="336">
        <v>0</v>
      </c>
      <c r="K24" s="336">
        <v>0</v>
      </c>
      <c r="L24" s="336">
        <v>0</v>
      </c>
      <c r="M24" s="336">
        <v>0</v>
      </c>
      <c r="N24" s="336">
        <v>0</v>
      </c>
      <c r="O24" s="336">
        <v>0</v>
      </c>
      <c r="P24" s="336">
        <v>257640</v>
      </c>
      <c r="Q24" s="336">
        <v>115474</v>
      </c>
      <c r="R24" s="336">
        <v>0</v>
      </c>
      <c r="S24" s="336">
        <v>14322396</v>
      </c>
      <c r="T24" s="336">
        <v>0</v>
      </c>
      <c r="U24" s="336">
        <v>0</v>
      </c>
      <c r="V24" s="336">
        <v>0</v>
      </c>
      <c r="W24" s="336">
        <v>0</v>
      </c>
      <c r="X24" s="336">
        <v>0</v>
      </c>
      <c r="Y24" s="336">
        <v>7687534</v>
      </c>
      <c r="Z24" s="336">
        <v>0</v>
      </c>
      <c r="AA24" s="336">
        <v>0</v>
      </c>
      <c r="AB24" s="336">
        <v>0</v>
      </c>
      <c r="AC24" s="336">
        <v>0</v>
      </c>
      <c r="AD24" s="336">
        <v>0</v>
      </c>
      <c r="AE24" s="336">
        <v>0</v>
      </c>
      <c r="AF24" s="336">
        <v>0</v>
      </c>
      <c r="AG24" s="336">
        <v>0</v>
      </c>
      <c r="AH24" s="336">
        <v>0</v>
      </c>
      <c r="AI24" s="336">
        <v>0</v>
      </c>
      <c r="AJ24" s="336">
        <v>0</v>
      </c>
      <c r="AK24" s="336">
        <v>0</v>
      </c>
      <c r="AL24" s="336">
        <v>0</v>
      </c>
      <c r="AM24" s="336">
        <v>0</v>
      </c>
      <c r="AN24" s="336">
        <v>0</v>
      </c>
      <c r="AO24" s="336">
        <v>0</v>
      </c>
      <c r="AP24" s="336">
        <v>0</v>
      </c>
      <c r="AQ24" s="336">
        <v>-2603840</v>
      </c>
      <c r="AR24" s="336">
        <v>-36750</v>
      </c>
      <c r="AS24" s="336">
        <v>0</v>
      </c>
      <c r="AT24" s="336">
        <v>0</v>
      </c>
      <c r="AU24" s="336">
        <v>0</v>
      </c>
      <c r="AV24" s="336">
        <v>0</v>
      </c>
      <c r="AW24" s="336">
        <v>0</v>
      </c>
      <c r="AX24" s="336">
        <v>0</v>
      </c>
      <c r="AY24" s="336">
        <v>0</v>
      </c>
      <c r="AZ24" s="336">
        <v>0</v>
      </c>
      <c r="BA24" s="336">
        <v>0</v>
      </c>
      <c r="BB24" s="336">
        <v>0</v>
      </c>
      <c r="BC24" s="336">
        <v>0</v>
      </c>
      <c r="BD24" s="336">
        <v>0</v>
      </c>
      <c r="BE24" s="336">
        <v>0</v>
      </c>
      <c r="BF24" s="336">
        <v>0</v>
      </c>
      <c r="BG24" s="336">
        <v>0</v>
      </c>
      <c r="BH24" s="336">
        <v>0</v>
      </c>
      <c r="BI24" s="336">
        <v>-840188</v>
      </c>
      <c r="BJ24" s="336">
        <v>-466696</v>
      </c>
      <c r="BK24" s="336">
        <v>0</v>
      </c>
      <c r="BL24" s="336">
        <v>0</v>
      </c>
      <c r="BM24" s="336">
        <v>0</v>
      </c>
      <c r="BN24" s="336">
        <v>0</v>
      </c>
      <c r="BO24" s="336">
        <v>0</v>
      </c>
      <c r="BP24" s="336">
        <v>0</v>
      </c>
      <c r="BQ24" s="336">
        <v>0</v>
      </c>
      <c r="BR24" s="336">
        <v>0</v>
      </c>
      <c r="BS24" s="336">
        <v>0</v>
      </c>
      <c r="BT24" s="336">
        <v>0</v>
      </c>
      <c r="BU24" s="336">
        <v>0</v>
      </c>
      <c r="BV24" s="336">
        <v>0</v>
      </c>
      <c r="BW24" s="336">
        <v>0</v>
      </c>
      <c r="BX24" s="336">
        <v>0</v>
      </c>
      <c r="BY24" s="336">
        <v>0</v>
      </c>
      <c r="BZ24" s="336">
        <v>0</v>
      </c>
      <c r="CA24" s="336">
        <v>11444268</v>
      </c>
      <c r="CB24" s="336">
        <v>22596553</v>
      </c>
      <c r="CC24" s="336">
        <v>0</v>
      </c>
      <c r="CD24" s="336">
        <v>0</v>
      </c>
      <c r="CE24" s="336">
        <v>0</v>
      </c>
      <c r="CF24" s="336">
        <v>0</v>
      </c>
      <c r="CG24" s="336">
        <v>0</v>
      </c>
      <c r="CH24" s="336">
        <v>0</v>
      </c>
      <c r="CI24" s="336">
        <v>0</v>
      </c>
      <c r="CJ24" s="336">
        <v>0</v>
      </c>
      <c r="CK24" s="336">
        <v>0</v>
      </c>
      <c r="CL24" s="336">
        <v>0</v>
      </c>
      <c r="CM24" s="336">
        <v>0</v>
      </c>
      <c r="CN24" s="336">
        <v>0</v>
      </c>
      <c r="CO24" s="336">
        <v>0</v>
      </c>
      <c r="CP24" s="336">
        <v>0</v>
      </c>
      <c r="CQ24" s="336">
        <v>0</v>
      </c>
      <c r="CR24" s="336">
        <v>0</v>
      </c>
      <c r="CS24" s="336">
        <v>0</v>
      </c>
      <c r="CT24" s="336">
        <v>0</v>
      </c>
      <c r="CU24" s="336">
        <v>0</v>
      </c>
      <c r="CV24" s="336">
        <v>0</v>
      </c>
      <c r="CW24" s="336">
        <v>0</v>
      </c>
      <c r="CX24" s="336">
        <v>0</v>
      </c>
      <c r="CY24" s="336">
        <v>0</v>
      </c>
      <c r="CZ24" s="336">
        <v>0</v>
      </c>
      <c r="DA24" s="336">
        <v>0</v>
      </c>
      <c r="DB24" s="336">
        <v>-407939</v>
      </c>
      <c r="DC24" s="336">
        <v>-778525</v>
      </c>
      <c r="DD24" s="336">
        <v>0</v>
      </c>
      <c r="DE24" s="336">
        <v>0</v>
      </c>
      <c r="DF24" s="336">
        <v>0</v>
      </c>
      <c r="DG24" s="336">
        <v>0</v>
      </c>
      <c r="DH24" s="336">
        <v>0</v>
      </c>
      <c r="DI24" s="336">
        <v>0</v>
      </c>
      <c r="DJ24" s="336">
        <v>0</v>
      </c>
      <c r="DK24" s="336">
        <v>0</v>
      </c>
      <c r="DL24" s="336">
        <v>0</v>
      </c>
      <c r="DM24" s="336">
        <v>0</v>
      </c>
      <c r="DN24" s="336">
        <v>0</v>
      </c>
      <c r="DO24" s="336">
        <v>0</v>
      </c>
      <c r="DP24" s="336">
        <v>0</v>
      </c>
      <c r="DQ24" s="336">
        <v>0</v>
      </c>
      <c r="DR24" s="336">
        <v>0</v>
      </c>
      <c r="DS24" s="336">
        <v>0</v>
      </c>
      <c r="DT24" s="336">
        <v>-5730662</v>
      </c>
      <c r="DU24" s="336">
        <v>-11342059</v>
      </c>
      <c r="DV24" s="336">
        <v>0</v>
      </c>
      <c r="DW24" s="336">
        <v>0</v>
      </c>
      <c r="DX24" s="336">
        <v>0</v>
      </c>
      <c r="DY24" s="336">
        <v>0</v>
      </c>
      <c r="DZ24" s="336">
        <v>0</v>
      </c>
      <c r="EA24" s="336">
        <v>0</v>
      </c>
      <c r="EB24" s="336">
        <v>0</v>
      </c>
      <c r="EC24" s="336">
        <v>0</v>
      </c>
      <c r="ED24" s="336">
        <v>-462633</v>
      </c>
      <c r="EE24" s="336">
        <v>-23325</v>
      </c>
      <c r="EF24" s="336">
        <v>0</v>
      </c>
      <c r="EG24" s="336">
        <v>0</v>
      </c>
      <c r="EH24" s="336">
        <v>0</v>
      </c>
      <c r="EI24" s="336">
        <v>0</v>
      </c>
      <c r="EJ24" s="336">
        <v>0</v>
      </c>
      <c r="EK24" s="336">
        <v>0</v>
      </c>
      <c r="EL24" s="336">
        <v>0</v>
      </c>
      <c r="EM24" s="336">
        <v>0</v>
      </c>
      <c r="EN24" s="336">
        <v>0</v>
      </c>
      <c r="EO24" s="336">
        <v>0</v>
      </c>
      <c r="EP24" s="336">
        <v>0</v>
      </c>
      <c r="EQ24" s="336">
        <v>0</v>
      </c>
      <c r="ER24" s="336">
        <v>0</v>
      </c>
      <c r="ES24" s="336">
        <v>0</v>
      </c>
      <c r="ET24" s="336">
        <v>0</v>
      </c>
      <c r="EU24" s="336">
        <v>0</v>
      </c>
      <c r="EV24" s="336">
        <v>-944168</v>
      </c>
      <c r="EW24" s="336">
        <v>-1534737</v>
      </c>
      <c r="EX24" s="336">
        <v>0</v>
      </c>
      <c r="EY24" s="336">
        <v>0</v>
      </c>
      <c r="EZ24" s="336">
        <v>0</v>
      </c>
      <c r="FA24" s="336">
        <v>0</v>
      </c>
      <c r="FB24" s="336">
        <v>0</v>
      </c>
      <c r="FC24" s="336">
        <v>0</v>
      </c>
      <c r="FD24" s="336">
        <v>0</v>
      </c>
      <c r="FE24" s="336">
        <v>0</v>
      </c>
      <c r="FF24" s="336">
        <v>0</v>
      </c>
      <c r="FG24" s="336">
        <v>0</v>
      </c>
      <c r="FH24" s="336">
        <v>0</v>
      </c>
      <c r="FI24" s="336">
        <v>0</v>
      </c>
      <c r="FJ24" s="336">
        <v>0</v>
      </c>
      <c r="FK24" s="336">
        <v>0</v>
      </c>
      <c r="FL24" s="336">
        <v>0</v>
      </c>
      <c r="FM24" s="336">
        <v>520781</v>
      </c>
      <c r="FN24" s="336">
        <v>32377464</v>
      </c>
      <c r="FO24" s="336">
        <v>7433059</v>
      </c>
      <c r="FP24" s="336">
        <v>540160</v>
      </c>
      <c r="FQ24" s="336">
        <v>0</v>
      </c>
      <c r="FR24" s="336">
        <v>0</v>
      </c>
      <c r="FS24" s="336">
        <v>0</v>
      </c>
      <c r="FT24" s="336">
        <v>0</v>
      </c>
      <c r="FU24" s="336">
        <v>0</v>
      </c>
      <c r="FV24" s="336">
        <v>0</v>
      </c>
      <c r="FW24" s="336">
        <v>0</v>
      </c>
      <c r="FX24" s="336">
        <v>0</v>
      </c>
      <c r="FY24" s="336">
        <v>0</v>
      </c>
      <c r="FZ24" s="336">
        <v>0</v>
      </c>
      <c r="GA24" s="336">
        <v>0</v>
      </c>
      <c r="GB24" s="336">
        <v>0</v>
      </c>
      <c r="GC24" s="336">
        <v>0</v>
      </c>
      <c r="GD24" s="336">
        <v>0</v>
      </c>
      <c r="GE24" s="336">
        <v>0</v>
      </c>
      <c r="GF24" s="336">
        <v>0</v>
      </c>
      <c r="GG24" s="336">
        <v>0</v>
      </c>
      <c r="GH24" s="336">
        <v>0</v>
      </c>
      <c r="GI24" s="336">
        <v>0</v>
      </c>
      <c r="GJ24" s="336">
        <v>0</v>
      </c>
      <c r="GK24" s="336">
        <v>0</v>
      </c>
      <c r="GL24" s="336">
        <v>0</v>
      </c>
      <c r="GM24" s="336">
        <v>0</v>
      </c>
      <c r="GN24" s="336">
        <v>-480</v>
      </c>
      <c r="GO24" s="336">
        <v>-801392</v>
      </c>
      <c r="GP24" s="336">
        <v>-288502</v>
      </c>
      <c r="GQ24" s="336">
        <v>0</v>
      </c>
      <c r="GR24" s="336">
        <v>0</v>
      </c>
      <c r="GS24" s="336">
        <v>0</v>
      </c>
      <c r="GT24" s="336">
        <v>0</v>
      </c>
      <c r="GU24" s="336">
        <v>0</v>
      </c>
      <c r="GV24" s="336">
        <v>0</v>
      </c>
      <c r="GW24" s="336">
        <v>0</v>
      </c>
      <c r="GX24" s="336">
        <v>0</v>
      </c>
      <c r="GY24" s="336">
        <v>0</v>
      </c>
      <c r="GZ24" s="336">
        <v>0</v>
      </c>
      <c r="HA24" s="336">
        <v>0</v>
      </c>
      <c r="HB24" s="336">
        <v>0</v>
      </c>
      <c r="HC24" s="336">
        <v>0</v>
      </c>
      <c r="HD24" s="336">
        <v>0</v>
      </c>
      <c r="HE24" s="336">
        <v>0</v>
      </c>
      <c r="HF24" s="336">
        <v>-278862</v>
      </c>
      <c r="HG24" s="336">
        <v>-16565583</v>
      </c>
      <c r="HH24" s="336">
        <v>-3698523</v>
      </c>
      <c r="HI24" s="336">
        <v>0</v>
      </c>
      <c r="HJ24" s="336">
        <v>0</v>
      </c>
      <c r="HK24" s="336">
        <v>0</v>
      </c>
      <c r="HL24" s="336">
        <v>0</v>
      </c>
      <c r="HM24" s="336">
        <v>0</v>
      </c>
      <c r="HN24" s="336">
        <v>0</v>
      </c>
      <c r="HO24" s="336">
        <v>230250</v>
      </c>
      <c r="HP24" s="336">
        <v>428085</v>
      </c>
      <c r="HQ24" s="336">
        <v>0</v>
      </c>
      <c r="HR24" s="336">
        <v>34342150</v>
      </c>
      <c r="HS24" s="336">
        <v>0</v>
      </c>
      <c r="HT24" s="336">
        <v>0</v>
      </c>
      <c r="HU24" s="336">
        <v>0</v>
      </c>
      <c r="HV24" s="336">
        <v>0</v>
      </c>
      <c r="HW24" s="336">
        <v>0</v>
      </c>
      <c r="HX24" s="336">
        <v>0</v>
      </c>
      <c r="HY24" s="336">
        <v>0</v>
      </c>
      <c r="HZ24" s="336">
        <v>0</v>
      </c>
      <c r="IA24" s="336">
        <v>0</v>
      </c>
      <c r="IB24" s="336">
        <v>0</v>
      </c>
      <c r="IC24" s="336">
        <v>0</v>
      </c>
      <c r="ID24" s="336">
        <v>0</v>
      </c>
      <c r="IE24" s="336">
        <v>0</v>
      </c>
      <c r="IF24" s="336">
        <v>0</v>
      </c>
      <c r="IG24" s="336">
        <v>0</v>
      </c>
      <c r="IH24" s="336">
        <v>0</v>
      </c>
      <c r="II24" s="336">
        <v>0</v>
      </c>
      <c r="IJ24" s="336">
        <v>0</v>
      </c>
      <c r="IK24" s="336">
        <v>0</v>
      </c>
      <c r="IL24" s="336">
        <v>0</v>
      </c>
      <c r="IM24" s="336">
        <v>0</v>
      </c>
      <c r="IN24" s="336">
        <v>0</v>
      </c>
      <c r="IO24" s="336">
        <v>0</v>
      </c>
      <c r="IP24" s="336">
        <v>860393</v>
      </c>
      <c r="IQ24" s="336">
        <v>4405015</v>
      </c>
      <c r="IR24" s="336">
        <v>465273</v>
      </c>
      <c r="IS24" s="336">
        <v>762882</v>
      </c>
      <c r="IT24" s="336">
        <v>150931</v>
      </c>
      <c r="IU24" s="336">
        <v>11250</v>
      </c>
      <c r="IV24" s="336">
        <v>32146</v>
      </c>
      <c r="IW24" s="336">
        <v>0</v>
      </c>
      <c r="IX24" s="336">
        <v>0</v>
      </c>
      <c r="IY24" s="336">
        <v>0</v>
      </c>
      <c r="IZ24" s="336">
        <v>0</v>
      </c>
      <c r="JA24" s="336">
        <v>0</v>
      </c>
      <c r="JB24" s="336">
        <v>0</v>
      </c>
      <c r="JC24" s="336">
        <v>0</v>
      </c>
      <c r="JD24" s="336">
        <v>0</v>
      </c>
      <c r="JE24" s="336">
        <v>0</v>
      </c>
      <c r="JF24" s="336">
        <v>0</v>
      </c>
      <c r="JG24" s="336">
        <v>0</v>
      </c>
      <c r="JH24" s="336">
        <v>0</v>
      </c>
      <c r="JI24" s="336">
        <v>206576</v>
      </c>
      <c r="JJ24" s="336">
        <v>160000</v>
      </c>
      <c r="JK24" s="336">
        <v>3249634</v>
      </c>
      <c r="JL24" s="336">
        <v>0</v>
      </c>
      <c r="JM24" s="336">
        <v>0</v>
      </c>
      <c r="JN24" s="336">
        <v>0</v>
      </c>
      <c r="JO24" s="336">
        <v>0</v>
      </c>
      <c r="JP24" s="336">
        <v>0</v>
      </c>
      <c r="JQ24" s="336">
        <v>38864</v>
      </c>
      <c r="JR24" s="336">
        <v>732043</v>
      </c>
      <c r="JS24" s="336">
        <v>0</v>
      </c>
      <c r="JT24" s="336">
        <v>924580</v>
      </c>
      <c r="JU24" s="336">
        <v>0</v>
      </c>
      <c r="JV24" s="336">
        <v>0</v>
      </c>
      <c r="JW24" s="336">
        <v>0</v>
      </c>
      <c r="JX24" s="336">
        <v>0</v>
      </c>
      <c r="JY24" s="336">
        <v>0</v>
      </c>
      <c r="JZ24" s="336">
        <v>0</v>
      </c>
      <c r="KA24" s="336">
        <v>0</v>
      </c>
      <c r="KB24" s="336">
        <v>2997059</v>
      </c>
      <c r="KC24" s="336">
        <v>0</v>
      </c>
      <c r="KD24" s="336">
        <v>0</v>
      </c>
      <c r="KE24" s="336">
        <v>0</v>
      </c>
      <c r="KF24" s="336">
        <v>0</v>
      </c>
      <c r="KG24" s="336">
        <v>0</v>
      </c>
      <c r="KH24" s="336">
        <v>0</v>
      </c>
      <c r="KI24" s="336">
        <v>301</v>
      </c>
      <c r="KJ24" s="336">
        <v>471070</v>
      </c>
      <c r="KK24" s="336">
        <v>36870</v>
      </c>
      <c r="KL24" s="336">
        <v>882315</v>
      </c>
      <c r="KM24" s="336">
        <v>0</v>
      </c>
      <c r="KN24" s="336">
        <v>961875</v>
      </c>
      <c r="KO24" s="336">
        <v>0</v>
      </c>
      <c r="KP24" s="336">
        <v>0</v>
      </c>
      <c r="KQ24" s="336">
        <v>0</v>
      </c>
      <c r="KR24" s="336">
        <v>33617056</v>
      </c>
      <c r="KS24" s="336">
        <v>3572614</v>
      </c>
      <c r="KT24" s="336">
        <v>0</v>
      </c>
      <c r="KU24" s="336">
        <v>1525114</v>
      </c>
      <c r="KV24" s="336">
        <v>0</v>
      </c>
      <c r="KW24" s="336">
        <v>0</v>
      </c>
      <c r="KX24" s="336">
        <v>0</v>
      </c>
      <c r="KY24" s="336">
        <v>0</v>
      </c>
      <c r="KZ24" s="336">
        <v>0</v>
      </c>
      <c r="LA24" s="336">
        <v>1970638</v>
      </c>
      <c r="LB24" s="336">
        <v>415432</v>
      </c>
      <c r="LC24" s="336">
        <v>0</v>
      </c>
      <c r="LD24" s="336">
        <v>4810674</v>
      </c>
      <c r="LE24" s="336">
        <v>0</v>
      </c>
      <c r="LF24" s="336">
        <v>0</v>
      </c>
      <c r="LG24" s="336">
        <v>0</v>
      </c>
      <c r="LH24" s="336">
        <v>0</v>
      </c>
      <c r="LI24" s="336">
        <v>0</v>
      </c>
      <c r="LJ24" s="336">
        <v>635972</v>
      </c>
      <c r="LK24" s="336">
        <v>603217</v>
      </c>
      <c r="LL24" s="336">
        <v>0</v>
      </c>
      <c r="LM24" s="336">
        <v>1877218</v>
      </c>
      <c r="LN24" s="336">
        <v>0</v>
      </c>
      <c r="LO24" s="336">
        <v>0</v>
      </c>
      <c r="LP24" s="336">
        <v>0</v>
      </c>
      <c r="LQ24" s="336">
        <v>0</v>
      </c>
      <c r="LR24" s="336">
        <v>0</v>
      </c>
      <c r="LS24" s="336">
        <v>0</v>
      </c>
      <c r="LT24" s="336">
        <v>0</v>
      </c>
      <c r="LU24" s="336">
        <v>0</v>
      </c>
      <c r="LV24" s="336">
        <v>0</v>
      </c>
      <c r="LW24" s="336">
        <v>0</v>
      </c>
      <c r="LX24" s="336">
        <v>0</v>
      </c>
      <c r="LY24" s="336">
        <v>0</v>
      </c>
      <c r="LZ24" s="336">
        <v>0</v>
      </c>
      <c r="MA24" s="336">
        <v>0</v>
      </c>
      <c r="MB24" s="336">
        <v>12062854</v>
      </c>
      <c r="MC24" s="336">
        <v>11301686</v>
      </c>
      <c r="MD24" s="336">
        <v>0</v>
      </c>
      <c r="ME24" s="336">
        <v>2537131</v>
      </c>
      <c r="MF24" s="336">
        <v>0</v>
      </c>
      <c r="MG24" s="336">
        <v>0</v>
      </c>
      <c r="MH24" s="336">
        <v>0</v>
      </c>
      <c r="MI24" s="336">
        <v>0</v>
      </c>
      <c r="MJ24" s="336">
        <v>0</v>
      </c>
      <c r="MK24" s="336">
        <v>2372717</v>
      </c>
      <c r="ML24" s="336">
        <v>11651677</v>
      </c>
      <c r="MM24" s="336">
        <v>0</v>
      </c>
      <c r="MN24" s="336">
        <v>339638</v>
      </c>
      <c r="MO24" s="336">
        <v>300152</v>
      </c>
      <c r="MP24" s="336">
        <v>0</v>
      </c>
      <c r="MQ24" s="336">
        <v>0</v>
      </c>
      <c r="MR24" s="336">
        <v>0</v>
      </c>
      <c r="MS24" s="336">
        <v>0</v>
      </c>
      <c r="MT24" s="336">
        <v>1394552</v>
      </c>
      <c r="MU24" s="336">
        <v>7967989</v>
      </c>
      <c r="MV24" s="336">
        <v>0</v>
      </c>
      <c r="MW24" s="336">
        <v>57481</v>
      </c>
      <c r="MX24" s="336">
        <v>0</v>
      </c>
      <c r="MY24" s="336">
        <v>0</v>
      </c>
      <c r="MZ24" s="336">
        <v>0</v>
      </c>
      <c r="NA24" s="336">
        <v>0</v>
      </c>
      <c r="NB24" s="336">
        <v>0</v>
      </c>
      <c r="NC24" s="336">
        <v>8353109</v>
      </c>
      <c r="ND24" s="336">
        <v>8590671</v>
      </c>
      <c r="NE24" s="336">
        <v>0</v>
      </c>
      <c r="NF24" s="336">
        <v>28675</v>
      </c>
      <c r="NG24" s="336">
        <v>0</v>
      </c>
      <c r="NH24" s="336">
        <v>0</v>
      </c>
      <c r="NI24" s="336">
        <v>84</v>
      </c>
      <c r="NJ24" s="336">
        <v>0</v>
      </c>
      <c r="NK24" s="336">
        <v>0</v>
      </c>
      <c r="NL24" s="336">
        <v>307192</v>
      </c>
      <c r="NM24" s="336">
        <v>4620452</v>
      </c>
      <c r="NN24" s="336">
        <v>0</v>
      </c>
      <c r="NO24" s="336">
        <v>12738823</v>
      </c>
      <c r="NP24" s="336">
        <v>0</v>
      </c>
      <c r="NQ24" s="336">
        <v>0</v>
      </c>
      <c r="NR24" s="336">
        <v>0</v>
      </c>
      <c r="NS24" s="336">
        <v>0</v>
      </c>
      <c r="NT24" s="336">
        <v>0</v>
      </c>
      <c r="NU24" s="336">
        <v>0</v>
      </c>
      <c r="NV24" s="336">
        <v>0</v>
      </c>
      <c r="NW24" s="336">
        <v>13559281</v>
      </c>
      <c r="NX24" s="336">
        <v>0</v>
      </c>
      <c r="NY24" s="336">
        <v>0</v>
      </c>
      <c r="NZ24" s="336">
        <v>0</v>
      </c>
      <c r="OA24" s="336">
        <v>0</v>
      </c>
      <c r="OB24" s="336">
        <v>0</v>
      </c>
      <c r="OC24" s="336">
        <v>0</v>
      </c>
      <c r="OD24" s="336">
        <v>636674</v>
      </c>
      <c r="OE24" s="336">
        <v>291810</v>
      </c>
      <c r="OF24" s="336">
        <v>35116</v>
      </c>
      <c r="OG24" s="336">
        <v>120029</v>
      </c>
      <c r="OH24" s="336">
        <v>0</v>
      </c>
      <c r="OI24" s="336">
        <v>0</v>
      </c>
      <c r="OJ24" s="336">
        <v>0</v>
      </c>
      <c r="OK24" s="336">
        <v>0</v>
      </c>
      <c r="OL24" s="336">
        <v>0</v>
      </c>
      <c r="OM24" s="336">
        <v>0</v>
      </c>
      <c r="ON24" s="336">
        <v>434463</v>
      </c>
      <c r="OO24" s="336">
        <v>190238</v>
      </c>
      <c r="OP24" s="336">
        <v>2196</v>
      </c>
      <c r="OQ24" s="336">
        <v>11754</v>
      </c>
      <c r="OR24" s="336">
        <v>750000</v>
      </c>
      <c r="OS24" s="336">
        <v>2543</v>
      </c>
      <c r="OT24" s="336">
        <v>0</v>
      </c>
      <c r="OU24" s="336">
        <v>0</v>
      </c>
      <c r="OV24" s="336">
        <v>0</v>
      </c>
      <c r="OW24" s="336">
        <v>0</v>
      </c>
      <c r="OX24" s="336">
        <v>0</v>
      </c>
      <c r="OY24" s="336">
        <v>0</v>
      </c>
      <c r="OZ24" s="336">
        <v>0</v>
      </c>
      <c r="PA24" s="336">
        <v>0</v>
      </c>
      <c r="PB24" s="336">
        <v>2118552</v>
      </c>
      <c r="PC24" s="336">
        <v>0</v>
      </c>
      <c r="PD24" s="336">
        <v>0</v>
      </c>
      <c r="PE24" s="336">
        <v>6223263</v>
      </c>
      <c r="PF24" s="336">
        <v>21402029</v>
      </c>
      <c r="PG24" s="336">
        <v>5156769</v>
      </c>
      <c r="PH24" s="336">
        <v>-28896820</v>
      </c>
      <c r="PI24" s="336">
        <v>131133</v>
      </c>
      <c r="PJ24" s="336">
        <v>1357261</v>
      </c>
      <c r="PK24" s="336">
        <v>-15000000</v>
      </c>
      <c r="PL24" s="336">
        <v>0</v>
      </c>
      <c r="PM24" s="336">
        <v>0</v>
      </c>
      <c r="PN24" s="336">
        <v>0</v>
      </c>
      <c r="PO24" s="336">
        <v>0</v>
      </c>
      <c r="PP24" s="336">
        <v>0</v>
      </c>
      <c r="PQ24" s="336">
        <v>0</v>
      </c>
      <c r="PR24" s="336">
        <v>0</v>
      </c>
      <c r="PS24" s="336">
        <v>0</v>
      </c>
      <c r="PT24" s="336">
        <v>0</v>
      </c>
      <c r="PU24" s="336">
        <v>0</v>
      </c>
      <c r="PV24" s="336">
        <v>0</v>
      </c>
      <c r="PW24" s="336">
        <v>-10886187</v>
      </c>
      <c r="PX24" s="336">
        <v>-914370</v>
      </c>
      <c r="PY24" s="336">
        <v>-1975488</v>
      </c>
      <c r="PZ24" s="336">
        <v>0</v>
      </c>
      <c r="QA24" s="336">
        <v>0</v>
      </c>
      <c r="QB24" s="336">
        <v>0</v>
      </c>
      <c r="QC24" s="336">
        <v>158370</v>
      </c>
      <c r="QD24" s="336">
        <v>0</v>
      </c>
      <c r="QE24" s="336">
        <v>0</v>
      </c>
      <c r="QF24" s="336">
        <v>8837965</v>
      </c>
      <c r="QG24" s="336">
        <v>3504622</v>
      </c>
      <c r="QH24" s="336">
        <v>782299</v>
      </c>
      <c r="QI24" s="336">
        <v>969407</v>
      </c>
      <c r="QJ24" s="336">
        <v>0</v>
      </c>
      <c r="QK24" s="336">
        <v>6218192</v>
      </c>
      <c r="QL24" s="336">
        <v>0</v>
      </c>
      <c r="QM24" s="336">
        <v>0</v>
      </c>
      <c r="QN24" s="336">
        <v>0</v>
      </c>
      <c r="QO24" s="336">
        <v>0</v>
      </c>
      <c r="QP24" s="336">
        <v>0</v>
      </c>
      <c r="QQ24" s="336">
        <v>0</v>
      </c>
      <c r="QR24" s="336">
        <v>0</v>
      </c>
      <c r="QS24" s="336">
        <v>0</v>
      </c>
      <c r="QT24" s="336">
        <v>1086377</v>
      </c>
      <c r="QU24" s="336">
        <v>0</v>
      </c>
      <c r="QV24" s="336">
        <v>0</v>
      </c>
      <c r="QW24" s="336">
        <v>0</v>
      </c>
      <c r="QX24" s="336">
        <v>0</v>
      </c>
      <c r="QY24" s="336">
        <v>0</v>
      </c>
      <c r="QZ24" s="336">
        <v>0</v>
      </c>
      <c r="RA24" s="336">
        <v>0</v>
      </c>
      <c r="RB24" s="336">
        <v>0</v>
      </c>
      <c r="RC24" s="336">
        <v>0</v>
      </c>
      <c r="RD24" s="336">
        <v>0</v>
      </c>
      <c r="RE24" s="336">
        <v>0</v>
      </c>
      <c r="RF24" s="336">
        <v>0</v>
      </c>
      <c r="RG24" s="336">
        <v>0</v>
      </c>
      <c r="RH24" s="336">
        <v>0</v>
      </c>
      <c r="RI24" s="336">
        <v>0</v>
      </c>
      <c r="RJ24" s="336">
        <v>0</v>
      </c>
      <c r="RK24" s="336">
        <v>0</v>
      </c>
      <c r="RL24" s="336">
        <v>0</v>
      </c>
      <c r="RM24" s="336">
        <v>0</v>
      </c>
      <c r="RN24" s="336">
        <v>0</v>
      </c>
      <c r="RO24" s="336">
        <v>-11632769</v>
      </c>
      <c r="RP24" s="336">
        <v>0</v>
      </c>
      <c r="RQ24" s="336">
        <v>0</v>
      </c>
      <c r="RR24" s="336">
        <v>0</v>
      </c>
      <c r="RS24" s="336">
        <v>0</v>
      </c>
      <c r="RT24" s="336">
        <v>0</v>
      </c>
      <c r="RU24" s="336">
        <v>0</v>
      </c>
      <c r="RV24" s="336">
        <v>0</v>
      </c>
      <c r="RW24" s="336">
        <v>0</v>
      </c>
      <c r="RX24" s="336">
        <v>0</v>
      </c>
      <c r="RY24" s="336">
        <v>0</v>
      </c>
      <c r="RZ24" s="336">
        <v>0</v>
      </c>
      <c r="SA24" s="336">
        <v>0</v>
      </c>
      <c r="SB24" s="336">
        <v>0</v>
      </c>
      <c r="SC24" s="336">
        <v>0</v>
      </c>
      <c r="SD24" s="336">
        <v>0</v>
      </c>
      <c r="SE24" s="336">
        <v>0</v>
      </c>
      <c r="SF24" s="336">
        <v>0</v>
      </c>
      <c r="SG24" s="336">
        <v>0</v>
      </c>
      <c r="SH24" s="336">
        <v>0</v>
      </c>
      <c r="SI24" s="336">
        <v>0</v>
      </c>
      <c r="SJ24" s="336">
        <v>0</v>
      </c>
      <c r="SK24" s="336">
        <v>0</v>
      </c>
      <c r="SL24" s="336">
        <v>0</v>
      </c>
      <c r="SM24" s="336">
        <v>0</v>
      </c>
      <c r="SN24" s="336">
        <v>0</v>
      </c>
      <c r="SO24" s="336">
        <v>0</v>
      </c>
      <c r="SP24" s="336">
        <v>0</v>
      </c>
      <c r="SQ24" s="336">
        <v>636674</v>
      </c>
      <c r="SR24" s="336">
        <v>291810</v>
      </c>
      <c r="SS24" s="336">
        <v>35116</v>
      </c>
      <c r="ST24" s="336">
        <v>120029</v>
      </c>
      <c r="SU24" s="336">
        <v>0</v>
      </c>
      <c r="SV24" s="336">
        <v>0</v>
      </c>
      <c r="SW24" s="336">
        <v>-2118552</v>
      </c>
      <c r="SX24" s="336">
        <v>0</v>
      </c>
      <c r="SY24" s="336">
        <v>0</v>
      </c>
      <c r="SZ24" s="336" t="s">
        <v>1420</v>
      </c>
      <c r="TA24" s="336" t="s">
        <v>1420</v>
      </c>
      <c r="TB24" s="336" t="s">
        <v>1420</v>
      </c>
      <c r="TC24" s="336">
        <v>217075</v>
      </c>
      <c r="TD24" s="336">
        <v>300236</v>
      </c>
      <c r="TE24" s="336">
        <v>13950</v>
      </c>
      <c r="TF24" s="336">
        <v>0</v>
      </c>
      <c r="TG24" s="336">
        <v>245412</v>
      </c>
      <c r="TH24" s="336">
        <v>27954</v>
      </c>
      <c r="TI24" s="336">
        <v>29044</v>
      </c>
      <c r="TJ24" s="336">
        <v>214842</v>
      </c>
      <c r="TK24" s="336">
        <v>0</v>
      </c>
      <c r="TL24" s="336">
        <v>35116</v>
      </c>
      <c r="TM24" s="336">
        <v>0</v>
      </c>
      <c r="TN24" s="336">
        <v>0</v>
      </c>
      <c r="TO24" s="336">
        <v>0</v>
      </c>
      <c r="TP24" s="336">
        <v>0</v>
      </c>
      <c r="TQ24" s="336">
        <v>0</v>
      </c>
      <c r="TR24" s="336">
        <v>0</v>
      </c>
      <c r="TS24" s="336">
        <v>0</v>
      </c>
      <c r="TT24" s="336">
        <v>0</v>
      </c>
      <c r="TU24" s="336">
        <v>0</v>
      </c>
      <c r="TV24" s="336">
        <v>0</v>
      </c>
      <c r="TW24" s="336">
        <v>0</v>
      </c>
      <c r="TX24" s="336">
        <v>0</v>
      </c>
      <c r="TY24" s="336">
        <v>0</v>
      </c>
      <c r="TZ24" s="336">
        <v>0</v>
      </c>
      <c r="UA24" s="336">
        <v>0</v>
      </c>
      <c r="UB24" s="336">
        <v>0</v>
      </c>
      <c r="UC24" s="336">
        <v>0</v>
      </c>
      <c r="UD24" s="336">
        <v>0</v>
      </c>
      <c r="UE24" s="336">
        <v>0</v>
      </c>
      <c r="UF24" s="336">
        <v>0</v>
      </c>
      <c r="UG24" s="336">
        <v>0</v>
      </c>
      <c r="UH24" s="336">
        <v>38714784</v>
      </c>
      <c r="UI24" s="338">
        <v>7196744</v>
      </c>
      <c r="UJ24" s="338">
        <v>3116407</v>
      </c>
      <c r="UK24" s="338">
        <v>0</v>
      </c>
      <c r="UL24" s="338">
        <v>25901671</v>
      </c>
      <c r="UM24" s="338">
        <v>14664184</v>
      </c>
      <c r="UN24" s="338">
        <v>9420022</v>
      </c>
      <c r="UO24" s="338">
        <v>16972539</v>
      </c>
      <c r="UP24" s="338">
        <v>17666467</v>
      </c>
      <c r="UQ24" s="338">
        <v>13559281</v>
      </c>
      <c r="UR24"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1083629</v>
      </c>
      <c r="US24" s="338">
        <f>SUM(Input[[#This Row],[Oth Exp E&amp;G]],Input[[#This Row],[Oth Exp Desg]],Input[[#This Row],[Oth Exp Aux]],Input[[#This Row],[Oth Exp R Exp]],Input[[#This Row],[Oth Exp Loan]],Input[[#This Row],[Oth Exp Annuity]],Input[[#This Row],[Oth Exp Unexp]],Input[[#This Row],[Oth Exp R of Ind]],Input[[#This Row],[Oth Exp Inv in P]])</f>
        <v>1391194</v>
      </c>
      <c r="UT24" s="336">
        <v>-7646998</v>
      </c>
      <c r="UU24" s="336">
        <v>20312485</v>
      </c>
      <c r="UV24" s="339" t="s">
        <v>1432</v>
      </c>
      <c r="UW24" s="340">
        <v>9798459761</v>
      </c>
      <c r="UX24" s="339" t="s">
        <v>1433</v>
      </c>
      <c r="UY24" s="339" t="s">
        <v>1443</v>
      </c>
      <c r="UZ24" s="340">
        <v>9563262433</v>
      </c>
      <c r="VA24" s="339" t="s">
        <v>1444</v>
      </c>
      <c r="VB24" s="341" cm="1">
        <f t="array" ref="VB24">IFERROR(_xlfn.IFS(Input[[#This Row],[Type]]="HRI",VLOOKUP(Input[[#This Row],[Institution Name]],FTSEHRI[],9,FALSE),Input[[#This Row],[Type]]="UNIV",VLOOKUP(Input[[#This Row],[Institution Name]],FTSEUNIV[],9,FALSE),OR(Input[[#This Row],[Type]]="TSTC",Input[[#This Row],[Type]]="LSC"),VLOOKUP(Input[[#This Row],[Institution Name]],FTSETSTC[],8,FALSE)),"N/A")</f>
        <v>7118.52</v>
      </c>
      <c r="VC24" s="342" t="str" cm="1">
        <f t="array" ref="VC24">IFERROR(_xlfn.IFS(Input[[#This Row],[Type]]="HRI",VLOOKUP(Input[[#This Row],[Institution Name]],FTSEHRI[],11,FALSE),Input[[#This Row],[Type]]="UNIV",VLOOKUP(Input[[#This Row],[Institution Name]],FTSEUNIV[],11,FALSE),Input[[#This Row],[Type]]="TSTC",VLOOKUP(Input[[#This Row],[Institution Name]],FTSETSTC[],10,FALSE)),"N/A")</f>
        <v>N/A</v>
      </c>
      <c r="VD24"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68108558</v>
      </c>
      <c r="VE24"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7687534</v>
      </c>
      <c r="VF24" s="338">
        <f>SUM(Input[[#This Row],[Fed G&amp;C E&amp;G]],Input[[#This Row],[Fed G&amp;C Desg]],Input[[#This Row],[Fed G&amp;C R Exp]],Input[[#This Row],[Fed G&amp;C Loan]],Input[[#This Row],[Fed G&amp;C Annuity]],Input[[#This Row],[Fed G&amp;C Unexp]],Input[[#This Row],[Fed G&amp;C R of Ind]],Input[[#This Row],[Fed G&amp;C Inv in P]])</f>
        <v>35000485</v>
      </c>
      <c r="VG24"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13689875</v>
      </c>
      <c r="VH24"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15781636</v>
      </c>
      <c r="VI24"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15251928</v>
      </c>
      <c r="VJ24" s="338">
        <f>SUM(Input[[#This Row],[Oth Inc E&amp;G]],Input[[#This Row],[Oth Exp Desg]],Input[[#This Row],[Oth Exp R Exp]],Input[[#This Row],[Oth Exp Loan]],Input[[#This Row],[Oth Exp Annuity]],Input[[#This Row],[Oth Exp Unexp]],Input[[#This Row],[Oth Exp R of Ind]],Input[[#This Row],[Oth Exp Inv in P]])</f>
        <v>1201257</v>
      </c>
      <c r="VK24" s="343">
        <f>SUM(Input[[#This Row],[Instr E&amp;G]],Input[[#This Row],[Instr Desg]],Input[[#This Row],[Instr R Exp]],Input[[#This Row],[Instr Loan]],Input[[#This Row],[Instr Annuity]],Input[[#This Row],[Instr Unexp]],Input[[#This Row],[Instr R of Ind]],Input[[#This Row],[Instr Inv in P]])</f>
        <v>38714784</v>
      </c>
      <c r="VL24" s="343">
        <f>SUM(Input[[#This Row],[Res E&amp;G]],Input[[#This Row],[Res Desg]],Input[[#This Row],[Res R Exp]],Input[[#This Row],[Res Loan]],Input[[#This Row],[Res Annuity]],Input[[#This Row],[Res Unexp]],Input[[#This Row],[Res R of Ind]],Input[[#This Row],[Res Inv in P]])</f>
        <v>7196744</v>
      </c>
      <c r="VM24" s="343">
        <f>SUM(Input[[#This Row],[Acad Sup E&amp;G]],Input[[#This Row],[Acad Sup Desg]],Input[[#This Row],[Acad Sup R Exp]],Input[[#This Row],[Acad Sup Loan]],Input[[#This Row],[Acad Sup Annuity]],Input[[#This Row],[Acad Sup Unexp]],Input[[#This Row],[Acad Sup R of Ind]],Input[[#This Row],[Acad Sup Inv in P]])</f>
        <v>25901671</v>
      </c>
      <c r="VN24" s="343">
        <f>SUM(Input[[#This Row],[Stu Svc E&amp;G]],Input[[#This Row],[Stu Svc Desg]],Input[[#This Row],[Stu Svc R Exp]],Input[[#This Row],[Stu Svc Loan]],Input[[#This Row],[Stu Svc Annuity]],Input[[#This Row],[Stu Svc Unexp]],Input[[#This Row],[Stu Svc R of Ind]],Input[[#This Row],[Stu Svc Inv in P]])</f>
        <v>14664184</v>
      </c>
      <c r="VO24" s="343">
        <f>SUM(Input[[#This Row],[Inst. Spt E&amp;G]],Input[[#This Row],[Inst. Spt Desg]],Input[[#This Row],[Inst. Spt R Exp]],Input[[#This Row],[Inst. Spt Loan]],Input[[#This Row],[Inst. Spt Annuity]],Input[[#This Row],[Inst. Spt Unexp]],Input[[#This Row],[Inst. Spt R of Ind]],Input[[#This Row],[Inst. Spt Inv in P]])</f>
        <v>9420022</v>
      </c>
      <c r="VP24" s="343">
        <f>SUM(Input[[#This Row],[M&amp;O Plnt E&amp;G]],Input[[#This Row],[M&amp;O Plnt Desg]],Input[[#This Row],[M&amp;O Plnt R Exp]],Input[[#This Row],[M&amp;O Plnt Loan]],Input[[#This Row],[M&amp;O Plnt Annuity]],Input[[#This Row],[M&amp;O Plnt Unexp]],Input[[#This Row],[M&amp;O Plnt R of Ind]],Input[[#This Row],[M&amp;O Plnt Inv in P]])</f>
        <v>16972539</v>
      </c>
      <c r="VQ24" s="343">
        <f>SUM(Input[[#This Row],[Schl &amp; Fell E&amp;G]],Input[[#This Row],[Schl &amp; Fell Desg]],Input[[#This Row],[Schl &amp; Fell R Exp]],Input[[#This Row],[Schl &amp; Fell Loan]],Input[[#This Row],[Schl &amp; Fell Annuity]],Input[[#This Row],[Schl &amp; Fell Unexp]],Input[[#This Row],[Schl &amp; Fell R of Ind]],Input[[#This Row],[Schl &amp; Fell Inv in P]])</f>
        <v>17666467</v>
      </c>
      <c r="VR24" s="343">
        <f>SUM(Input[[#This Row],[Cap Out fund E&amp;G]],Input[[#This Row],[Cap Out fund Desg]],Input[[#This Row],[Cap Out fund R Exp]],Input[[#This Row],[Cap Out fund Loan]],Input[[#This Row],[Cap Out fund Annuity]],Input[[#This Row],[Cap Out fund Unexp]],Input[[#This Row],[Cap Out fund R of Ind]],Input[[#This Row],[Cap Out fund Inv in P]])</f>
        <v>1048513</v>
      </c>
      <c r="VS24" s="343">
        <f>SUM(Input[[#This Row],[Oth Exp E&amp;G]],Input[[#This Row],[Oth Exp Desg]],Input[[#This Row],[Oth Exp R Exp]],Input[[#This Row],[Oth Exp Loan]],Input[[#This Row],[Oth Exp Annuity]],Input[[#This Row],[Oth Exp Unexp]],Input[[#This Row],[Oth Exp R of Ind]],Input[[#This Row],[Oth Exp Inv in P]],Input[[#This Row],[Oth Exp Inv in P]])</f>
        <v>1200956</v>
      </c>
    </row>
    <row r="25" spans="1:591" s="344" customFormat="1" ht="27" customHeight="1" x14ac:dyDescent="0.55000000000000004">
      <c r="A25" s="339" t="s">
        <v>708</v>
      </c>
      <c r="B25" s="334" t="s">
        <v>830</v>
      </c>
      <c r="C25" s="350" t="s">
        <v>1914</v>
      </c>
      <c r="D25" s="334">
        <v>650</v>
      </c>
      <c r="E25" s="334" t="s">
        <v>1622</v>
      </c>
      <c r="F25" s="335">
        <v>708</v>
      </c>
      <c r="G25" s="336">
        <v>0</v>
      </c>
      <c r="H25" s="336">
        <v>0</v>
      </c>
      <c r="I25" s="336">
        <v>0</v>
      </c>
      <c r="J25" s="336">
        <v>0</v>
      </c>
      <c r="K25" s="336">
        <v>0</v>
      </c>
      <c r="L25" s="336">
        <v>0</v>
      </c>
      <c r="M25" s="336">
        <v>0</v>
      </c>
      <c r="N25" s="336">
        <v>0</v>
      </c>
      <c r="O25" s="336">
        <v>0</v>
      </c>
      <c r="P25" s="336">
        <v>0</v>
      </c>
      <c r="Q25" s="336">
        <v>0</v>
      </c>
      <c r="R25" s="336">
        <v>0</v>
      </c>
      <c r="S25" s="336">
        <v>0</v>
      </c>
      <c r="T25" s="336">
        <v>0</v>
      </c>
      <c r="U25" s="336">
        <v>0</v>
      </c>
      <c r="V25" s="336">
        <v>0</v>
      </c>
      <c r="W25" s="336">
        <v>0</v>
      </c>
      <c r="X25" s="336">
        <v>0</v>
      </c>
      <c r="Y25" s="336">
        <v>0</v>
      </c>
      <c r="Z25" s="336">
        <v>0</v>
      </c>
      <c r="AA25" s="336">
        <v>0</v>
      </c>
      <c r="AB25" s="336">
        <v>0</v>
      </c>
      <c r="AC25" s="336">
        <v>0</v>
      </c>
      <c r="AD25" s="336">
        <v>0</v>
      </c>
      <c r="AE25" s="336">
        <v>0</v>
      </c>
      <c r="AF25" s="336">
        <v>0</v>
      </c>
      <c r="AG25" s="336">
        <v>0</v>
      </c>
      <c r="AH25" s="336">
        <v>0</v>
      </c>
      <c r="AI25" s="336">
        <v>0</v>
      </c>
      <c r="AJ25" s="336">
        <v>0</v>
      </c>
      <c r="AK25" s="336">
        <v>0</v>
      </c>
      <c r="AL25" s="336">
        <v>0</v>
      </c>
      <c r="AM25" s="336">
        <v>0</v>
      </c>
      <c r="AN25" s="336">
        <v>0</v>
      </c>
      <c r="AO25" s="336">
        <v>0</v>
      </c>
      <c r="AP25" s="336">
        <v>0</v>
      </c>
      <c r="AQ25" s="336">
        <v>0</v>
      </c>
      <c r="AR25" s="336">
        <v>0</v>
      </c>
      <c r="AS25" s="336">
        <v>0</v>
      </c>
      <c r="AT25" s="336">
        <v>0</v>
      </c>
      <c r="AU25" s="336">
        <v>0</v>
      </c>
      <c r="AV25" s="336">
        <v>0</v>
      </c>
      <c r="AW25" s="336">
        <v>0</v>
      </c>
      <c r="AX25" s="336">
        <v>0</v>
      </c>
      <c r="AY25" s="336">
        <v>0</v>
      </c>
      <c r="AZ25" s="336">
        <v>0</v>
      </c>
      <c r="BA25" s="336">
        <v>0</v>
      </c>
      <c r="BB25" s="336">
        <v>0</v>
      </c>
      <c r="BC25" s="336">
        <v>0</v>
      </c>
      <c r="BD25" s="336">
        <v>0</v>
      </c>
      <c r="BE25" s="336">
        <v>0</v>
      </c>
      <c r="BF25" s="336">
        <v>0</v>
      </c>
      <c r="BG25" s="336">
        <v>0</v>
      </c>
      <c r="BH25" s="336">
        <v>0</v>
      </c>
      <c r="BI25" s="336">
        <v>0</v>
      </c>
      <c r="BJ25" s="336">
        <v>0</v>
      </c>
      <c r="BK25" s="336">
        <v>0</v>
      </c>
      <c r="BL25" s="336">
        <v>0</v>
      </c>
      <c r="BM25" s="336">
        <v>0</v>
      </c>
      <c r="BN25" s="336">
        <v>0</v>
      </c>
      <c r="BO25" s="336">
        <v>0</v>
      </c>
      <c r="BP25" s="336">
        <v>0</v>
      </c>
      <c r="BQ25" s="336">
        <v>0</v>
      </c>
      <c r="BR25" s="336">
        <v>0</v>
      </c>
      <c r="BS25" s="336">
        <v>0</v>
      </c>
      <c r="BT25" s="336">
        <v>0</v>
      </c>
      <c r="BU25" s="336">
        <v>0</v>
      </c>
      <c r="BV25" s="336">
        <v>0</v>
      </c>
      <c r="BW25" s="336">
        <v>0</v>
      </c>
      <c r="BX25" s="336">
        <v>0</v>
      </c>
      <c r="BY25" s="336">
        <v>0</v>
      </c>
      <c r="BZ25" s="336">
        <v>0</v>
      </c>
      <c r="CA25" s="336">
        <v>0</v>
      </c>
      <c r="CB25" s="336">
        <v>0</v>
      </c>
      <c r="CC25" s="336">
        <v>0</v>
      </c>
      <c r="CD25" s="336">
        <v>0</v>
      </c>
      <c r="CE25" s="336">
        <v>0</v>
      </c>
      <c r="CF25" s="336">
        <v>0</v>
      </c>
      <c r="CG25" s="336">
        <v>0</v>
      </c>
      <c r="CH25" s="336">
        <v>0</v>
      </c>
      <c r="CI25" s="336">
        <v>0</v>
      </c>
      <c r="CJ25" s="336">
        <v>0</v>
      </c>
      <c r="CK25" s="336">
        <v>0</v>
      </c>
      <c r="CL25" s="336">
        <v>0</v>
      </c>
      <c r="CM25" s="336">
        <v>0</v>
      </c>
      <c r="CN25" s="336">
        <v>0</v>
      </c>
      <c r="CO25" s="336">
        <v>0</v>
      </c>
      <c r="CP25" s="336">
        <v>0</v>
      </c>
      <c r="CQ25" s="336">
        <v>0</v>
      </c>
      <c r="CR25" s="336">
        <v>0</v>
      </c>
      <c r="CS25" s="336">
        <v>0</v>
      </c>
      <c r="CT25" s="336">
        <v>0</v>
      </c>
      <c r="CU25" s="336">
        <v>0</v>
      </c>
      <c r="CV25" s="336">
        <v>0</v>
      </c>
      <c r="CW25" s="336">
        <v>0</v>
      </c>
      <c r="CX25" s="336">
        <v>0</v>
      </c>
      <c r="CY25" s="336">
        <v>0</v>
      </c>
      <c r="CZ25" s="336">
        <v>0</v>
      </c>
      <c r="DA25" s="336">
        <v>0</v>
      </c>
      <c r="DB25" s="336">
        <v>0</v>
      </c>
      <c r="DC25" s="336">
        <v>0</v>
      </c>
      <c r="DD25" s="336">
        <v>0</v>
      </c>
      <c r="DE25" s="336">
        <v>0</v>
      </c>
      <c r="DF25" s="336">
        <v>0</v>
      </c>
      <c r="DG25" s="336">
        <v>0</v>
      </c>
      <c r="DH25" s="336">
        <v>0</v>
      </c>
      <c r="DI25" s="336">
        <v>0</v>
      </c>
      <c r="DJ25" s="336">
        <v>0</v>
      </c>
      <c r="DK25" s="336">
        <v>0</v>
      </c>
      <c r="DL25" s="336">
        <v>0</v>
      </c>
      <c r="DM25" s="336">
        <v>0</v>
      </c>
      <c r="DN25" s="336">
        <v>0</v>
      </c>
      <c r="DO25" s="336">
        <v>0</v>
      </c>
      <c r="DP25" s="336">
        <v>0</v>
      </c>
      <c r="DQ25" s="336">
        <v>0</v>
      </c>
      <c r="DR25" s="336">
        <v>0</v>
      </c>
      <c r="DS25" s="336">
        <v>0</v>
      </c>
      <c r="DT25" s="336">
        <v>0</v>
      </c>
      <c r="DU25" s="336">
        <v>0</v>
      </c>
      <c r="DV25" s="336">
        <v>0</v>
      </c>
      <c r="DW25" s="336">
        <v>0</v>
      </c>
      <c r="DX25" s="336">
        <v>0</v>
      </c>
      <c r="DY25" s="336">
        <v>0</v>
      </c>
      <c r="DZ25" s="336">
        <v>0</v>
      </c>
      <c r="EA25" s="336">
        <v>0</v>
      </c>
      <c r="EB25" s="336">
        <v>0</v>
      </c>
      <c r="EC25" s="336">
        <v>0</v>
      </c>
      <c r="ED25" s="336">
        <v>0</v>
      </c>
      <c r="EE25" s="336">
        <v>0</v>
      </c>
      <c r="EF25" s="336">
        <v>0</v>
      </c>
      <c r="EG25" s="336">
        <v>0</v>
      </c>
      <c r="EH25" s="336">
        <v>0</v>
      </c>
      <c r="EI25" s="336">
        <v>0</v>
      </c>
      <c r="EJ25" s="336">
        <v>0</v>
      </c>
      <c r="EK25" s="336">
        <v>0</v>
      </c>
      <c r="EL25" s="336">
        <v>0</v>
      </c>
      <c r="EM25" s="336">
        <v>0</v>
      </c>
      <c r="EN25" s="336">
        <v>0</v>
      </c>
      <c r="EO25" s="336">
        <v>0</v>
      </c>
      <c r="EP25" s="336">
        <v>0</v>
      </c>
      <c r="EQ25" s="336">
        <v>0</v>
      </c>
      <c r="ER25" s="336">
        <v>0</v>
      </c>
      <c r="ES25" s="336">
        <v>0</v>
      </c>
      <c r="ET25" s="336">
        <v>0</v>
      </c>
      <c r="EU25" s="336">
        <v>0</v>
      </c>
      <c r="EV25" s="336">
        <v>0</v>
      </c>
      <c r="EW25" s="336">
        <v>0</v>
      </c>
      <c r="EX25" s="336">
        <v>0</v>
      </c>
      <c r="EY25" s="336">
        <v>0</v>
      </c>
      <c r="EZ25" s="336">
        <v>0</v>
      </c>
      <c r="FA25" s="336">
        <v>0</v>
      </c>
      <c r="FB25" s="336">
        <v>0</v>
      </c>
      <c r="FC25" s="336">
        <v>0</v>
      </c>
      <c r="FD25" s="336">
        <v>0</v>
      </c>
      <c r="FE25" s="336">
        <v>0</v>
      </c>
      <c r="FF25" s="336">
        <v>0</v>
      </c>
      <c r="FG25" s="336">
        <v>0</v>
      </c>
      <c r="FH25" s="336">
        <v>0</v>
      </c>
      <c r="FI25" s="336">
        <v>0</v>
      </c>
      <c r="FJ25" s="336">
        <v>0</v>
      </c>
      <c r="FK25" s="336">
        <v>0</v>
      </c>
      <c r="FL25" s="336">
        <v>0</v>
      </c>
      <c r="FM25" s="336">
        <v>0</v>
      </c>
      <c r="FN25" s="336">
        <v>0</v>
      </c>
      <c r="FO25" s="336">
        <v>0</v>
      </c>
      <c r="FP25" s="336">
        <v>0</v>
      </c>
      <c r="FQ25" s="336">
        <v>0</v>
      </c>
      <c r="FR25" s="336">
        <v>0</v>
      </c>
      <c r="FS25" s="336">
        <v>0</v>
      </c>
      <c r="FT25" s="336">
        <v>0</v>
      </c>
      <c r="FU25" s="336">
        <v>0</v>
      </c>
      <c r="FV25" s="336">
        <v>0</v>
      </c>
      <c r="FW25" s="336">
        <v>0</v>
      </c>
      <c r="FX25" s="336">
        <v>0</v>
      </c>
      <c r="FY25" s="336">
        <v>0</v>
      </c>
      <c r="FZ25" s="336">
        <v>0</v>
      </c>
      <c r="GA25" s="336">
        <v>0</v>
      </c>
      <c r="GB25" s="336">
        <v>0</v>
      </c>
      <c r="GC25" s="336">
        <v>0</v>
      </c>
      <c r="GD25" s="336">
        <v>0</v>
      </c>
      <c r="GE25" s="336">
        <v>0</v>
      </c>
      <c r="GF25" s="336">
        <v>0</v>
      </c>
      <c r="GG25" s="336">
        <v>0</v>
      </c>
      <c r="GH25" s="336">
        <v>0</v>
      </c>
      <c r="GI25" s="336">
        <v>0</v>
      </c>
      <c r="GJ25" s="336">
        <v>0</v>
      </c>
      <c r="GK25" s="336">
        <v>0</v>
      </c>
      <c r="GL25" s="336">
        <v>0</v>
      </c>
      <c r="GM25" s="336">
        <v>0</v>
      </c>
      <c r="GN25" s="336">
        <v>0</v>
      </c>
      <c r="GO25" s="336">
        <v>0</v>
      </c>
      <c r="GP25" s="336">
        <v>0</v>
      </c>
      <c r="GQ25" s="336">
        <v>0</v>
      </c>
      <c r="GR25" s="336">
        <v>0</v>
      </c>
      <c r="GS25" s="336">
        <v>0</v>
      </c>
      <c r="GT25" s="336">
        <v>0</v>
      </c>
      <c r="GU25" s="336">
        <v>0</v>
      </c>
      <c r="GV25" s="336">
        <v>0</v>
      </c>
      <c r="GW25" s="336">
        <v>0</v>
      </c>
      <c r="GX25" s="336">
        <v>0</v>
      </c>
      <c r="GY25" s="336">
        <v>0</v>
      </c>
      <c r="GZ25" s="336">
        <v>0</v>
      </c>
      <c r="HA25" s="336">
        <v>0</v>
      </c>
      <c r="HB25" s="336">
        <v>0</v>
      </c>
      <c r="HC25" s="336">
        <v>0</v>
      </c>
      <c r="HD25" s="336">
        <v>0</v>
      </c>
      <c r="HE25" s="336">
        <v>0</v>
      </c>
      <c r="HF25" s="336">
        <v>0</v>
      </c>
      <c r="HG25" s="336">
        <v>0</v>
      </c>
      <c r="HH25" s="336">
        <v>0</v>
      </c>
      <c r="HI25" s="336">
        <v>0</v>
      </c>
      <c r="HJ25" s="336">
        <v>0</v>
      </c>
      <c r="HK25" s="336">
        <v>0</v>
      </c>
      <c r="HL25" s="336">
        <v>0</v>
      </c>
      <c r="HM25" s="336">
        <v>0</v>
      </c>
      <c r="HN25" s="336">
        <v>0</v>
      </c>
      <c r="HO25" s="336">
        <v>0</v>
      </c>
      <c r="HP25" s="336">
        <v>3353711</v>
      </c>
      <c r="HQ25" s="336">
        <v>0</v>
      </c>
      <c r="HR25" s="336">
        <v>16090253</v>
      </c>
      <c r="HS25" s="336">
        <v>0</v>
      </c>
      <c r="HT25" s="336">
        <v>0</v>
      </c>
      <c r="HU25" s="336">
        <v>0</v>
      </c>
      <c r="HV25" s="336">
        <v>0</v>
      </c>
      <c r="HW25" s="336">
        <v>0</v>
      </c>
      <c r="HX25" s="336">
        <v>0</v>
      </c>
      <c r="HY25" s="336">
        <v>0</v>
      </c>
      <c r="HZ25" s="336">
        <v>0</v>
      </c>
      <c r="IA25" s="336">
        <v>0</v>
      </c>
      <c r="IB25" s="336">
        <v>0</v>
      </c>
      <c r="IC25" s="336">
        <v>0</v>
      </c>
      <c r="ID25" s="336">
        <v>0</v>
      </c>
      <c r="IE25" s="336">
        <v>0</v>
      </c>
      <c r="IF25" s="336">
        <v>0</v>
      </c>
      <c r="IG25" s="336">
        <v>0</v>
      </c>
      <c r="IH25" s="336">
        <v>0</v>
      </c>
      <c r="II25" s="336">
        <v>0</v>
      </c>
      <c r="IJ25" s="336">
        <v>0</v>
      </c>
      <c r="IK25" s="336">
        <v>0</v>
      </c>
      <c r="IL25" s="336">
        <v>0</v>
      </c>
      <c r="IM25" s="336">
        <v>0</v>
      </c>
      <c r="IN25" s="336">
        <v>0</v>
      </c>
      <c r="IO25" s="336">
        <v>0</v>
      </c>
      <c r="IP25" s="336">
        <v>0</v>
      </c>
      <c r="IQ25" s="336">
        <v>1340937</v>
      </c>
      <c r="IR25" s="336">
        <v>0</v>
      </c>
      <c r="IS25" s="336">
        <v>0</v>
      </c>
      <c r="IT25" s="336">
        <v>0</v>
      </c>
      <c r="IU25" s="336">
        <v>0</v>
      </c>
      <c r="IV25" s="336">
        <v>0</v>
      </c>
      <c r="IW25" s="336">
        <v>0</v>
      </c>
      <c r="IX25" s="336">
        <v>0</v>
      </c>
      <c r="IY25" s="336">
        <v>0</v>
      </c>
      <c r="IZ25" s="336">
        <v>0</v>
      </c>
      <c r="JA25" s="336">
        <v>0</v>
      </c>
      <c r="JB25" s="336">
        <v>0</v>
      </c>
      <c r="JC25" s="336">
        <v>0</v>
      </c>
      <c r="JD25" s="336">
        <v>0</v>
      </c>
      <c r="JE25" s="336">
        <v>0</v>
      </c>
      <c r="JF25" s="336">
        <v>0</v>
      </c>
      <c r="JG25" s="336">
        <v>0</v>
      </c>
      <c r="JH25" s="336">
        <v>0</v>
      </c>
      <c r="JI25" s="336">
        <v>4803188</v>
      </c>
      <c r="JJ25" s="336">
        <v>0</v>
      </c>
      <c r="JK25" s="336">
        <v>-308141</v>
      </c>
      <c r="JL25" s="336">
        <v>0</v>
      </c>
      <c r="JM25" s="336">
        <v>0</v>
      </c>
      <c r="JN25" s="336">
        <v>0</v>
      </c>
      <c r="JO25" s="336">
        <v>0</v>
      </c>
      <c r="JP25" s="336">
        <v>0</v>
      </c>
      <c r="JQ25" s="336">
        <v>0</v>
      </c>
      <c r="JR25" s="336">
        <v>4714884</v>
      </c>
      <c r="JS25" s="336">
        <v>0</v>
      </c>
      <c r="JT25" s="336">
        <v>78316</v>
      </c>
      <c r="JU25" s="336">
        <v>0</v>
      </c>
      <c r="JV25" s="336">
        <v>0</v>
      </c>
      <c r="JW25" s="336">
        <v>0</v>
      </c>
      <c r="JX25" s="336">
        <v>0</v>
      </c>
      <c r="JY25" s="336">
        <v>0</v>
      </c>
      <c r="JZ25" s="336">
        <v>0</v>
      </c>
      <c r="KA25" s="336">
        <v>0</v>
      </c>
      <c r="KB25" s="336">
        <v>0</v>
      </c>
      <c r="KC25" s="336">
        <v>0</v>
      </c>
      <c r="KD25" s="336">
        <v>0</v>
      </c>
      <c r="KE25" s="336">
        <v>0</v>
      </c>
      <c r="KF25" s="336">
        <v>0</v>
      </c>
      <c r="KG25" s="336">
        <v>0</v>
      </c>
      <c r="KH25" s="336">
        <v>0</v>
      </c>
      <c r="KI25" s="336">
        <v>0</v>
      </c>
      <c r="KJ25" s="336">
        <v>1952798</v>
      </c>
      <c r="KK25" s="336">
        <v>0</v>
      </c>
      <c r="KL25" s="336">
        <v>0</v>
      </c>
      <c r="KM25" s="336">
        <v>0</v>
      </c>
      <c r="KN25" s="336">
        <v>0</v>
      </c>
      <c r="KO25" s="336">
        <v>5514282</v>
      </c>
      <c r="KP25" s="336">
        <v>0</v>
      </c>
      <c r="KQ25" s="336">
        <v>-15263</v>
      </c>
      <c r="KR25" s="336">
        <v>0</v>
      </c>
      <c r="KS25" s="336">
        <v>0</v>
      </c>
      <c r="KT25" s="336">
        <v>0</v>
      </c>
      <c r="KU25" s="336">
        <v>46205</v>
      </c>
      <c r="KV25" s="336">
        <v>0</v>
      </c>
      <c r="KW25" s="336">
        <v>0</v>
      </c>
      <c r="KX25" s="336">
        <v>0</v>
      </c>
      <c r="KY25" s="336">
        <v>0</v>
      </c>
      <c r="KZ25" s="336">
        <v>0</v>
      </c>
      <c r="LA25" s="336">
        <v>0</v>
      </c>
      <c r="LB25" s="336">
        <v>7092848</v>
      </c>
      <c r="LC25" s="336">
        <v>0</v>
      </c>
      <c r="LD25" s="336">
        <v>11921808</v>
      </c>
      <c r="LE25" s="336">
        <v>0</v>
      </c>
      <c r="LF25" s="336">
        <v>0</v>
      </c>
      <c r="LG25" s="336">
        <v>0</v>
      </c>
      <c r="LH25" s="336">
        <v>0</v>
      </c>
      <c r="LI25" s="336">
        <v>0</v>
      </c>
      <c r="LJ25" s="336">
        <v>0</v>
      </c>
      <c r="LK25" s="336">
        <v>5139</v>
      </c>
      <c r="LL25" s="336">
        <v>0</v>
      </c>
      <c r="LM25" s="336">
        <v>516187</v>
      </c>
      <c r="LN25" s="336">
        <v>0</v>
      </c>
      <c r="LO25" s="336">
        <v>0</v>
      </c>
      <c r="LP25" s="336">
        <v>0</v>
      </c>
      <c r="LQ25" s="336">
        <v>0</v>
      </c>
      <c r="LR25" s="336">
        <v>0</v>
      </c>
      <c r="LS25" s="336">
        <v>0</v>
      </c>
      <c r="LT25" s="336">
        <v>0</v>
      </c>
      <c r="LU25" s="336">
        <v>0</v>
      </c>
      <c r="LV25" s="336">
        <v>0</v>
      </c>
      <c r="LW25" s="336">
        <v>0</v>
      </c>
      <c r="LX25" s="336">
        <v>0</v>
      </c>
      <c r="LY25" s="336">
        <v>0</v>
      </c>
      <c r="LZ25" s="336">
        <v>0</v>
      </c>
      <c r="MA25" s="336">
        <v>0</v>
      </c>
      <c r="MB25" s="336">
        <v>0</v>
      </c>
      <c r="MC25" s="336">
        <v>1780819</v>
      </c>
      <c r="MD25" s="336">
        <v>0</v>
      </c>
      <c r="ME25" s="336">
        <v>0</v>
      </c>
      <c r="MF25" s="336">
        <v>0</v>
      </c>
      <c r="MG25" s="336">
        <v>0</v>
      </c>
      <c r="MH25" s="336">
        <v>0</v>
      </c>
      <c r="MI25" s="336">
        <v>0</v>
      </c>
      <c r="MJ25" s="336">
        <v>0</v>
      </c>
      <c r="MK25" s="336">
        <v>0</v>
      </c>
      <c r="ML25" s="336">
        <v>0</v>
      </c>
      <c r="MM25" s="336">
        <v>0</v>
      </c>
      <c r="MN25" s="336">
        <v>0</v>
      </c>
      <c r="MO25" s="336">
        <v>0</v>
      </c>
      <c r="MP25" s="336">
        <v>0</v>
      </c>
      <c r="MQ25" s="336">
        <v>0</v>
      </c>
      <c r="MR25" s="336">
        <v>0</v>
      </c>
      <c r="MS25" s="336">
        <v>0</v>
      </c>
      <c r="MT25" s="336">
        <v>0</v>
      </c>
      <c r="MU25" s="336">
        <v>20963784</v>
      </c>
      <c r="MV25" s="336">
        <v>0</v>
      </c>
      <c r="MW25" s="336">
        <v>3560</v>
      </c>
      <c r="MX25" s="336">
        <v>0</v>
      </c>
      <c r="MY25" s="336">
        <v>0</v>
      </c>
      <c r="MZ25" s="336">
        <v>0</v>
      </c>
      <c r="NA25" s="336">
        <v>0</v>
      </c>
      <c r="NB25" s="336">
        <v>0</v>
      </c>
      <c r="NC25" s="336">
        <v>0</v>
      </c>
      <c r="ND25" s="336">
        <v>0</v>
      </c>
      <c r="NE25" s="336">
        <v>0</v>
      </c>
      <c r="NF25" s="336">
        <v>0</v>
      </c>
      <c r="NG25" s="336">
        <v>0</v>
      </c>
      <c r="NH25" s="336">
        <v>0</v>
      </c>
      <c r="NI25" s="336">
        <v>781</v>
      </c>
      <c r="NJ25" s="336">
        <v>0</v>
      </c>
      <c r="NK25" s="336">
        <v>0</v>
      </c>
      <c r="NL25" s="336">
        <v>0</v>
      </c>
      <c r="NM25" s="336">
        <v>0</v>
      </c>
      <c r="NN25" s="336">
        <v>0</v>
      </c>
      <c r="NO25" s="336">
        <v>200</v>
      </c>
      <c r="NP25" s="336">
        <v>0</v>
      </c>
      <c r="NQ25" s="336">
        <v>0</v>
      </c>
      <c r="NR25" s="336">
        <v>0</v>
      </c>
      <c r="NS25" s="336">
        <v>0</v>
      </c>
      <c r="NT25" s="336">
        <v>0</v>
      </c>
      <c r="NU25" s="336">
        <v>0</v>
      </c>
      <c r="NV25" s="336">
        <v>0</v>
      </c>
      <c r="NW25" s="336">
        <v>0</v>
      </c>
      <c r="NX25" s="336">
        <v>0</v>
      </c>
      <c r="NY25" s="336">
        <v>0</v>
      </c>
      <c r="NZ25" s="336">
        <v>0</v>
      </c>
      <c r="OA25" s="336">
        <v>0</v>
      </c>
      <c r="OB25" s="336">
        <v>0</v>
      </c>
      <c r="OC25" s="336">
        <v>0</v>
      </c>
      <c r="OD25" s="336">
        <v>0</v>
      </c>
      <c r="OE25" s="336">
        <v>-57356</v>
      </c>
      <c r="OF25" s="336">
        <v>0</v>
      </c>
      <c r="OG25" s="336">
        <v>4911840</v>
      </c>
      <c r="OH25" s="336">
        <v>0</v>
      </c>
      <c r="OI25" s="336">
        <v>0</v>
      </c>
      <c r="OJ25" s="336">
        <v>0</v>
      </c>
      <c r="OK25" s="336">
        <v>0</v>
      </c>
      <c r="OL25" s="336">
        <v>0</v>
      </c>
      <c r="OM25" s="336">
        <v>0</v>
      </c>
      <c r="ON25" s="336">
        <v>131593</v>
      </c>
      <c r="OO25" s="336">
        <v>0</v>
      </c>
      <c r="OP25" s="336">
        <v>7200</v>
      </c>
      <c r="OQ25" s="336">
        <v>0</v>
      </c>
      <c r="OR25" s="336">
        <v>0</v>
      </c>
      <c r="OS25" s="336">
        <v>0</v>
      </c>
      <c r="OT25" s="336">
        <v>0</v>
      </c>
      <c r="OU25" s="336">
        <v>0</v>
      </c>
      <c r="OV25" s="336">
        <v>0</v>
      </c>
      <c r="OW25" s="336">
        <v>0</v>
      </c>
      <c r="OX25" s="336">
        <v>0</v>
      </c>
      <c r="OY25" s="336">
        <v>0</v>
      </c>
      <c r="OZ25" s="336">
        <v>0</v>
      </c>
      <c r="PA25" s="336">
        <v>0</v>
      </c>
      <c r="PB25" s="336">
        <v>6755194</v>
      </c>
      <c r="PC25" s="336">
        <v>0</v>
      </c>
      <c r="PD25" s="336">
        <v>0</v>
      </c>
      <c r="PE25" s="336">
        <v>0</v>
      </c>
      <c r="PF25" s="336">
        <v>10559194</v>
      </c>
      <c r="PG25" s="336">
        <v>0</v>
      </c>
      <c r="PH25" s="336">
        <v>2562</v>
      </c>
      <c r="PI25" s="336">
        <v>0</v>
      </c>
      <c r="PJ25" s="336">
        <v>0</v>
      </c>
      <c r="PK25" s="336">
        <v>5667502</v>
      </c>
      <c r="PL25" s="336">
        <v>0</v>
      </c>
      <c r="PM25" s="336">
        <v>0</v>
      </c>
      <c r="PN25" s="336">
        <v>0</v>
      </c>
      <c r="PO25" s="336">
        <v>0</v>
      </c>
      <c r="PP25" s="336">
        <v>0</v>
      </c>
      <c r="PQ25" s="336">
        <v>0</v>
      </c>
      <c r="PR25" s="336">
        <v>0</v>
      </c>
      <c r="PS25" s="336">
        <v>0</v>
      </c>
      <c r="PT25" s="336">
        <v>0</v>
      </c>
      <c r="PU25" s="336">
        <v>0</v>
      </c>
      <c r="PV25" s="336">
        <v>0</v>
      </c>
      <c r="PW25" s="336">
        <v>0</v>
      </c>
      <c r="PX25" s="336">
        <v>0</v>
      </c>
      <c r="PY25" s="336">
        <v>0</v>
      </c>
      <c r="PZ25" s="336">
        <v>0</v>
      </c>
      <c r="QA25" s="336">
        <v>0</v>
      </c>
      <c r="QB25" s="336">
        <v>0</v>
      </c>
      <c r="QC25" s="336">
        <v>0</v>
      </c>
      <c r="QD25" s="336">
        <v>0</v>
      </c>
      <c r="QE25" s="336">
        <v>0</v>
      </c>
      <c r="QF25" s="336">
        <v>0</v>
      </c>
      <c r="QG25" s="336">
        <v>862324</v>
      </c>
      <c r="QH25" s="336">
        <v>0</v>
      </c>
      <c r="QI25" s="336">
        <v>0</v>
      </c>
      <c r="QJ25" s="336">
        <v>0</v>
      </c>
      <c r="QK25" s="336">
        <v>0</v>
      </c>
      <c r="QL25" s="336">
        <v>0</v>
      </c>
      <c r="QM25" s="336">
        <v>0</v>
      </c>
      <c r="QN25" s="336">
        <v>0</v>
      </c>
      <c r="QO25" s="336">
        <v>0</v>
      </c>
      <c r="QP25" s="336">
        <v>0</v>
      </c>
      <c r="QQ25" s="336">
        <v>0</v>
      </c>
      <c r="QR25" s="336">
        <v>0</v>
      </c>
      <c r="QS25" s="336">
        <v>0</v>
      </c>
      <c r="QT25" s="336">
        <v>0</v>
      </c>
      <c r="QU25" s="336">
        <v>0</v>
      </c>
      <c r="QV25" s="336">
        <v>0</v>
      </c>
      <c r="QW25" s="336">
        <v>0</v>
      </c>
      <c r="QX25" s="336">
        <v>0</v>
      </c>
      <c r="QY25" s="336">
        <v>0</v>
      </c>
      <c r="QZ25" s="336">
        <v>0</v>
      </c>
      <c r="RA25" s="336">
        <v>0</v>
      </c>
      <c r="RB25" s="336">
        <v>0</v>
      </c>
      <c r="RC25" s="336">
        <v>0</v>
      </c>
      <c r="RD25" s="336">
        <v>0</v>
      </c>
      <c r="RE25" s="336">
        <v>0</v>
      </c>
      <c r="RF25" s="336">
        <v>0</v>
      </c>
      <c r="RG25" s="336">
        <v>0</v>
      </c>
      <c r="RH25" s="336">
        <v>0</v>
      </c>
      <c r="RI25" s="336">
        <v>0</v>
      </c>
      <c r="RJ25" s="336">
        <v>0</v>
      </c>
      <c r="RK25" s="336">
        <v>0</v>
      </c>
      <c r="RL25" s="336">
        <v>0</v>
      </c>
      <c r="RM25" s="336">
        <v>0</v>
      </c>
      <c r="RN25" s="336">
        <v>0</v>
      </c>
      <c r="RO25" s="336">
        <v>-7287137</v>
      </c>
      <c r="RP25" s="336">
        <v>0</v>
      </c>
      <c r="RQ25" s="336">
        <v>0</v>
      </c>
      <c r="RR25" s="336">
        <v>0</v>
      </c>
      <c r="RS25" s="336">
        <v>0</v>
      </c>
      <c r="RT25" s="336">
        <v>0</v>
      </c>
      <c r="RU25" s="336">
        <v>0</v>
      </c>
      <c r="RV25" s="336">
        <v>0</v>
      </c>
      <c r="RW25" s="336">
        <v>0</v>
      </c>
      <c r="RX25" s="336">
        <v>3497188</v>
      </c>
      <c r="RY25" s="336">
        <v>0</v>
      </c>
      <c r="RZ25" s="336">
        <v>0</v>
      </c>
      <c r="SA25" s="336">
        <v>0</v>
      </c>
      <c r="SB25" s="336">
        <v>0</v>
      </c>
      <c r="SC25" s="336">
        <v>0</v>
      </c>
      <c r="SD25" s="336">
        <v>0</v>
      </c>
      <c r="SE25" s="336">
        <v>0</v>
      </c>
      <c r="SF25" s="336">
        <v>0</v>
      </c>
      <c r="SG25" s="336">
        <v>0</v>
      </c>
      <c r="SH25" s="336">
        <v>0</v>
      </c>
      <c r="SI25" s="336">
        <v>0</v>
      </c>
      <c r="SJ25" s="336">
        <v>0</v>
      </c>
      <c r="SK25" s="336">
        <v>0</v>
      </c>
      <c r="SL25" s="336">
        <v>0</v>
      </c>
      <c r="SM25" s="336">
        <v>0</v>
      </c>
      <c r="SN25" s="336">
        <v>0</v>
      </c>
      <c r="SO25" s="336">
        <v>0</v>
      </c>
      <c r="SP25" s="336">
        <v>0</v>
      </c>
      <c r="SQ25" s="336">
        <v>0</v>
      </c>
      <c r="SR25" s="336">
        <v>-57356</v>
      </c>
      <c r="SS25" s="336">
        <v>0</v>
      </c>
      <c r="ST25" s="336">
        <v>4911840</v>
      </c>
      <c r="SU25" s="336">
        <v>0</v>
      </c>
      <c r="SV25" s="336">
        <v>0</v>
      </c>
      <c r="SW25" s="336">
        <v>-6755194</v>
      </c>
      <c r="SX25" s="336">
        <v>0</v>
      </c>
      <c r="SY25" s="336">
        <v>0</v>
      </c>
      <c r="SZ25" s="336" t="s">
        <v>1420</v>
      </c>
      <c r="TA25" s="336" t="s">
        <v>1420</v>
      </c>
      <c r="TB25" s="336" t="s">
        <v>1420</v>
      </c>
      <c r="TC25" s="336">
        <v>0</v>
      </c>
      <c r="TD25" s="336">
        <v>4924977</v>
      </c>
      <c r="TE25" s="336">
        <v>0</v>
      </c>
      <c r="TF25" s="336">
        <v>0</v>
      </c>
      <c r="TG25" s="336">
        <v>28395</v>
      </c>
      <c r="TH25" s="336">
        <v>0</v>
      </c>
      <c r="TI25" s="336">
        <v>-98888</v>
      </c>
      <c r="TJ25" s="336">
        <v>0</v>
      </c>
      <c r="TK25" s="336">
        <v>0</v>
      </c>
      <c r="TL25" s="336">
        <v>0</v>
      </c>
      <c r="TM25" s="336">
        <v>0</v>
      </c>
      <c r="TN25" s="336">
        <v>46205</v>
      </c>
      <c r="TO25" s="336">
        <v>481909</v>
      </c>
      <c r="TP25" s="336">
        <v>360053</v>
      </c>
      <c r="TQ25" s="336">
        <v>0</v>
      </c>
      <c r="TR25" s="336">
        <v>0</v>
      </c>
      <c r="TS25" s="336">
        <v>0</v>
      </c>
      <c r="TT25" s="336">
        <v>0</v>
      </c>
      <c r="TU25" s="336">
        <v>0</v>
      </c>
      <c r="TV25" s="336">
        <v>0</v>
      </c>
      <c r="TW25" s="336">
        <v>0</v>
      </c>
      <c r="TX25" s="336">
        <v>0</v>
      </c>
      <c r="TY25" s="336">
        <v>0</v>
      </c>
      <c r="TZ25" s="336">
        <v>0</v>
      </c>
      <c r="UA25" s="336">
        <v>0</v>
      </c>
      <c r="UB25" s="336">
        <v>0</v>
      </c>
      <c r="UC25" s="336">
        <v>0</v>
      </c>
      <c r="UD25" s="336">
        <v>0</v>
      </c>
      <c r="UE25" s="336">
        <v>0</v>
      </c>
      <c r="UF25" s="336">
        <v>0</v>
      </c>
      <c r="UG25" s="336">
        <v>0</v>
      </c>
      <c r="UH25" s="336">
        <v>46205</v>
      </c>
      <c r="UI25" s="338">
        <v>19014656</v>
      </c>
      <c r="UJ25" s="338">
        <v>521326</v>
      </c>
      <c r="UK25" s="338">
        <v>0</v>
      </c>
      <c r="UL25" s="338">
        <v>1780819</v>
      </c>
      <c r="UM25" s="338">
        <v>0</v>
      </c>
      <c r="UN25" s="338">
        <v>20967344</v>
      </c>
      <c r="UO25" s="338">
        <v>781</v>
      </c>
      <c r="UP25" s="338">
        <v>200</v>
      </c>
      <c r="UQ25" s="338">
        <v>0</v>
      </c>
      <c r="UR25"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4854484</v>
      </c>
      <c r="US25" s="338">
        <f>SUM(Input[[#This Row],[Oth Exp E&amp;G]],Input[[#This Row],[Oth Exp Desg]],Input[[#This Row],[Oth Exp Aux]],Input[[#This Row],[Oth Exp R Exp]],Input[[#This Row],[Oth Exp Loan]],Input[[#This Row],[Oth Exp Annuity]],Input[[#This Row],[Oth Exp Unexp]],Input[[#This Row],[Oth Exp R of Ind]],Input[[#This Row],[Oth Exp Inv in P]])</f>
        <v>138793</v>
      </c>
      <c r="UT25" s="336">
        <v>13184809</v>
      </c>
      <c r="UU25" s="336">
        <v>862324</v>
      </c>
      <c r="UV25" s="339" t="s">
        <v>1432</v>
      </c>
      <c r="UW25" s="340">
        <v>9798459761</v>
      </c>
      <c r="UX25" s="339" t="s">
        <v>1433</v>
      </c>
      <c r="UY25" s="339" t="s">
        <v>1593</v>
      </c>
      <c r="UZ25" s="340">
        <v>9794586090</v>
      </c>
      <c r="VA25" s="339" t="s">
        <v>1594</v>
      </c>
      <c r="VB25" s="341" t="str" cm="1">
        <f t="array" ref="VB25">IFERROR(_xlfn.IFS(Input[[#This Row],[Type]]="HRI",VLOOKUP(Input[[#This Row],[Institution Name]],FTSEHRI[],9,FALSE),Input[[#This Row],[Type]]="UNIV",VLOOKUP(Input[[#This Row],[Institution Name]],FTSEUNIV[],9,FALSE),OR(Input[[#This Row],[Type]]="TSTC",Input[[#This Row],[Type]]="LSC"),VLOOKUP(Input[[#This Row],[Institution Name]],FTSETSTC[],8,FALSE)),"N/A")</f>
        <v>N/A</v>
      </c>
      <c r="VC25" s="342" t="str" cm="1">
        <f t="array" ref="VC25">IFERROR(_xlfn.IFS(Input[[#This Row],[Type]]="HRI",VLOOKUP(Input[[#This Row],[Institution Name]],FTSEHRI[],11,FALSE),Input[[#This Row],[Type]]="UNIV",VLOOKUP(Input[[#This Row],[Institution Name]],FTSEUNIV[],11,FALSE),Input[[#This Row],[Type]]="TSTC",VLOOKUP(Input[[#This Row],[Institution Name]],FTSETSTC[],10,FALSE)),"N/A")</f>
        <v>N/A</v>
      </c>
      <c r="VD25"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0</v>
      </c>
      <c r="VE25"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25" s="338">
        <f>SUM(Input[[#This Row],[Fed G&amp;C E&amp;G]],Input[[#This Row],[Fed G&amp;C Desg]],Input[[#This Row],[Fed G&amp;C R Exp]],Input[[#This Row],[Fed G&amp;C Loan]],Input[[#This Row],[Fed G&amp;C Annuity]],Input[[#This Row],[Fed G&amp;C Unexp]],Input[[#This Row],[Fed G&amp;C R of Ind]],Input[[#This Row],[Fed G&amp;C Inv in P]])</f>
        <v>19443964</v>
      </c>
      <c r="VG25"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18081001</v>
      </c>
      <c r="VH25"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0</v>
      </c>
      <c r="VI25"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J25" s="338">
        <f>SUM(Input[[#This Row],[Oth Inc E&amp;G]],Input[[#This Row],[Oth Exp Desg]],Input[[#This Row],[Oth Exp R Exp]],Input[[#This Row],[Oth Exp Loan]],Input[[#This Row],[Oth Exp Annuity]],Input[[#This Row],[Oth Exp Unexp]],Input[[#This Row],[Oth Exp R of Ind]],Input[[#This Row],[Oth Exp Inv in P]])</f>
        <v>138793</v>
      </c>
      <c r="VK25" s="343">
        <f>SUM(Input[[#This Row],[Instr E&amp;G]],Input[[#This Row],[Instr Desg]],Input[[#This Row],[Instr R Exp]],Input[[#This Row],[Instr Loan]],Input[[#This Row],[Instr Annuity]],Input[[#This Row],[Instr Unexp]],Input[[#This Row],[Instr R of Ind]],Input[[#This Row],[Instr Inv in P]])</f>
        <v>46205</v>
      </c>
      <c r="VL25" s="343">
        <f>SUM(Input[[#This Row],[Res E&amp;G]],Input[[#This Row],[Res Desg]],Input[[#This Row],[Res R Exp]],Input[[#This Row],[Res Loan]],Input[[#This Row],[Res Annuity]],Input[[#This Row],[Res Unexp]],Input[[#This Row],[Res R of Ind]],Input[[#This Row],[Res Inv in P]])</f>
        <v>19014656</v>
      </c>
      <c r="VM25" s="343">
        <f>SUM(Input[[#This Row],[Acad Sup E&amp;G]],Input[[#This Row],[Acad Sup Desg]],Input[[#This Row],[Acad Sup R Exp]],Input[[#This Row],[Acad Sup Loan]],Input[[#This Row],[Acad Sup Annuity]],Input[[#This Row],[Acad Sup Unexp]],Input[[#This Row],[Acad Sup R of Ind]],Input[[#This Row],[Acad Sup Inv in P]])</f>
        <v>1780819</v>
      </c>
      <c r="VN25" s="343">
        <f>SUM(Input[[#This Row],[Stu Svc E&amp;G]],Input[[#This Row],[Stu Svc Desg]],Input[[#This Row],[Stu Svc R Exp]],Input[[#This Row],[Stu Svc Loan]],Input[[#This Row],[Stu Svc Annuity]],Input[[#This Row],[Stu Svc Unexp]],Input[[#This Row],[Stu Svc R of Ind]],Input[[#This Row],[Stu Svc Inv in P]])</f>
        <v>0</v>
      </c>
      <c r="VO25" s="343">
        <f>SUM(Input[[#This Row],[Inst. Spt E&amp;G]],Input[[#This Row],[Inst. Spt Desg]],Input[[#This Row],[Inst. Spt R Exp]],Input[[#This Row],[Inst. Spt Loan]],Input[[#This Row],[Inst. Spt Annuity]],Input[[#This Row],[Inst. Spt Unexp]],Input[[#This Row],[Inst. Spt R of Ind]],Input[[#This Row],[Inst. Spt Inv in P]])</f>
        <v>20967344</v>
      </c>
      <c r="VP25" s="343">
        <f>SUM(Input[[#This Row],[M&amp;O Plnt E&amp;G]],Input[[#This Row],[M&amp;O Plnt Desg]],Input[[#This Row],[M&amp;O Plnt R Exp]],Input[[#This Row],[M&amp;O Plnt Loan]],Input[[#This Row],[M&amp;O Plnt Annuity]],Input[[#This Row],[M&amp;O Plnt Unexp]],Input[[#This Row],[M&amp;O Plnt R of Ind]],Input[[#This Row],[M&amp;O Plnt Inv in P]])</f>
        <v>781</v>
      </c>
      <c r="VQ25" s="343">
        <f>SUM(Input[[#This Row],[Schl &amp; Fell E&amp;G]],Input[[#This Row],[Schl &amp; Fell Desg]],Input[[#This Row],[Schl &amp; Fell R Exp]],Input[[#This Row],[Schl &amp; Fell Loan]],Input[[#This Row],[Schl &amp; Fell Annuity]],Input[[#This Row],[Schl &amp; Fell Unexp]],Input[[#This Row],[Schl &amp; Fell R of Ind]],Input[[#This Row],[Schl &amp; Fell Inv in P]])</f>
        <v>200</v>
      </c>
      <c r="VR25" s="343">
        <f>SUM(Input[[#This Row],[Cap Out fund E&amp;G]],Input[[#This Row],[Cap Out fund Desg]],Input[[#This Row],[Cap Out fund R Exp]],Input[[#This Row],[Cap Out fund Loan]],Input[[#This Row],[Cap Out fund Annuity]],Input[[#This Row],[Cap Out fund Unexp]],Input[[#This Row],[Cap Out fund R of Ind]],Input[[#This Row],[Cap Out fund Inv in P]])</f>
        <v>4854484</v>
      </c>
      <c r="VS25" s="343">
        <f>SUM(Input[[#This Row],[Oth Exp E&amp;G]],Input[[#This Row],[Oth Exp Desg]],Input[[#This Row],[Oth Exp R Exp]],Input[[#This Row],[Oth Exp Loan]],Input[[#This Row],[Oth Exp Annuity]],Input[[#This Row],[Oth Exp Unexp]],Input[[#This Row],[Oth Exp R of Ind]],Input[[#This Row],[Oth Exp Inv in P]],Input[[#This Row],[Oth Exp Inv in P]])</f>
        <v>138793</v>
      </c>
    </row>
    <row r="26" spans="1:591" s="344" customFormat="1" ht="27" customHeight="1" x14ac:dyDescent="0.55000000000000004">
      <c r="A26" s="339" t="s">
        <v>705</v>
      </c>
      <c r="B26" s="334" t="s">
        <v>830</v>
      </c>
      <c r="C26" s="350" t="s">
        <v>1914</v>
      </c>
      <c r="D26" s="334">
        <v>625</v>
      </c>
      <c r="E26" s="334" t="s">
        <v>1622</v>
      </c>
      <c r="F26" s="335">
        <v>727</v>
      </c>
      <c r="G26" s="336">
        <v>12919717</v>
      </c>
      <c r="H26" s="336">
        <v>0</v>
      </c>
      <c r="I26" s="336">
        <v>0</v>
      </c>
      <c r="J26" s="336">
        <v>0</v>
      </c>
      <c r="K26" s="336">
        <v>0</v>
      </c>
      <c r="L26" s="336">
        <v>0</v>
      </c>
      <c r="M26" s="336">
        <v>0</v>
      </c>
      <c r="N26" s="336">
        <v>0</v>
      </c>
      <c r="O26" s="336">
        <v>0</v>
      </c>
      <c r="P26" s="336">
        <v>0</v>
      </c>
      <c r="Q26" s="336">
        <v>876065</v>
      </c>
      <c r="R26" s="336">
        <v>0</v>
      </c>
      <c r="S26" s="336">
        <v>0</v>
      </c>
      <c r="T26" s="336">
        <v>0</v>
      </c>
      <c r="U26" s="336">
        <v>0</v>
      </c>
      <c r="V26" s="336">
        <v>0</v>
      </c>
      <c r="W26" s="336">
        <v>0</v>
      </c>
      <c r="X26" s="336">
        <v>0</v>
      </c>
      <c r="Y26" s="336">
        <v>0</v>
      </c>
      <c r="Z26" s="336">
        <v>0</v>
      </c>
      <c r="AA26" s="336">
        <v>0</v>
      </c>
      <c r="AB26" s="336">
        <v>0</v>
      </c>
      <c r="AC26" s="336">
        <v>0</v>
      </c>
      <c r="AD26" s="336">
        <v>0</v>
      </c>
      <c r="AE26" s="336">
        <v>0</v>
      </c>
      <c r="AF26" s="336">
        <v>0</v>
      </c>
      <c r="AG26" s="336">
        <v>0</v>
      </c>
      <c r="AH26" s="336">
        <v>0</v>
      </c>
      <c r="AI26" s="336">
        <v>0</v>
      </c>
      <c r="AJ26" s="336">
        <v>0</v>
      </c>
      <c r="AK26" s="336">
        <v>0</v>
      </c>
      <c r="AL26" s="336">
        <v>0</v>
      </c>
      <c r="AM26" s="336">
        <v>0</v>
      </c>
      <c r="AN26" s="336">
        <v>0</v>
      </c>
      <c r="AO26" s="336">
        <v>0</v>
      </c>
      <c r="AP26" s="336">
        <v>0</v>
      </c>
      <c r="AQ26" s="336">
        <v>0</v>
      </c>
      <c r="AR26" s="336">
        <v>0</v>
      </c>
      <c r="AS26" s="336">
        <v>0</v>
      </c>
      <c r="AT26" s="336">
        <v>0</v>
      </c>
      <c r="AU26" s="336">
        <v>0</v>
      </c>
      <c r="AV26" s="336">
        <v>0</v>
      </c>
      <c r="AW26" s="336">
        <v>0</v>
      </c>
      <c r="AX26" s="336">
        <v>0</v>
      </c>
      <c r="AY26" s="336">
        <v>0</v>
      </c>
      <c r="AZ26" s="336">
        <v>0</v>
      </c>
      <c r="BA26" s="336">
        <v>0</v>
      </c>
      <c r="BB26" s="336">
        <v>0</v>
      </c>
      <c r="BC26" s="336">
        <v>0</v>
      </c>
      <c r="BD26" s="336">
        <v>0</v>
      </c>
      <c r="BE26" s="336">
        <v>0</v>
      </c>
      <c r="BF26" s="336">
        <v>0</v>
      </c>
      <c r="BG26" s="336">
        <v>0</v>
      </c>
      <c r="BH26" s="336">
        <v>0</v>
      </c>
      <c r="BI26" s="336">
        <v>0</v>
      </c>
      <c r="BJ26" s="336">
        <v>0</v>
      </c>
      <c r="BK26" s="336">
        <v>0</v>
      </c>
      <c r="BL26" s="336">
        <v>0</v>
      </c>
      <c r="BM26" s="336">
        <v>0</v>
      </c>
      <c r="BN26" s="336">
        <v>0</v>
      </c>
      <c r="BO26" s="336">
        <v>0</v>
      </c>
      <c r="BP26" s="336">
        <v>0</v>
      </c>
      <c r="BQ26" s="336">
        <v>0</v>
      </c>
      <c r="BR26" s="336">
        <v>0</v>
      </c>
      <c r="BS26" s="336">
        <v>0</v>
      </c>
      <c r="BT26" s="336">
        <v>0</v>
      </c>
      <c r="BU26" s="336">
        <v>0</v>
      </c>
      <c r="BV26" s="336">
        <v>0</v>
      </c>
      <c r="BW26" s="336">
        <v>0</v>
      </c>
      <c r="BX26" s="336">
        <v>0</v>
      </c>
      <c r="BY26" s="336">
        <v>0</v>
      </c>
      <c r="BZ26" s="336">
        <v>0</v>
      </c>
      <c r="CA26" s="336">
        <v>0</v>
      </c>
      <c r="CB26" s="336">
        <v>0</v>
      </c>
      <c r="CC26" s="336">
        <v>0</v>
      </c>
      <c r="CD26" s="336">
        <v>0</v>
      </c>
      <c r="CE26" s="336">
        <v>0</v>
      </c>
      <c r="CF26" s="336">
        <v>0</v>
      </c>
      <c r="CG26" s="336">
        <v>0</v>
      </c>
      <c r="CH26" s="336">
        <v>0</v>
      </c>
      <c r="CI26" s="336">
        <v>0</v>
      </c>
      <c r="CJ26" s="336">
        <v>0</v>
      </c>
      <c r="CK26" s="336">
        <v>0</v>
      </c>
      <c r="CL26" s="336">
        <v>0</v>
      </c>
      <c r="CM26" s="336">
        <v>0</v>
      </c>
      <c r="CN26" s="336">
        <v>0</v>
      </c>
      <c r="CO26" s="336">
        <v>0</v>
      </c>
      <c r="CP26" s="336">
        <v>0</v>
      </c>
      <c r="CQ26" s="336">
        <v>0</v>
      </c>
      <c r="CR26" s="336">
        <v>0</v>
      </c>
      <c r="CS26" s="336">
        <v>0</v>
      </c>
      <c r="CT26" s="336">
        <v>0</v>
      </c>
      <c r="CU26" s="336">
        <v>0</v>
      </c>
      <c r="CV26" s="336">
        <v>0</v>
      </c>
      <c r="CW26" s="336">
        <v>0</v>
      </c>
      <c r="CX26" s="336">
        <v>0</v>
      </c>
      <c r="CY26" s="336">
        <v>0</v>
      </c>
      <c r="CZ26" s="336">
        <v>0</v>
      </c>
      <c r="DA26" s="336">
        <v>0</v>
      </c>
      <c r="DB26" s="336">
        <v>0</v>
      </c>
      <c r="DC26" s="336">
        <v>0</v>
      </c>
      <c r="DD26" s="336">
        <v>0</v>
      </c>
      <c r="DE26" s="336">
        <v>0</v>
      </c>
      <c r="DF26" s="336">
        <v>0</v>
      </c>
      <c r="DG26" s="336">
        <v>0</v>
      </c>
      <c r="DH26" s="336">
        <v>0</v>
      </c>
      <c r="DI26" s="336">
        <v>0</v>
      </c>
      <c r="DJ26" s="336">
        <v>0</v>
      </c>
      <c r="DK26" s="336">
        <v>0</v>
      </c>
      <c r="DL26" s="336">
        <v>0</v>
      </c>
      <c r="DM26" s="336">
        <v>0</v>
      </c>
      <c r="DN26" s="336">
        <v>0</v>
      </c>
      <c r="DO26" s="336">
        <v>0</v>
      </c>
      <c r="DP26" s="336">
        <v>0</v>
      </c>
      <c r="DQ26" s="336">
        <v>0</v>
      </c>
      <c r="DR26" s="336">
        <v>0</v>
      </c>
      <c r="DS26" s="336">
        <v>0</v>
      </c>
      <c r="DT26" s="336">
        <v>0</v>
      </c>
      <c r="DU26" s="336">
        <v>0</v>
      </c>
      <c r="DV26" s="336">
        <v>0</v>
      </c>
      <c r="DW26" s="336">
        <v>0</v>
      </c>
      <c r="DX26" s="336">
        <v>0</v>
      </c>
      <c r="DY26" s="336">
        <v>0</v>
      </c>
      <c r="DZ26" s="336">
        <v>0</v>
      </c>
      <c r="EA26" s="336">
        <v>0</v>
      </c>
      <c r="EB26" s="336">
        <v>0</v>
      </c>
      <c r="EC26" s="336">
        <v>0</v>
      </c>
      <c r="ED26" s="336">
        <v>0</v>
      </c>
      <c r="EE26" s="336">
        <v>0</v>
      </c>
      <c r="EF26" s="336">
        <v>0</v>
      </c>
      <c r="EG26" s="336">
        <v>0</v>
      </c>
      <c r="EH26" s="336">
        <v>0</v>
      </c>
      <c r="EI26" s="336">
        <v>0</v>
      </c>
      <c r="EJ26" s="336">
        <v>0</v>
      </c>
      <c r="EK26" s="336">
        <v>0</v>
      </c>
      <c r="EL26" s="336">
        <v>0</v>
      </c>
      <c r="EM26" s="336">
        <v>0</v>
      </c>
      <c r="EN26" s="336">
        <v>0</v>
      </c>
      <c r="EO26" s="336">
        <v>0</v>
      </c>
      <c r="EP26" s="336">
        <v>0</v>
      </c>
      <c r="EQ26" s="336">
        <v>0</v>
      </c>
      <c r="ER26" s="336">
        <v>0</v>
      </c>
      <c r="ES26" s="336">
        <v>0</v>
      </c>
      <c r="ET26" s="336">
        <v>0</v>
      </c>
      <c r="EU26" s="336">
        <v>0</v>
      </c>
      <c r="EV26" s="336">
        <v>0</v>
      </c>
      <c r="EW26" s="336">
        <v>0</v>
      </c>
      <c r="EX26" s="336">
        <v>0</v>
      </c>
      <c r="EY26" s="336">
        <v>0</v>
      </c>
      <c r="EZ26" s="336">
        <v>0</v>
      </c>
      <c r="FA26" s="336">
        <v>0</v>
      </c>
      <c r="FB26" s="336">
        <v>0</v>
      </c>
      <c r="FC26" s="336">
        <v>0</v>
      </c>
      <c r="FD26" s="336">
        <v>0</v>
      </c>
      <c r="FE26" s="336">
        <v>0</v>
      </c>
      <c r="FF26" s="336">
        <v>0</v>
      </c>
      <c r="FG26" s="336">
        <v>0</v>
      </c>
      <c r="FH26" s="336">
        <v>0</v>
      </c>
      <c r="FI26" s="336">
        <v>0</v>
      </c>
      <c r="FJ26" s="336">
        <v>0</v>
      </c>
      <c r="FK26" s="336">
        <v>0</v>
      </c>
      <c r="FL26" s="336">
        <v>0</v>
      </c>
      <c r="FM26" s="336">
        <v>0</v>
      </c>
      <c r="FN26" s="336">
        <v>0</v>
      </c>
      <c r="FO26" s="336">
        <v>0</v>
      </c>
      <c r="FP26" s="336">
        <v>0</v>
      </c>
      <c r="FQ26" s="336">
        <v>0</v>
      </c>
      <c r="FR26" s="336">
        <v>0</v>
      </c>
      <c r="FS26" s="336">
        <v>0</v>
      </c>
      <c r="FT26" s="336">
        <v>0</v>
      </c>
      <c r="FU26" s="336">
        <v>0</v>
      </c>
      <c r="FV26" s="336">
        <v>0</v>
      </c>
      <c r="FW26" s="336">
        <v>0</v>
      </c>
      <c r="FX26" s="336">
        <v>0</v>
      </c>
      <c r="FY26" s="336">
        <v>0</v>
      </c>
      <c r="FZ26" s="336">
        <v>0</v>
      </c>
      <c r="GA26" s="336">
        <v>0</v>
      </c>
      <c r="GB26" s="336">
        <v>0</v>
      </c>
      <c r="GC26" s="336">
        <v>0</v>
      </c>
      <c r="GD26" s="336">
        <v>0</v>
      </c>
      <c r="GE26" s="336">
        <v>0</v>
      </c>
      <c r="GF26" s="336">
        <v>0</v>
      </c>
      <c r="GG26" s="336">
        <v>0</v>
      </c>
      <c r="GH26" s="336">
        <v>0</v>
      </c>
      <c r="GI26" s="336">
        <v>0</v>
      </c>
      <c r="GJ26" s="336">
        <v>0</v>
      </c>
      <c r="GK26" s="336">
        <v>0</v>
      </c>
      <c r="GL26" s="336">
        <v>0</v>
      </c>
      <c r="GM26" s="336">
        <v>0</v>
      </c>
      <c r="GN26" s="336">
        <v>0</v>
      </c>
      <c r="GO26" s="336">
        <v>0</v>
      </c>
      <c r="GP26" s="336">
        <v>0</v>
      </c>
      <c r="GQ26" s="336">
        <v>0</v>
      </c>
      <c r="GR26" s="336">
        <v>0</v>
      </c>
      <c r="GS26" s="336">
        <v>0</v>
      </c>
      <c r="GT26" s="336">
        <v>0</v>
      </c>
      <c r="GU26" s="336">
        <v>0</v>
      </c>
      <c r="GV26" s="336">
        <v>0</v>
      </c>
      <c r="GW26" s="336">
        <v>0</v>
      </c>
      <c r="GX26" s="336">
        <v>0</v>
      </c>
      <c r="GY26" s="336">
        <v>0</v>
      </c>
      <c r="GZ26" s="336">
        <v>0</v>
      </c>
      <c r="HA26" s="336">
        <v>0</v>
      </c>
      <c r="HB26" s="336">
        <v>0</v>
      </c>
      <c r="HC26" s="336">
        <v>0</v>
      </c>
      <c r="HD26" s="336">
        <v>0</v>
      </c>
      <c r="HE26" s="336">
        <v>0</v>
      </c>
      <c r="HF26" s="336">
        <v>0</v>
      </c>
      <c r="HG26" s="336">
        <v>0</v>
      </c>
      <c r="HH26" s="336">
        <v>0</v>
      </c>
      <c r="HI26" s="336">
        <v>0</v>
      </c>
      <c r="HJ26" s="336">
        <v>0</v>
      </c>
      <c r="HK26" s="336">
        <v>0</v>
      </c>
      <c r="HL26" s="336">
        <v>0</v>
      </c>
      <c r="HM26" s="336">
        <v>0</v>
      </c>
      <c r="HN26" s="336">
        <v>0</v>
      </c>
      <c r="HO26" s="336">
        <v>0</v>
      </c>
      <c r="HP26" s="336">
        <v>4466676</v>
      </c>
      <c r="HQ26" s="336">
        <v>0</v>
      </c>
      <c r="HR26" s="336">
        <v>14705398</v>
      </c>
      <c r="HS26" s="336">
        <v>0</v>
      </c>
      <c r="HT26" s="336">
        <v>0</v>
      </c>
      <c r="HU26" s="336">
        <v>0</v>
      </c>
      <c r="HV26" s="336">
        <v>0</v>
      </c>
      <c r="HW26" s="336">
        <v>0</v>
      </c>
      <c r="HX26" s="336">
        <v>0</v>
      </c>
      <c r="HY26" s="336">
        <v>0</v>
      </c>
      <c r="HZ26" s="336">
        <v>0</v>
      </c>
      <c r="IA26" s="336">
        <v>0</v>
      </c>
      <c r="IB26" s="336">
        <v>0</v>
      </c>
      <c r="IC26" s="336">
        <v>0</v>
      </c>
      <c r="ID26" s="336">
        <v>0</v>
      </c>
      <c r="IE26" s="336">
        <v>0</v>
      </c>
      <c r="IF26" s="336">
        <v>0</v>
      </c>
      <c r="IG26" s="336">
        <v>0</v>
      </c>
      <c r="IH26" s="336">
        <v>0</v>
      </c>
      <c r="II26" s="336">
        <v>0</v>
      </c>
      <c r="IJ26" s="336">
        <v>0</v>
      </c>
      <c r="IK26" s="336">
        <v>0</v>
      </c>
      <c r="IL26" s="336">
        <v>0</v>
      </c>
      <c r="IM26" s="336">
        <v>0</v>
      </c>
      <c r="IN26" s="336">
        <v>0</v>
      </c>
      <c r="IO26" s="336">
        <v>0</v>
      </c>
      <c r="IP26" s="336">
        <v>0</v>
      </c>
      <c r="IQ26" s="336">
        <v>844626</v>
      </c>
      <c r="IR26" s="336">
        <v>0</v>
      </c>
      <c r="IS26" s="336">
        <v>6832</v>
      </c>
      <c r="IT26" s="336">
        <v>0</v>
      </c>
      <c r="IU26" s="336">
        <v>0</v>
      </c>
      <c r="IV26" s="336">
        <v>0</v>
      </c>
      <c r="IW26" s="336">
        <v>0</v>
      </c>
      <c r="IX26" s="336">
        <v>0</v>
      </c>
      <c r="IY26" s="336">
        <v>0</v>
      </c>
      <c r="IZ26" s="336">
        <v>0</v>
      </c>
      <c r="JA26" s="336">
        <v>0</v>
      </c>
      <c r="JB26" s="336">
        <v>2997004</v>
      </c>
      <c r="JC26" s="336">
        <v>0</v>
      </c>
      <c r="JD26" s="336">
        <v>0</v>
      </c>
      <c r="JE26" s="336">
        <v>0</v>
      </c>
      <c r="JF26" s="336">
        <v>0</v>
      </c>
      <c r="JG26" s="336">
        <v>0</v>
      </c>
      <c r="JH26" s="336">
        <v>0</v>
      </c>
      <c r="JI26" s="336">
        <v>14413181</v>
      </c>
      <c r="JJ26" s="336">
        <v>0</v>
      </c>
      <c r="JK26" s="336">
        <v>44723777</v>
      </c>
      <c r="JL26" s="336">
        <v>0</v>
      </c>
      <c r="JM26" s="336">
        <v>0</v>
      </c>
      <c r="JN26" s="336">
        <v>0</v>
      </c>
      <c r="JO26" s="336">
        <v>0</v>
      </c>
      <c r="JP26" s="336">
        <v>0</v>
      </c>
      <c r="JQ26" s="336">
        <v>0</v>
      </c>
      <c r="JR26" s="336">
        <v>948714</v>
      </c>
      <c r="JS26" s="336">
        <v>0</v>
      </c>
      <c r="JT26" s="336">
        <v>1532988</v>
      </c>
      <c r="JU26" s="336">
        <v>0</v>
      </c>
      <c r="JV26" s="336">
        <v>0</v>
      </c>
      <c r="JW26" s="336">
        <v>0</v>
      </c>
      <c r="JX26" s="336">
        <v>0</v>
      </c>
      <c r="JY26" s="336">
        <v>0</v>
      </c>
      <c r="JZ26" s="336">
        <v>0</v>
      </c>
      <c r="KA26" s="336">
        <v>0</v>
      </c>
      <c r="KB26" s="336">
        <v>0</v>
      </c>
      <c r="KC26" s="336">
        <v>0</v>
      </c>
      <c r="KD26" s="336">
        <v>0</v>
      </c>
      <c r="KE26" s="336">
        <v>0</v>
      </c>
      <c r="KF26" s="336">
        <v>0</v>
      </c>
      <c r="KG26" s="336">
        <v>0</v>
      </c>
      <c r="KH26" s="336">
        <v>0</v>
      </c>
      <c r="KI26" s="336">
        <v>0</v>
      </c>
      <c r="KJ26" s="336">
        <v>576495</v>
      </c>
      <c r="KK26" s="336">
        <v>0</v>
      </c>
      <c r="KL26" s="336">
        <v>347500</v>
      </c>
      <c r="KM26" s="336">
        <v>0</v>
      </c>
      <c r="KN26" s="336">
        <v>0</v>
      </c>
      <c r="KO26" s="336">
        <v>0</v>
      </c>
      <c r="KP26" s="336">
        <v>0</v>
      </c>
      <c r="KQ26" s="336">
        <v>0</v>
      </c>
      <c r="KR26" s="336">
        <v>0</v>
      </c>
      <c r="KS26" s="336">
        <v>0</v>
      </c>
      <c r="KT26" s="336">
        <v>0</v>
      </c>
      <c r="KU26" s="336">
        <v>0</v>
      </c>
      <c r="KV26" s="336">
        <v>0</v>
      </c>
      <c r="KW26" s="336">
        <v>0</v>
      </c>
      <c r="KX26" s="336">
        <v>0</v>
      </c>
      <c r="KY26" s="336">
        <v>0</v>
      </c>
      <c r="KZ26" s="336">
        <v>0</v>
      </c>
      <c r="LA26" s="336">
        <v>13873407</v>
      </c>
      <c r="LB26" s="336">
        <v>18152057</v>
      </c>
      <c r="LC26" s="336">
        <v>0</v>
      </c>
      <c r="LD26" s="336">
        <v>63824338</v>
      </c>
      <c r="LE26" s="336">
        <v>0</v>
      </c>
      <c r="LF26" s="336">
        <v>0</v>
      </c>
      <c r="LG26" s="336">
        <v>12412</v>
      </c>
      <c r="LH26" s="336">
        <v>0</v>
      </c>
      <c r="LI26" s="336">
        <v>0</v>
      </c>
      <c r="LJ26" s="336">
        <v>0</v>
      </c>
      <c r="LK26" s="336">
        <v>0</v>
      </c>
      <c r="LL26" s="336">
        <v>0</v>
      </c>
      <c r="LM26" s="336">
        <v>0</v>
      </c>
      <c r="LN26" s="336">
        <v>0</v>
      </c>
      <c r="LO26" s="336">
        <v>0</v>
      </c>
      <c r="LP26" s="336">
        <v>0</v>
      </c>
      <c r="LQ26" s="336">
        <v>0</v>
      </c>
      <c r="LR26" s="336">
        <v>0</v>
      </c>
      <c r="LS26" s="336">
        <v>0</v>
      </c>
      <c r="LT26" s="336">
        <v>0</v>
      </c>
      <c r="LU26" s="336">
        <v>0</v>
      </c>
      <c r="LV26" s="336">
        <v>0</v>
      </c>
      <c r="LW26" s="336">
        <v>0</v>
      </c>
      <c r="LX26" s="336">
        <v>0</v>
      </c>
      <c r="LY26" s="336">
        <v>0</v>
      </c>
      <c r="LZ26" s="336">
        <v>0</v>
      </c>
      <c r="MA26" s="336">
        <v>0</v>
      </c>
      <c r="MB26" s="336">
        <v>0</v>
      </c>
      <c r="MC26" s="336">
        <v>0</v>
      </c>
      <c r="MD26" s="336">
        <v>0</v>
      </c>
      <c r="ME26" s="336">
        <v>0</v>
      </c>
      <c r="MF26" s="336">
        <v>0</v>
      </c>
      <c r="MG26" s="336">
        <v>0</v>
      </c>
      <c r="MH26" s="336">
        <v>0</v>
      </c>
      <c r="MI26" s="336">
        <v>0</v>
      </c>
      <c r="MJ26" s="336">
        <v>0</v>
      </c>
      <c r="MK26" s="336">
        <v>0</v>
      </c>
      <c r="ML26" s="336">
        <v>0</v>
      </c>
      <c r="MM26" s="336">
        <v>0</v>
      </c>
      <c r="MN26" s="336">
        <v>0</v>
      </c>
      <c r="MO26" s="336">
        <v>0</v>
      </c>
      <c r="MP26" s="336">
        <v>0</v>
      </c>
      <c r="MQ26" s="336">
        <v>0</v>
      </c>
      <c r="MR26" s="336">
        <v>0</v>
      </c>
      <c r="MS26" s="336">
        <v>0</v>
      </c>
      <c r="MT26" s="336">
        <v>0</v>
      </c>
      <c r="MU26" s="336">
        <v>0</v>
      </c>
      <c r="MV26" s="336">
        <v>0</v>
      </c>
      <c r="MW26" s="336">
        <v>0</v>
      </c>
      <c r="MX26" s="336">
        <v>0</v>
      </c>
      <c r="MY26" s="336">
        <v>0</v>
      </c>
      <c r="MZ26" s="336">
        <v>0</v>
      </c>
      <c r="NA26" s="336">
        <v>0</v>
      </c>
      <c r="NB26" s="336">
        <v>0</v>
      </c>
      <c r="NC26" s="336">
        <v>0</v>
      </c>
      <c r="ND26" s="336">
        <v>0</v>
      </c>
      <c r="NE26" s="336">
        <v>0</v>
      </c>
      <c r="NF26" s="336">
        <v>0</v>
      </c>
      <c r="NG26" s="336">
        <v>0</v>
      </c>
      <c r="NH26" s="336">
        <v>0</v>
      </c>
      <c r="NI26" s="336">
        <v>0</v>
      </c>
      <c r="NJ26" s="336">
        <v>0</v>
      </c>
      <c r="NK26" s="336">
        <v>0</v>
      </c>
      <c r="NL26" s="336">
        <v>0</v>
      </c>
      <c r="NM26" s="336">
        <v>0</v>
      </c>
      <c r="NN26" s="336">
        <v>0</v>
      </c>
      <c r="NO26" s="336">
        <v>0</v>
      </c>
      <c r="NP26" s="336">
        <v>0</v>
      </c>
      <c r="NQ26" s="336">
        <v>0</v>
      </c>
      <c r="NR26" s="336">
        <v>0</v>
      </c>
      <c r="NS26" s="336">
        <v>0</v>
      </c>
      <c r="NT26" s="336">
        <v>0</v>
      </c>
      <c r="NU26" s="336">
        <v>0</v>
      </c>
      <c r="NV26" s="336">
        <v>0</v>
      </c>
      <c r="NW26" s="336">
        <v>0</v>
      </c>
      <c r="NX26" s="336">
        <v>0</v>
      </c>
      <c r="NY26" s="336">
        <v>0</v>
      </c>
      <c r="NZ26" s="336">
        <v>0</v>
      </c>
      <c r="OA26" s="336">
        <v>0</v>
      </c>
      <c r="OB26" s="336">
        <v>0</v>
      </c>
      <c r="OC26" s="336">
        <v>0</v>
      </c>
      <c r="OD26" s="336">
        <v>0</v>
      </c>
      <c r="OE26" s="336">
        <v>124629</v>
      </c>
      <c r="OF26" s="336">
        <v>0</v>
      </c>
      <c r="OG26" s="336">
        <v>1814237</v>
      </c>
      <c r="OH26" s="336">
        <v>0</v>
      </c>
      <c r="OI26" s="336">
        <v>0</v>
      </c>
      <c r="OJ26" s="336">
        <v>0</v>
      </c>
      <c r="OK26" s="336">
        <v>0</v>
      </c>
      <c r="OL26" s="336">
        <v>0</v>
      </c>
      <c r="OM26" s="336">
        <v>6018</v>
      </c>
      <c r="ON26" s="336">
        <v>73500</v>
      </c>
      <c r="OO26" s="336">
        <v>0</v>
      </c>
      <c r="OP26" s="336">
        <v>0</v>
      </c>
      <c r="OQ26" s="336">
        <v>0</v>
      </c>
      <c r="OR26" s="336">
        <v>0</v>
      </c>
      <c r="OS26" s="336">
        <v>0</v>
      </c>
      <c r="OT26" s="336">
        <v>0</v>
      </c>
      <c r="OU26" s="336">
        <v>37315</v>
      </c>
      <c r="OV26" s="336">
        <v>0</v>
      </c>
      <c r="OW26" s="336">
        <v>0</v>
      </c>
      <c r="OX26" s="336">
        <v>0</v>
      </c>
      <c r="OY26" s="336">
        <v>0</v>
      </c>
      <c r="OZ26" s="336">
        <v>0</v>
      </c>
      <c r="PA26" s="336">
        <v>0</v>
      </c>
      <c r="PB26" s="336">
        <v>797707</v>
      </c>
      <c r="PC26" s="336">
        <v>0</v>
      </c>
      <c r="PD26" s="336">
        <v>0</v>
      </c>
      <c r="PE26" s="336">
        <v>1079407</v>
      </c>
      <c r="PF26" s="336">
        <v>-1701249</v>
      </c>
      <c r="PG26" s="336">
        <v>0</v>
      </c>
      <c r="PH26" s="336">
        <v>279332</v>
      </c>
      <c r="PI26" s="336">
        <v>0</v>
      </c>
      <c r="PJ26" s="336">
        <v>10440</v>
      </c>
      <c r="PK26" s="336">
        <v>1350661</v>
      </c>
      <c r="PL26" s="336">
        <v>0</v>
      </c>
      <c r="PM26" s="336">
        <v>10773</v>
      </c>
      <c r="PN26" s="336">
        <v>0</v>
      </c>
      <c r="PO26" s="336">
        <v>0</v>
      </c>
      <c r="PP26" s="336">
        <v>0</v>
      </c>
      <c r="PQ26" s="336">
        <v>0</v>
      </c>
      <c r="PR26" s="336">
        <v>0</v>
      </c>
      <c r="PS26" s="336">
        <v>0</v>
      </c>
      <c r="PT26" s="336">
        <v>0</v>
      </c>
      <c r="PU26" s="336">
        <v>0</v>
      </c>
      <c r="PV26" s="336">
        <v>0</v>
      </c>
      <c r="PW26" s="336">
        <v>0</v>
      </c>
      <c r="PX26" s="336">
        <v>-707812</v>
      </c>
      <c r="PY26" s="336">
        <v>0</v>
      </c>
      <c r="PZ26" s="336">
        <v>0</v>
      </c>
      <c r="QA26" s="336">
        <v>0</v>
      </c>
      <c r="QB26" s="336">
        <v>0</v>
      </c>
      <c r="QC26" s="336">
        <v>0</v>
      </c>
      <c r="QD26" s="336">
        <v>0</v>
      </c>
      <c r="QE26" s="336">
        <v>0</v>
      </c>
      <c r="QF26" s="336">
        <v>97283</v>
      </c>
      <c r="QG26" s="336">
        <v>569667</v>
      </c>
      <c r="QH26" s="336">
        <v>0</v>
      </c>
      <c r="QI26" s="336">
        <v>0</v>
      </c>
      <c r="QJ26" s="336">
        <v>0</v>
      </c>
      <c r="QK26" s="336">
        <v>62535</v>
      </c>
      <c r="QL26" s="336">
        <v>0</v>
      </c>
      <c r="QM26" s="336">
        <v>0</v>
      </c>
      <c r="QN26" s="336">
        <v>0</v>
      </c>
      <c r="QO26" s="336">
        <v>0</v>
      </c>
      <c r="QP26" s="336">
        <v>0</v>
      </c>
      <c r="QQ26" s="336">
        <v>0</v>
      </c>
      <c r="QR26" s="336">
        <v>0</v>
      </c>
      <c r="QS26" s="336">
        <v>0</v>
      </c>
      <c r="QT26" s="336">
        <v>0</v>
      </c>
      <c r="QU26" s="336">
        <v>0</v>
      </c>
      <c r="QV26" s="336">
        <v>0</v>
      </c>
      <c r="QW26" s="336">
        <v>0</v>
      </c>
      <c r="QX26" s="336">
        <v>0</v>
      </c>
      <c r="QY26" s="336">
        <v>0</v>
      </c>
      <c r="QZ26" s="336">
        <v>0</v>
      </c>
      <c r="RA26" s="336">
        <v>0</v>
      </c>
      <c r="RB26" s="336">
        <v>0</v>
      </c>
      <c r="RC26" s="336">
        <v>0</v>
      </c>
      <c r="RD26" s="336">
        <v>0</v>
      </c>
      <c r="RE26" s="336">
        <v>0</v>
      </c>
      <c r="RF26" s="336">
        <v>0</v>
      </c>
      <c r="RG26" s="336">
        <v>0</v>
      </c>
      <c r="RH26" s="336">
        <v>0</v>
      </c>
      <c r="RI26" s="336">
        <v>0</v>
      </c>
      <c r="RJ26" s="336">
        <v>0</v>
      </c>
      <c r="RK26" s="336">
        <v>0</v>
      </c>
      <c r="RL26" s="336">
        <v>0</v>
      </c>
      <c r="RM26" s="336">
        <v>0</v>
      </c>
      <c r="RN26" s="336">
        <v>0</v>
      </c>
      <c r="RO26" s="336">
        <v>-6089164</v>
      </c>
      <c r="RP26" s="336">
        <v>0</v>
      </c>
      <c r="RQ26" s="336">
        <v>0</v>
      </c>
      <c r="RR26" s="336">
        <v>0</v>
      </c>
      <c r="RS26" s="336">
        <v>0</v>
      </c>
      <c r="RT26" s="336">
        <v>0</v>
      </c>
      <c r="RU26" s="336">
        <v>0</v>
      </c>
      <c r="RV26" s="336">
        <v>0</v>
      </c>
      <c r="RW26" s="336">
        <v>0</v>
      </c>
      <c r="RX26" s="336">
        <v>267094</v>
      </c>
      <c r="RY26" s="336">
        <v>0</v>
      </c>
      <c r="RZ26" s="336">
        <v>0</v>
      </c>
      <c r="SA26" s="336">
        <v>0</v>
      </c>
      <c r="SB26" s="336">
        <v>0</v>
      </c>
      <c r="SC26" s="336">
        <v>0</v>
      </c>
      <c r="SD26" s="336">
        <v>0</v>
      </c>
      <c r="SE26" s="336">
        <v>0</v>
      </c>
      <c r="SF26" s="336">
        <v>0</v>
      </c>
      <c r="SG26" s="336">
        <v>0</v>
      </c>
      <c r="SH26" s="336">
        <v>0</v>
      </c>
      <c r="SI26" s="336">
        <v>0</v>
      </c>
      <c r="SJ26" s="336">
        <v>0</v>
      </c>
      <c r="SK26" s="336">
        <v>0</v>
      </c>
      <c r="SL26" s="336">
        <v>0</v>
      </c>
      <c r="SM26" s="336">
        <v>0</v>
      </c>
      <c r="SN26" s="336">
        <v>0</v>
      </c>
      <c r="SO26" s="336">
        <v>0</v>
      </c>
      <c r="SP26" s="336">
        <v>0</v>
      </c>
      <c r="SQ26" s="336">
        <v>0</v>
      </c>
      <c r="SR26" s="336">
        <v>124629</v>
      </c>
      <c r="SS26" s="336">
        <v>0</v>
      </c>
      <c r="ST26" s="336">
        <v>1814237</v>
      </c>
      <c r="SU26" s="336">
        <v>0</v>
      </c>
      <c r="SV26" s="336">
        <v>0</v>
      </c>
      <c r="SW26" s="336">
        <v>-797707</v>
      </c>
      <c r="SX26" s="336">
        <v>0</v>
      </c>
      <c r="SY26" s="336">
        <v>0</v>
      </c>
      <c r="SZ26" s="336" t="s">
        <v>1420</v>
      </c>
      <c r="TA26" s="336" t="s">
        <v>1420</v>
      </c>
      <c r="TB26" s="336" t="s">
        <v>1420</v>
      </c>
      <c r="TC26" s="336">
        <v>0</v>
      </c>
      <c r="TD26" s="336">
        <v>1938866</v>
      </c>
      <c r="TE26" s="336">
        <v>0</v>
      </c>
      <c r="TF26" s="336">
        <v>0</v>
      </c>
      <c r="TG26" s="336">
        <v>0</v>
      </c>
      <c r="TH26" s="336">
        <v>0</v>
      </c>
      <c r="TI26" s="336">
        <v>0</v>
      </c>
      <c r="TJ26" s="336">
        <v>0</v>
      </c>
      <c r="TK26" s="336">
        <v>0</v>
      </c>
      <c r="TL26" s="336">
        <v>0</v>
      </c>
      <c r="TM26" s="336">
        <v>0</v>
      </c>
      <c r="TN26" s="336">
        <v>0</v>
      </c>
      <c r="TO26" s="336">
        <v>79367</v>
      </c>
      <c r="TP26" s="336">
        <v>0</v>
      </c>
      <c r="TQ26" s="336">
        <v>0</v>
      </c>
      <c r="TR26" s="336">
        <v>0</v>
      </c>
      <c r="TS26" s="336">
        <v>0</v>
      </c>
      <c r="TT26" s="336">
        <v>0</v>
      </c>
      <c r="TU26" s="336">
        <v>0</v>
      </c>
      <c r="TV26" s="336">
        <v>0</v>
      </c>
      <c r="TW26" s="336">
        <v>0</v>
      </c>
      <c r="TX26" s="336">
        <v>0</v>
      </c>
      <c r="TY26" s="336">
        <v>0</v>
      </c>
      <c r="TZ26" s="336">
        <v>0</v>
      </c>
      <c r="UA26" s="336">
        <v>0</v>
      </c>
      <c r="UB26" s="336">
        <v>0</v>
      </c>
      <c r="UC26" s="336">
        <v>0</v>
      </c>
      <c r="UD26" s="336">
        <v>0</v>
      </c>
      <c r="UE26" s="336">
        <v>0</v>
      </c>
      <c r="UF26" s="336">
        <v>0</v>
      </c>
      <c r="UG26" s="336">
        <v>0</v>
      </c>
      <c r="UH26" s="336">
        <v>0</v>
      </c>
      <c r="UI26" s="338">
        <v>95862214</v>
      </c>
      <c r="UJ26" s="338">
        <v>0</v>
      </c>
      <c r="UK26" s="338">
        <v>0</v>
      </c>
      <c r="UL26" s="338">
        <v>0</v>
      </c>
      <c r="UM26" s="338">
        <v>0</v>
      </c>
      <c r="UN26" s="338">
        <v>0</v>
      </c>
      <c r="UO26" s="338">
        <v>0</v>
      </c>
      <c r="UP26" s="338">
        <v>0</v>
      </c>
      <c r="UQ26" s="338">
        <v>0</v>
      </c>
      <c r="UR26"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1938866</v>
      </c>
      <c r="US26" s="338">
        <f>SUM(Input[[#This Row],[Oth Exp E&amp;G]],Input[[#This Row],[Oth Exp Desg]],Input[[#This Row],[Oth Exp Aux]],Input[[#This Row],[Oth Exp R Exp]],Input[[#This Row],[Oth Exp Loan]],Input[[#This Row],[Oth Exp Annuity]],Input[[#This Row],[Oth Exp Unexp]],Input[[#This Row],[Oth Exp R of Ind]],Input[[#This Row],[Oth Exp Inv in P]])</f>
        <v>116833</v>
      </c>
      <c r="UT26" s="336">
        <v>2560319</v>
      </c>
      <c r="UU26" s="336">
        <v>729485</v>
      </c>
      <c r="UV26" s="339" t="s">
        <v>1432</v>
      </c>
      <c r="UW26" s="340">
        <v>9798459761</v>
      </c>
      <c r="UX26" s="339" t="s">
        <v>1433</v>
      </c>
      <c r="UY26" s="339" t="s">
        <v>1587</v>
      </c>
      <c r="UZ26" s="340">
        <v>9793172757</v>
      </c>
      <c r="VA26" s="339" t="s">
        <v>1588</v>
      </c>
      <c r="VB26" s="341" t="str" cm="1">
        <f t="array" ref="VB26">IFERROR(_xlfn.IFS(Input[[#This Row],[Type]]="HRI",VLOOKUP(Input[[#This Row],[Institution Name]],FTSEHRI[],9,FALSE),Input[[#This Row],[Type]]="UNIV",VLOOKUP(Input[[#This Row],[Institution Name]],FTSEUNIV[],9,FALSE),OR(Input[[#This Row],[Type]]="TSTC",Input[[#This Row],[Type]]="LSC"),VLOOKUP(Input[[#This Row],[Institution Name]],FTSETSTC[],8,FALSE)),"N/A")</f>
        <v>N/A</v>
      </c>
      <c r="VC26" s="342" t="str" cm="1">
        <f t="array" ref="VC26">IFERROR(_xlfn.IFS(Input[[#This Row],[Type]]="HRI",VLOOKUP(Input[[#This Row],[Institution Name]],FTSEHRI[],11,FALSE),Input[[#This Row],[Type]]="UNIV",VLOOKUP(Input[[#This Row],[Institution Name]],FTSEUNIV[],11,FALSE),Input[[#This Row],[Type]]="TSTC",VLOOKUP(Input[[#This Row],[Institution Name]],FTSETSTC[],10,FALSE)),"N/A")</f>
        <v>N/A</v>
      </c>
      <c r="VD26"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13795782</v>
      </c>
      <c r="VE26"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26" s="338">
        <f>SUM(Input[[#This Row],[Fed G&amp;C E&amp;G]],Input[[#This Row],[Fed G&amp;C Desg]],Input[[#This Row],[Fed G&amp;C R Exp]],Input[[#This Row],[Fed G&amp;C Loan]],Input[[#This Row],[Fed G&amp;C Annuity]],Input[[#This Row],[Fed G&amp;C Unexp]],Input[[#This Row],[Fed G&amp;C R of Ind]],Input[[#This Row],[Fed G&amp;C Inv in P]])</f>
        <v>19172074</v>
      </c>
      <c r="VG26"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66391117</v>
      </c>
      <c r="VH26"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0</v>
      </c>
      <c r="VI26"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J26" s="338">
        <f>SUM(Input[[#This Row],[Oth Inc E&amp;G]],Input[[#This Row],[Oth Exp Desg]],Input[[#This Row],[Oth Exp R Exp]],Input[[#This Row],[Oth Exp Loan]],Input[[#This Row],[Oth Exp Annuity]],Input[[#This Row],[Oth Exp Unexp]],Input[[#This Row],[Oth Exp R of Ind]],Input[[#This Row],[Oth Exp Inv in P]])</f>
        <v>110815</v>
      </c>
      <c r="VK26" s="343">
        <f>SUM(Input[[#This Row],[Instr E&amp;G]],Input[[#This Row],[Instr Desg]],Input[[#This Row],[Instr R Exp]],Input[[#This Row],[Instr Loan]],Input[[#This Row],[Instr Annuity]],Input[[#This Row],[Instr Unexp]],Input[[#This Row],[Instr R of Ind]],Input[[#This Row],[Instr Inv in P]])</f>
        <v>0</v>
      </c>
      <c r="VL26" s="343">
        <f>SUM(Input[[#This Row],[Res E&amp;G]],Input[[#This Row],[Res Desg]],Input[[#This Row],[Res R Exp]],Input[[#This Row],[Res Loan]],Input[[#This Row],[Res Annuity]],Input[[#This Row],[Res Unexp]],Input[[#This Row],[Res R of Ind]],Input[[#This Row],[Res Inv in P]])</f>
        <v>95862214</v>
      </c>
      <c r="VM26" s="343">
        <f>SUM(Input[[#This Row],[Acad Sup E&amp;G]],Input[[#This Row],[Acad Sup Desg]],Input[[#This Row],[Acad Sup R Exp]],Input[[#This Row],[Acad Sup Loan]],Input[[#This Row],[Acad Sup Annuity]],Input[[#This Row],[Acad Sup Unexp]],Input[[#This Row],[Acad Sup R of Ind]],Input[[#This Row],[Acad Sup Inv in P]])</f>
        <v>0</v>
      </c>
      <c r="VN26" s="343">
        <f>SUM(Input[[#This Row],[Stu Svc E&amp;G]],Input[[#This Row],[Stu Svc Desg]],Input[[#This Row],[Stu Svc R Exp]],Input[[#This Row],[Stu Svc Loan]],Input[[#This Row],[Stu Svc Annuity]],Input[[#This Row],[Stu Svc Unexp]],Input[[#This Row],[Stu Svc R of Ind]],Input[[#This Row],[Stu Svc Inv in P]])</f>
        <v>0</v>
      </c>
      <c r="VO26" s="343">
        <f>SUM(Input[[#This Row],[Inst. Spt E&amp;G]],Input[[#This Row],[Inst. Spt Desg]],Input[[#This Row],[Inst. Spt R Exp]],Input[[#This Row],[Inst. Spt Loan]],Input[[#This Row],[Inst. Spt Annuity]],Input[[#This Row],[Inst. Spt Unexp]],Input[[#This Row],[Inst. Spt R of Ind]],Input[[#This Row],[Inst. Spt Inv in P]])</f>
        <v>0</v>
      </c>
      <c r="VP26" s="343">
        <f>SUM(Input[[#This Row],[M&amp;O Plnt E&amp;G]],Input[[#This Row],[M&amp;O Plnt Desg]],Input[[#This Row],[M&amp;O Plnt R Exp]],Input[[#This Row],[M&amp;O Plnt Loan]],Input[[#This Row],[M&amp;O Plnt Annuity]],Input[[#This Row],[M&amp;O Plnt Unexp]],Input[[#This Row],[M&amp;O Plnt R of Ind]],Input[[#This Row],[M&amp;O Plnt Inv in P]])</f>
        <v>0</v>
      </c>
      <c r="VQ26" s="343">
        <f>SUM(Input[[#This Row],[Schl &amp; Fell E&amp;G]],Input[[#This Row],[Schl &amp; Fell Desg]],Input[[#This Row],[Schl &amp; Fell R Exp]],Input[[#This Row],[Schl &amp; Fell Loan]],Input[[#This Row],[Schl &amp; Fell Annuity]],Input[[#This Row],[Schl &amp; Fell Unexp]],Input[[#This Row],[Schl &amp; Fell R of Ind]],Input[[#This Row],[Schl &amp; Fell Inv in P]])</f>
        <v>0</v>
      </c>
      <c r="VR26" s="343">
        <f>SUM(Input[[#This Row],[Cap Out fund E&amp;G]],Input[[#This Row],[Cap Out fund Desg]],Input[[#This Row],[Cap Out fund R Exp]],Input[[#This Row],[Cap Out fund Loan]],Input[[#This Row],[Cap Out fund Annuity]],Input[[#This Row],[Cap Out fund Unexp]],Input[[#This Row],[Cap Out fund R of Ind]],Input[[#This Row],[Cap Out fund Inv in P]])</f>
        <v>1938866</v>
      </c>
      <c r="VS26" s="343">
        <f>SUM(Input[[#This Row],[Oth Exp E&amp;G]],Input[[#This Row],[Oth Exp Desg]],Input[[#This Row],[Oth Exp R Exp]],Input[[#This Row],[Oth Exp Loan]],Input[[#This Row],[Oth Exp Annuity]],Input[[#This Row],[Oth Exp Unexp]],Input[[#This Row],[Oth Exp R of Ind]],Input[[#This Row],[Oth Exp Inv in P]],Input[[#This Row],[Oth Exp Inv in P]])</f>
        <v>154148</v>
      </c>
    </row>
    <row r="27" spans="1:591" s="344" customFormat="1" ht="27" customHeight="1" x14ac:dyDescent="0.55000000000000004">
      <c r="A27" s="339" t="s">
        <v>66</v>
      </c>
      <c r="B27" s="334" t="s">
        <v>830</v>
      </c>
      <c r="C27" s="334" t="s">
        <v>21</v>
      </c>
      <c r="D27" s="334">
        <v>130</v>
      </c>
      <c r="E27" s="334" t="s">
        <v>1622</v>
      </c>
      <c r="F27" s="335">
        <v>3632</v>
      </c>
      <c r="G27" s="336">
        <v>704876965</v>
      </c>
      <c r="H27" s="336">
        <v>0</v>
      </c>
      <c r="I27" s="336">
        <v>0</v>
      </c>
      <c r="J27" s="336">
        <v>0</v>
      </c>
      <c r="K27" s="336">
        <v>0</v>
      </c>
      <c r="L27" s="336">
        <v>0</v>
      </c>
      <c r="M27" s="336">
        <v>0</v>
      </c>
      <c r="N27" s="336">
        <v>0</v>
      </c>
      <c r="O27" s="336">
        <v>0</v>
      </c>
      <c r="P27" s="336">
        <v>40272721</v>
      </c>
      <c r="Q27" s="336">
        <v>440204</v>
      </c>
      <c r="R27" s="336">
        <v>0</v>
      </c>
      <c r="S27" s="336">
        <v>11345701</v>
      </c>
      <c r="T27" s="336">
        <v>0</v>
      </c>
      <c r="U27" s="336">
        <v>0</v>
      </c>
      <c r="V27" s="336">
        <v>0</v>
      </c>
      <c r="W27" s="336">
        <v>0</v>
      </c>
      <c r="X27" s="336">
        <v>0</v>
      </c>
      <c r="Y27" s="336">
        <v>0</v>
      </c>
      <c r="Z27" s="336">
        <v>0</v>
      </c>
      <c r="AA27" s="336">
        <v>0</v>
      </c>
      <c r="AB27" s="336">
        <v>0</v>
      </c>
      <c r="AC27" s="336">
        <v>0</v>
      </c>
      <c r="AD27" s="336">
        <v>0</v>
      </c>
      <c r="AE27" s="336">
        <v>0</v>
      </c>
      <c r="AF27" s="336">
        <v>0</v>
      </c>
      <c r="AG27" s="336">
        <v>0</v>
      </c>
      <c r="AH27" s="336">
        <v>64695488</v>
      </c>
      <c r="AI27" s="336">
        <v>140720258</v>
      </c>
      <c r="AJ27" s="336">
        <v>0</v>
      </c>
      <c r="AK27" s="336">
        <v>0</v>
      </c>
      <c r="AL27" s="336">
        <v>0</v>
      </c>
      <c r="AM27" s="336">
        <v>0</v>
      </c>
      <c r="AN27" s="336">
        <v>0</v>
      </c>
      <c r="AO27" s="336">
        <v>0</v>
      </c>
      <c r="AP27" s="336">
        <v>0</v>
      </c>
      <c r="AQ27" s="336">
        <v>-55753660</v>
      </c>
      <c r="AR27" s="336">
        <v>-29373689</v>
      </c>
      <c r="AS27" s="336">
        <v>0</v>
      </c>
      <c r="AT27" s="336">
        <v>0</v>
      </c>
      <c r="AU27" s="336">
        <v>0</v>
      </c>
      <c r="AV27" s="336">
        <v>0</v>
      </c>
      <c r="AW27" s="336">
        <v>0</v>
      </c>
      <c r="AX27" s="336">
        <v>0</v>
      </c>
      <c r="AY27" s="336">
        <v>0</v>
      </c>
      <c r="AZ27" s="336">
        <v>-5040</v>
      </c>
      <c r="BA27" s="336">
        <v>-6258</v>
      </c>
      <c r="BB27" s="336">
        <v>0</v>
      </c>
      <c r="BC27" s="336">
        <v>0</v>
      </c>
      <c r="BD27" s="336">
        <v>0</v>
      </c>
      <c r="BE27" s="336">
        <v>0</v>
      </c>
      <c r="BF27" s="336">
        <v>0</v>
      </c>
      <c r="BG27" s="336">
        <v>0</v>
      </c>
      <c r="BH27" s="336">
        <v>0</v>
      </c>
      <c r="BI27" s="336">
        <v>0</v>
      </c>
      <c r="BJ27" s="336">
        <v>0</v>
      </c>
      <c r="BK27" s="336">
        <v>0</v>
      </c>
      <c r="BL27" s="336">
        <v>0</v>
      </c>
      <c r="BM27" s="336">
        <v>0</v>
      </c>
      <c r="BN27" s="336">
        <v>0</v>
      </c>
      <c r="BO27" s="336">
        <v>0</v>
      </c>
      <c r="BP27" s="336">
        <v>0</v>
      </c>
      <c r="BQ27" s="336">
        <v>0</v>
      </c>
      <c r="BR27" s="336">
        <v>0</v>
      </c>
      <c r="BS27" s="336">
        <v>0</v>
      </c>
      <c r="BT27" s="336">
        <v>0</v>
      </c>
      <c r="BU27" s="336">
        <v>0</v>
      </c>
      <c r="BV27" s="336">
        <v>0</v>
      </c>
      <c r="BW27" s="336">
        <v>0</v>
      </c>
      <c r="BX27" s="336">
        <v>0</v>
      </c>
      <c r="BY27" s="336">
        <v>0</v>
      </c>
      <c r="BZ27" s="336">
        <v>0</v>
      </c>
      <c r="CA27" s="336">
        <v>133912059</v>
      </c>
      <c r="CB27" s="336">
        <v>518762374</v>
      </c>
      <c r="CC27" s="336">
        <v>0</v>
      </c>
      <c r="CD27" s="336">
        <v>0</v>
      </c>
      <c r="CE27" s="336">
        <v>0</v>
      </c>
      <c r="CF27" s="336">
        <v>0</v>
      </c>
      <c r="CG27" s="336">
        <v>0</v>
      </c>
      <c r="CH27" s="336">
        <v>0</v>
      </c>
      <c r="CI27" s="336">
        <v>0</v>
      </c>
      <c r="CJ27" s="336">
        <v>0</v>
      </c>
      <c r="CK27" s="336">
        <v>0</v>
      </c>
      <c r="CL27" s="336">
        <v>0</v>
      </c>
      <c r="CM27" s="336">
        <v>0</v>
      </c>
      <c r="CN27" s="336">
        <v>0</v>
      </c>
      <c r="CO27" s="336">
        <v>0</v>
      </c>
      <c r="CP27" s="336">
        <v>0</v>
      </c>
      <c r="CQ27" s="336">
        <v>0</v>
      </c>
      <c r="CR27" s="336">
        <v>0</v>
      </c>
      <c r="CS27" s="336">
        <v>0</v>
      </c>
      <c r="CT27" s="336">
        <v>0</v>
      </c>
      <c r="CU27" s="336">
        <v>0</v>
      </c>
      <c r="CV27" s="336">
        <v>0</v>
      </c>
      <c r="CW27" s="336">
        <v>0</v>
      </c>
      <c r="CX27" s="336">
        <v>0</v>
      </c>
      <c r="CY27" s="336">
        <v>0</v>
      </c>
      <c r="CZ27" s="336">
        <v>0</v>
      </c>
      <c r="DA27" s="336">
        <v>0</v>
      </c>
      <c r="DB27" s="336">
        <v>-4091834</v>
      </c>
      <c r="DC27" s="336">
        <v>-24096169</v>
      </c>
      <c r="DD27" s="336">
        <v>0</v>
      </c>
      <c r="DE27" s="336">
        <v>0</v>
      </c>
      <c r="DF27" s="336">
        <v>0</v>
      </c>
      <c r="DG27" s="336">
        <v>0</v>
      </c>
      <c r="DH27" s="336">
        <v>0</v>
      </c>
      <c r="DI27" s="336">
        <v>0</v>
      </c>
      <c r="DJ27" s="336">
        <v>0</v>
      </c>
      <c r="DK27" s="336">
        <v>0</v>
      </c>
      <c r="DL27" s="336">
        <v>0</v>
      </c>
      <c r="DM27" s="336">
        <v>0</v>
      </c>
      <c r="DN27" s="336">
        <v>0</v>
      </c>
      <c r="DO27" s="336">
        <v>0</v>
      </c>
      <c r="DP27" s="336">
        <v>0</v>
      </c>
      <c r="DQ27" s="336">
        <v>0</v>
      </c>
      <c r="DR27" s="336">
        <v>0</v>
      </c>
      <c r="DS27" s="336">
        <v>0</v>
      </c>
      <c r="DT27" s="336">
        <v>-28311753</v>
      </c>
      <c r="DU27" s="336">
        <v>-101432194</v>
      </c>
      <c r="DV27" s="336">
        <v>0</v>
      </c>
      <c r="DW27" s="336">
        <v>0</v>
      </c>
      <c r="DX27" s="336">
        <v>0</v>
      </c>
      <c r="DY27" s="336">
        <v>0</v>
      </c>
      <c r="DZ27" s="336">
        <v>0</v>
      </c>
      <c r="EA27" s="336">
        <v>0</v>
      </c>
      <c r="EB27" s="336">
        <v>0</v>
      </c>
      <c r="EC27" s="336">
        <v>0</v>
      </c>
      <c r="ED27" s="336">
        <v>-489916</v>
      </c>
      <c r="EE27" s="336">
        <v>0</v>
      </c>
      <c r="EF27" s="336">
        <v>0</v>
      </c>
      <c r="EG27" s="336">
        <v>0</v>
      </c>
      <c r="EH27" s="336">
        <v>0</v>
      </c>
      <c r="EI27" s="336">
        <v>0</v>
      </c>
      <c r="EJ27" s="336">
        <v>0</v>
      </c>
      <c r="EK27" s="336">
        <v>0</v>
      </c>
      <c r="EL27" s="336">
        <v>0</v>
      </c>
      <c r="EM27" s="336">
        <v>0</v>
      </c>
      <c r="EN27" s="336">
        <v>0</v>
      </c>
      <c r="EO27" s="336">
        <v>0</v>
      </c>
      <c r="EP27" s="336">
        <v>0</v>
      </c>
      <c r="EQ27" s="336">
        <v>0</v>
      </c>
      <c r="ER27" s="336">
        <v>0</v>
      </c>
      <c r="ES27" s="336">
        <v>0</v>
      </c>
      <c r="ET27" s="336">
        <v>0</v>
      </c>
      <c r="EU27" s="336">
        <v>0</v>
      </c>
      <c r="EV27" s="336">
        <v>0</v>
      </c>
      <c r="EW27" s="336">
        <v>0</v>
      </c>
      <c r="EX27" s="336">
        <v>0</v>
      </c>
      <c r="EY27" s="336">
        <v>0</v>
      </c>
      <c r="EZ27" s="336">
        <v>0</v>
      </c>
      <c r="FA27" s="336">
        <v>0</v>
      </c>
      <c r="FB27" s="336">
        <v>0</v>
      </c>
      <c r="FC27" s="336">
        <v>0</v>
      </c>
      <c r="FD27" s="336">
        <v>0</v>
      </c>
      <c r="FE27" s="336">
        <v>0</v>
      </c>
      <c r="FF27" s="336">
        <v>0</v>
      </c>
      <c r="FG27" s="336">
        <v>0</v>
      </c>
      <c r="FH27" s="336">
        <v>0</v>
      </c>
      <c r="FI27" s="336">
        <v>0</v>
      </c>
      <c r="FJ27" s="336">
        <v>0</v>
      </c>
      <c r="FK27" s="336">
        <v>0</v>
      </c>
      <c r="FL27" s="336">
        <v>0</v>
      </c>
      <c r="FM27" s="336">
        <v>798958</v>
      </c>
      <c r="FN27" s="336">
        <v>318118830</v>
      </c>
      <c r="FO27" s="336">
        <v>45512505</v>
      </c>
      <c r="FP27" s="336">
        <v>0</v>
      </c>
      <c r="FQ27" s="336">
        <v>0</v>
      </c>
      <c r="FR27" s="336">
        <v>0</v>
      </c>
      <c r="FS27" s="336">
        <v>0</v>
      </c>
      <c r="FT27" s="336">
        <v>0</v>
      </c>
      <c r="FU27" s="336">
        <v>0</v>
      </c>
      <c r="FV27" s="336">
        <v>0</v>
      </c>
      <c r="FW27" s="336">
        <v>0</v>
      </c>
      <c r="FX27" s="336">
        <v>0</v>
      </c>
      <c r="FY27" s="336">
        <v>0</v>
      </c>
      <c r="FZ27" s="336">
        <v>0</v>
      </c>
      <c r="GA27" s="336">
        <v>0</v>
      </c>
      <c r="GB27" s="336">
        <v>0</v>
      </c>
      <c r="GC27" s="336">
        <v>0</v>
      </c>
      <c r="GD27" s="336">
        <v>0</v>
      </c>
      <c r="GE27" s="336">
        <v>0</v>
      </c>
      <c r="GF27" s="336">
        <v>0</v>
      </c>
      <c r="GG27" s="336">
        <v>0</v>
      </c>
      <c r="GH27" s="336">
        <v>0</v>
      </c>
      <c r="GI27" s="336">
        <v>0</v>
      </c>
      <c r="GJ27" s="336">
        <v>0</v>
      </c>
      <c r="GK27" s="336">
        <v>0</v>
      </c>
      <c r="GL27" s="336">
        <v>0</v>
      </c>
      <c r="GM27" s="336">
        <v>0</v>
      </c>
      <c r="GN27" s="336">
        <v>-2446</v>
      </c>
      <c r="GO27" s="336">
        <v>-9957021</v>
      </c>
      <c r="GP27" s="336">
        <v>-1543214</v>
      </c>
      <c r="GQ27" s="336">
        <v>0</v>
      </c>
      <c r="GR27" s="336">
        <v>0</v>
      </c>
      <c r="GS27" s="336">
        <v>0</v>
      </c>
      <c r="GT27" s="336">
        <v>0</v>
      </c>
      <c r="GU27" s="336">
        <v>0</v>
      </c>
      <c r="GV27" s="336">
        <v>0</v>
      </c>
      <c r="GW27" s="336">
        <v>0</v>
      </c>
      <c r="GX27" s="336">
        <v>0</v>
      </c>
      <c r="GY27" s="336">
        <v>-85430</v>
      </c>
      <c r="GZ27" s="336">
        <v>0</v>
      </c>
      <c r="HA27" s="336">
        <v>0</v>
      </c>
      <c r="HB27" s="336">
        <v>0</v>
      </c>
      <c r="HC27" s="336">
        <v>0</v>
      </c>
      <c r="HD27" s="336">
        <v>0</v>
      </c>
      <c r="HE27" s="336">
        <v>0</v>
      </c>
      <c r="HF27" s="336">
        <v>-190883</v>
      </c>
      <c r="HG27" s="336">
        <v>-67020296</v>
      </c>
      <c r="HH27" s="336">
        <v>-9384318</v>
      </c>
      <c r="HI27" s="336">
        <v>0</v>
      </c>
      <c r="HJ27" s="336">
        <v>0</v>
      </c>
      <c r="HK27" s="336">
        <v>0</v>
      </c>
      <c r="HL27" s="336">
        <v>0</v>
      </c>
      <c r="HM27" s="336">
        <v>0</v>
      </c>
      <c r="HN27" s="336">
        <v>0</v>
      </c>
      <c r="HO27" s="336">
        <v>0</v>
      </c>
      <c r="HP27" s="336">
        <v>32568782</v>
      </c>
      <c r="HQ27" s="336">
        <v>0</v>
      </c>
      <c r="HR27" s="336">
        <v>197959418</v>
      </c>
      <c r="HS27" s="336">
        <v>0</v>
      </c>
      <c r="HT27" s="336">
        <v>0</v>
      </c>
      <c r="HU27" s="336">
        <v>0</v>
      </c>
      <c r="HV27" s="336">
        <v>0</v>
      </c>
      <c r="HW27" s="336">
        <v>0</v>
      </c>
      <c r="HX27" s="336">
        <v>0</v>
      </c>
      <c r="HY27" s="336">
        <v>0</v>
      </c>
      <c r="HZ27" s="336">
        <v>0</v>
      </c>
      <c r="IA27" s="336">
        <v>0</v>
      </c>
      <c r="IB27" s="336">
        <v>0</v>
      </c>
      <c r="IC27" s="336">
        <v>0</v>
      </c>
      <c r="ID27" s="336">
        <v>0</v>
      </c>
      <c r="IE27" s="336">
        <v>0</v>
      </c>
      <c r="IF27" s="336">
        <v>0</v>
      </c>
      <c r="IG27" s="336">
        <v>0</v>
      </c>
      <c r="IH27" s="336">
        <v>0</v>
      </c>
      <c r="II27" s="336">
        <v>0</v>
      </c>
      <c r="IJ27" s="336">
        <v>0</v>
      </c>
      <c r="IK27" s="336">
        <v>0</v>
      </c>
      <c r="IL27" s="336">
        <v>0</v>
      </c>
      <c r="IM27" s="336">
        <v>0</v>
      </c>
      <c r="IN27" s="336">
        <v>0</v>
      </c>
      <c r="IO27" s="336">
        <v>0</v>
      </c>
      <c r="IP27" s="336">
        <v>5108050</v>
      </c>
      <c r="IQ27" s="336">
        <v>81578852</v>
      </c>
      <c r="IR27" s="336">
        <v>9657606</v>
      </c>
      <c r="IS27" s="336">
        <v>4546004</v>
      </c>
      <c r="IT27" s="336">
        <v>133757</v>
      </c>
      <c r="IU27" s="336">
        <v>40889</v>
      </c>
      <c r="IV27" s="336">
        <v>1228575</v>
      </c>
      <c r="IW27" s="336">
        <v>0</v>
      </c>
      <c r="IX27" s="336">
        <v>0</v>
      </c>
      <c r="IY27" s="336">
        <v>0</v>
      </c>
      <c r="IZ27" s="336">
        <v>12296</v>
      </c>
      <c r="JA27" s="336">
        <v>0</v>
      </c>
      <c r="JB27" s="336">
        <v>99606</v>
      </c>
      <c r="JC27" s="336">
        <v>0</v>
      </c>
      <c r="JD27" s="336">
        <v>0</v>
      </c>
      <c r="JE27" s="336">
        <v>0</v>
      </c>
      <c r="JF27" s="336">
        <v>0</v>
      </c>
      <c r="JG27" s="336">
        <v>0</v>
      </c>
      <c r="JH27" s="336">
        <v>0</v>
      </c>
      <c r="JI27" s="336">
        <v>8825991</v>
      </c>
      <c r="JJ27" s="336">
        <v>57579283</v>
      </c>
      <c r="JK27" s="336">
        <v>248070864</v>
      </c>
      <c r="JL27" s="336">
        <v>626836</v>
      </c>
      <c r="JM27" s="336">
        <v>0</v>
      </c>
      <c r="JN27" s="336">
        <v>0</v>
      </c>
      <c r="JO27" s="336">
        <v>0</v>
      </c>
      <c r="JP27" s="336">
        <v>0</v>
      </c>
      <c r="JQ27" s="336">
        <v>49934372</v>
      </c>
      <c r="JR27" s="336">
        <v>132972180</v>
      </c>
      <c r="JS27" s="336">
        <v>0</v>
      </c>
      <c r="JT27" s="336">
        <v>1458388</v>
      </c>
      <c r="JU27" s="336">
        <v>0</v>
      </c>
      <c r="JV27" s="336">
        <v>0</v>
      </c>
      <c r="JW27" s="336">
        <v>0</v>
      </c>
      <c r="JX27" s="336">
        <v>0</v>
      </c>
      <c r="JY27" s="336">
        <v>0</v>
      </c>
      <c r="JZ27" s="336">
        <v>0</v>
      </c>
      <c r="KA27" s="336">
        <v>0</v>
      </c>
      <c r="KB27" s="336">
        <v>269637591</v>
      </c>
      <c r="KC27" s="336">
        <v>0</v>
      </c>
      <c r="KD27" s="336">
        <v>0</v>
      </c>
      <c r="KE27" s="336">
        <v>0</v>
      </c>
      <c r="KF27" s="336">
        <v>0</v>
      </c>
      <c r="KG27" s="336">
        <v>0</v>
      </c>
      <c r="KH27" s="336">
        <v>0</v>
      </c>
      <c r="KI27" s="336">
        <v>294312</v>
      </c>
      <c r="KJ27" s="336">
        <v>34007035</v>
      </c>
      <c r="KK27" s="336">
        <v>6522138</v>
      </c>
      <c r="KL27" s="336">
        <v>389301</v>
      </c>
      <c r="KM27" s="336">
        <v>1771860</v>
      </c>
      <c r="KN27" s="336">
        <v>0</v>
      </c>
      <c r="KO27" s="336">
        <v>0</v>
      </c>
      <c r="KP27" s="336">
        <v>0</v>
      </c>
      <c r="KQ27" s="336">
        <v>-10897884</v>
      </c>
      <c r="KR27" s="336">
        <v>452147935</v>
      </c>
      <c r="KS27" s="336">
        <v>188867642</v>
      </c>
      <c r="KT27" s="336">
        <v>0</v>
      </c>
      <c r="KU27" s="336">
        <v>66600317</v>
      </c>
      <c r="KV27" s="336">
        <v>0</v>
      </c>
      <c r="KW27" s="336">
        <v>0</v>
      </c>
      <c r="KX27" s="336">
        <v>0</v>
      </c>
      <c r="KY27" s="336">
        <v>0</v>
      </c>
      <c r="KZ27" s="336">
        <v>0</v>
      </c>
      <c r="LA27" s="336">
        <v>33291996</v>
      </c>
      <c r="LB27" s="336">
        <v>105196796</v>
      </c>
      <c r="LC27" s="336">
        <v>0</v>
      </c>
      <c r="LD27" s="336">
        <v>175570420</v>
      </c>
      <c r="LE27" s="336">
        <v>0</v>
      </c>
      <c r="LF27" s="336">
        <v>0</v>
      </c>
      <c r="LG27" s="336">
        <v>22584</v>
      </c>
      <c r="LH27" s="336">
        <v>0</v>
      </c>
      <c r="LI27" s="336">
        <v>0</v>
      </c>
      <c r="LJ27" s="336">
        <v>2332522</v>
      </c>
      <c r="LK27" s="336">
        <v>20617688</v>
      </c>
      <c r="LL27" s="336">
        <v>0</v>
      </c>
      <c r="LM27" s="336">
        <v>8151746</v>
      </c>
      <c r="LN27" s="336">
        <v>0</v>
      </c>
      <c r="LO27" s="336">
        <v>0</v>
      </c>
      <c r="LP27" s="336">
        <v>0</v>
      </c>
      <c r="LQ27" s="336">
        <v>0</v>
      </c>
      <c r="LR27" s="336">
        <v>0</v>
      </c>
      <c r="LS27" s="336">
        <v>0</v>
      </c>
      <c r="LT27" s="336">
        <v>0</v>
      </c>
      <c r="LU27" s="336">
        <v>0</v>
      </c>
      <c r="LV27" s="336">
        <v>0</v>
      </c>
      <c r="LW27" s="336">
        <v>0</v>
      </c>
      <c r="LX27" s="336">
        <v>0</v>
      </c>
      <c r="LY27" s="336">
        <v>0</v>
      </c>
      <c r="LZ27" s="336">
        <v>0</v>
      </c>
      <c r="MA27" s="336">
        <v>0</v>
      </c>
      <c r="MB27" s="336">
        <v>101820289</v>
      </c>
      <c r="MC27" s="336">
        <v>203045472</v>
      </c>
      <c r="MD27" s="336">
        <v>0</v>
      </c>
      <c r="ME27" s="336">
        <v>39471938</v>
      </c>
      <c r="MF27" s="336">
        <v>0</v>
      </c>
      <c r="MG27" s="336">
        <v>0</v>
      </c>
      <c r="MH27" s="336">
        <v>0</v>
      </c>
      <c r="MI27" s="336">
        <v>0</v>
      </c>
      <c r="MJ27" s="336">
        <v>0</v>
      </c>
      <c r="MK27" s="336">
        <v>17015857</v>
      </c>
      <c r="ML27" s="336">
        <v>72438673</v>
      </c>
      <c r="MM27" s="336">
        <v>0</v>
      </c>
      <c r="MN27" s="336">
        <v>6775779</v>
      </c>
      <c r="MO27" s="336">
        <v>1584827</v>
      </c>
      <c r="MP27" s="336">
        <v>0</v>
      </c>
      <c r="MQ27" s="336">
        <v>0</v>
      </c>
      <c r="MR27" s="336">
        <v>0</v>
      </c>
      <c r="MS27" s="336">
        <v>0</v>
      </c>
      <c r="MT27" s="336">
        <v>39200141</v>
      </c>
      <c r="MU27" s="336">
        <v>88105392</v>
      </c>
      <c r="MV27" s="336">
        <v>0</v>
      </c>
      <c r="MW27" s="336">
        <v>1893820</v>
      </c>
      <c r="MX27" s="336">
        <v>0</v>
      </c>
      <c r="MY27" s="336">
        <v>0</v>
      </c>
      <c r="MZ27" s="336">
        <v>0</v>
      </c>
      <c r="NA27" s="336">
        <v>0</v>
      </c>
      <c r="NB27" s="336">
        <v>0</v>
      </c>
      <c r="NC27" s="336">
        <v>19506545</v>
      </c>
      <c r="ND27" s="336">
        <v>124638417</v>
      </c>
      <c r="NE27" s="336">
        <v>0</v>
      </c>
      <c r="NF27" s="336">
        <v>6593975</v>
      </c>
      <c r="NG27" s="336">
        <v>0</v>
      </c>
      <c r="NH27" s="336">
        <v>0</v>
      </c>
      <c r="NI27" s="336">
        <v>64073805</v>
      </c>
      <c r="NJ27" s="336">
        <v>0</v>
      </c>
      <c r="NK27" s="336">
        <v>0</v>
      </c>
      <c r="NL27" s="336">
        <v>20358883</v>
      </c>
      <c r="NM27" s="336">
        <v>83335809</v>
      </c>
      <c r="NN27" s="336">
        <v>0</v>
      </c>
      <c r="NO27" s="336">
        <v>44980910</v>
      </c>
      <c r="NP27" s="336">
        <v>0</v>
      </c>
      <c r="NQ27" s="336">
        <v>0</v>
      </c>
      <c r="NR27" s="336">
        <v>0</v>
      </c>
      <c r="NS27" s="336">
        <v>0</v>
      </c>
      <c r="NT27" s="336">
        <v>0</v>
      </c>
      <c r="NU27" s="336">
        <v>0</v>
      </c>
      <c r="NV27" s="336">
        <v>0</v>
      </c>
      <c r="NW27" s="336">
        <v>318443527</v>
      </c>
      <c r="NX27" s="336">
        <v>0</v>
      </c>
      <c r="NY27" s="336">
        <v>0</v>
      </c>
      <c r="NZ27" s="336">
        <v>0</v>
      </c>
      <c r="OA27" s="336">
        <v>0</v>
      </c>
      <c r="OB27" s="336">
        <v>0</v>
      </c>
      <c r="OC27" s="336">
        <v>0</v>
      </c>
      <c r="OD27" s="336">
        <v>1364803</v>
      </c>
      <c r="OE27" s="336">
        <v>18391109</v>
      </c>
      <c r="OF27" s="336">
        <v>1641890</v>
      </c>
      <c r="OG27" s="336">
        <v>13877238</v>
      </c>
      <c r="OH27" s="336">
        <v>0</v>
      </c>
      <c r="OI27" s="336">
        <v>0</v>
      </c>
      <c r="OJ27" s="336">
        <v>0</v>
      </c>
      <c r="OK27" s="336">
        <v>0</v>
      </c>
      <c r="OL27" s="336">
        <v>0</v>
      </c>
      <c r="OM27" s="336">
        <v>1032097</v>
      </c>
      <c r="ON27" s="336">
        <v>9228824</v>
      </c>
      <c r="OO27" s="336">
        <v>4157864</v>
      </c>
      <c r="OP27" s="336">
        <v>1509805</v>
      </c>
      <c r="OQ27" s="336">
        <v>0</v>
      </c>
      <c r="OR27" s="336">
        <v>0</v>
      </c>
      <c r="OS27" s="336">
        <v>3778</v>
      </c>
      <c r="OT27" s="336">
        <v>0</v>
      </c>
      <c r="OU27" s="336">
        <v>8831267</v>
      </c>
      <c r="OV27" s="336">
        <v>0</v>
      </c>
      <c r="OW27" s="336">
        <v>0</v>
      </c>
      <c r="OX27" s="336">
        <v>0</v>
      </c>
      <c r="OY27" s="336">
        <v>0</v>
      </c>
      <c r="OZ27" s="336">
        <v>0</v>
      </c>
      <c r="PA27" s="336">
        <v>0</v>
      </c>
      <c r="PB27" s="336">
        <v>60248047</v>
      </c>
      <c r="PC27" s="336">
        <v>0</v>
      </c>
      <c r="PD27" s="336">
        <v>0</v>
      </c>
      <c r="PE27" s="336">
        <v>-208353262</v>
      </c>
      <c r="PF27" s="336">
        <v>-72135435</v>
      </c>
      <c r="PG27" s="336">
        <v>-20501681</v>
      </c>
      <c r="PH27" s="336">
        <v>-67081453</v>
      </c>
      <c r="PI27" s="336">
        <v>-664121</v>
      </c>
      <c r="PJ27" s="336">
        <v>-3916962</v>
      </c>
      <c r="PK27" s="336">
        <v>411372795</v>
      </c>
      <c r="PL27" s="336">
        <v>0</v>
      </c>
      <c r="PM27" s="336">
        <v>0</v>
      </c>
      <c r="PN27" s="336">
        <v>0</v>
      </c>
      <c r="PO27" s="336">
        <v>0</v>
      </c>
      <c r="PP27" s="336">
        <v>0</v>
      </c>
      <c r="PQ27" s="336">
        <v>0</v>
      </c>
      <c r="PR27" s="336">
        <v>0</v>
      </c>
      <c r="PS27" s="336">
        <v>0</v>
      </c>
      <c r="PT27" s="336">
        <v>0</v>
      </c>
      <c r="PU27" s="336">
        <v>0</v>
      </c>
      <c r="PV27" s="336">
        <v>0</v>
      </c>
      <c r="PW27" s="336">
        <v>-13161369</v>
      </c>
      <c r="PX27" s="336">
        <v>-33315495</v>
      </c>
      <c r="PY27" s="336">
        <v>-69710482</v>
      </c>
      <c r="PZ27" s="336">
        <v>-71675370</v>
      </c>
      <c r="QA27" s="336">
        <v>0</v>
      </c>
      <c r="QB27" s="336">
        <v>0</v>
      </c>
      <c r="QC27" s="336">
        <v>-16966097</v>
      </c>
      <c r="QD27" s="336">
        <v>0</v>
      </c>
      <c r="QE27" s="336">
        <v>0</v>
      </c>
      <c r="QF27" s="336">
        <v>0</v>
      </c>
      <c r="QG27" s="336">
        <v>279009067</v>
      </c>
      <c r="QH27" s="336">
        <v>0</v>
      </c>
      <c r="QI27" s="336">
        <v>0</v>
      </c>
      <c r="QJ27" s="336">
        <v>0</v>
      </c>
      <c r="QK27" s="336">
        <v>42773117</v>
      </c>
      <c r="QL27" s="336">
        <v>0</v>
      </c>
      <c r="QM27" s="336">
        <v>0</v>
      </c>
      <c r="QN27" s="336">
        <v>0</v>
      </c>
      <c r="QO27" s="336">
        <v>0</v>
      </c>
      <c r="QP27" s="336">
        <v>0</v>
      </c>
      <c r="QQ27" s="336">
        <v>0</v>
      </c>
      <c r="QR27" s="336">
        <v>0</v>
      </c>
      <c r="QS27" s="336">
        <v>0</v>
      </c>
      <c r="QT27" s="336">
        <v>771247</v>
      </c>
      <c r="QU27" s="336">
        <v>0</v>
      </c>
      <c r="QV27" s="336">
        <v>0</v>
      </c>
      <c r="QW27" s="336">
        <v>0</v>
      </c>
      <c r="QX27" s="336">
        <v>0</v>
      </c>
      <c r="QY27" s="336">
        <v>0</v>
      </c>
      <c r="QZ27" s="336">
        <v>0</v>
      </c>
      <c r="RA27" s="336">
        <v>0</v>
      </c>
      <c r="RB27" s="336">
        <v>0</v>
      </c>
      <c r="RC27" s="336">
        <v>0</v>
      </c>
      <c r="RD27" s="336">
        <v>0</v>
      </c>
      <c r="RE27" s="336">
        <v>0</v>
      </c>
      <c r="RF27" s="336">
        <v>0</v>
      </c>
      <c r="RG27" s="336">
        <v>0</v>
      </c>
      <c r="RH27" s="336">
        <v>0</v>
      </c>
      <c r="RI27" s="336">
        <v>0</v>
      </c>
      <c r="RJ27" s="336">
        <v>0</v>
      </c>
      <c r="RK27" s="336">
        <v>0</v>
      </c>
      <c r="RL27" s="336">
        <v>0</v>
      </c>
      <c r="RM27" s="336">
        <v>0</v>
      </c>
      <c r="RN27" s="336">
        <v>0</v>
      </c>
      <c r="RO27" s="336">
        <v>-253235737</v>
      </c>
      <c r="RP27" s="336">
        <v>0</v>
      </c>
      <c r="RQ27" s="336">
        <v>0</v>
      </c>
      <c r="RR27" s="336">
        <v>0</v>
      </c>
      <c r="RS27" s="336">
        <v>0</v>
      </c>
      <c r="RT27" s="336">
        <v>0</v>
      </c>
      <c r="RU27" s="336">
        <v>0</v>
      </c>
      <c r="RV27" s="336">
        <v>0</v>
      </c>
      <c r="RW27" s="336">
        <v>0</v>
      </c>
      <c r="RX27" s="336">
        <v>97724030</v>
      </c>
      <c r="RY27" s="336">
        <v>0</v>
      </c>
      <c r="RZ27" s="336">
        <v>0</v>
      </c>
      <c r="SA27" s="336">
        <v>0</v>
      </c>
      <c r="SB27" s="336">
        <v>0</v>
      </c>
      <c r="SC27" s="336">
        <v>0</v>
      </c>
      <c r="SD27" s="336">
        <v>0</v>
      </c>
      <c r="SE27" s="336">
        <v>0</v>
      </c>
      <c r="SF27" s="336">
        <v>0</v>
      </c>
      <c r="SG27" s="336">
        <v>0</v>
      </c>
      <c r="SH27" s="336">
        <v>0</v>
      </c>
      <c r="SI27" s="336">
        <v>0</v>
      </c>
      <c r="SJ27" s="336">
        <v>0</v>
      </c>
      <c r="SK27" s="336">
        <v>0</v>
      </c>
      <c r="SL27" s="336">
        <v>0</v>
      </c>
      <c r="SM27" s="336">
        <v>0</v>
      </c>
      <c r="SN27" s="336">
        <v>0</v>
      </c>
      <c r="SO27" s="336">
        <v>0</v>
      </c>
      <c r="SP27" s="336">
        <v>20334020</v>
      </c>
      <c r="SQ27" s="336">
        <v>1364803</v>
      </c>
      <c r="SR27" s="336">
        <v>18391109</v>
      </c>
      <c r="SS27" s="336">
        <v>1641890</v>
      </c>
      <c r="ST27" s="336">
        <v>13877238</v>
      </c>
      <c r="SU27" s="336">
        <v>0</v>
      </c>
      <c r="SV27" s="336">
        <v>0</v>
      </c>
      <c r="SW27" s="336">
        <v>-60248047</v>
      </c>
      <c r="SX27" s="336">
        <v>0</v>
      </c>
      <c r="SY27" s="336">
        <v>0</v>
      </c>
      <c r="SZ27" s="336" t="s">
        <v>1420</v>
      </c>
      <c r="TA27" s="336" t="s">
        <v>1420</v>
      </c>
      <c r="TB27" s="336" t="s">
        <v>1420</v>
      </c>
      <c r="TC27" s="336">
        <v>2197847</v>
      </c>
      <c r="TD27" s="336">
        <v>22451619</v>
      </c>
      <c r="TE27" s="336">
        <v>798444</v>
      </c>
      <c r="TF27" s="336">
        <v>0</v>
      </c>
      <c r="TG27" s="336">
        <v>6570658</v>
      </c>
      <c r="TH27" s="336">
        <v>50375</v>
      </c>
      <c r="TI27" s="336">
        <v>820719</v>
      </c>
      <c r="TJ27" s="336">
        <v>609220</v>
      </c>
      <c r="TK27" s="336">
        <v>134268</v>
      </c>
      <c r="TL27" s="336">
        <v>1641890</v>
      </c>
      <c r="TM27" s="336">
        <v>0</v>
      </c>
      <c r="TN27" s="336">
        <v>0</v>
      </c>
      <c r="TO27" s="336">
        <v>7529922</v>
      </c>
      <c r="TP27" s="336">
        <v>0</v>
      </c>
      <c r="TQ27" s="336">
        <v>0</v>
      </c>
      <c r="TR27" s="336">
        <v>0</v>
      </c>
      <c r="TS27" s="336">
        <v>0</v>
      </c>
      <c r="TT27" s="336">
        <v>0</v>
      </c>
      <c r="TU27" s="336">
        <v>0</v>
      </c>
      <c r="TV27" s="336">
        <v>0</v>
      </c>
      <c r="TW27" s="336">
        <v>0</v>
      </c>
      <c r="TX27" s="336">
        <v>6080</v>
      </c>
      <c r="TY27" s="336">
        <v>0</v>
      </c>
      <c r="TZ27" s="336">
        <v>0</v>
      </c>
      <c r="UA27" s="336">
        <v>0</v>
      </c>
      <c r="UB27" s="336">
        <v>0</v>
      </c>
      <c r="UC27" s="336">
        <v>0</v>
      </c>
      <c r="UD27" s="336">
        <v>0</v>
      </c>
      <c r="UE27" s="336">
        <v>0</v>
      </c>
      <c r="UF27" s="336">
        <v>0</v>
      </c>
      <c r="UG27" s="336">
        <v>0</v>
      </c>
      <c r="UH27" s="336">
        <v>707615894</v>
      </c>
      <c r="UI27" s="338">
        <v>314081796</v>
      </c>
      <c r="UJ27" s="338">
        <v>31101956</v>
      </c>
      <c r="UK27" s="338">
        <v>0</v>
      </c>
      <c r="UL27" s="338">
        <v>344337699</v>
      </c>
      <c r="UM27" s="338">
        <v>97815136</v>
      </c>
      <c r="UN27" s="338">
        <v>129199353</v>
      </c>
      <c r="UO27" s="338">
        <v>214812742</v>
      </c>
      <c r="UP27" s="338">
        <v>148675602</v>
      </c>
      <c r="UQ27" s="338">
        <v>318443527</v>
      </c>
      <c r="UR27"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35275040</v>
      </c>
      <c r="US27" s="338">
        <f>SUM(Input[[#This Row],[Oth Exp E&amp;G]],Input[[#This Row],[Oth Exp Desg]],Input[[#This Row],[Oth Exp Aux]],Input[[#This Row],[Oth Exp R Exp]],Input[[#This Row],[Oth Exp Loan]],Input[[#This Row],[Oth Exp Annuity]],Input[[#This Row],[Oth Exp Unexp]],Input[[#This Row],[Oth Exp R of Ind]],Input[[#This Row],[Oth Exp Inv in P]])</f>
        <v>24763635</v>
      </c>
      <c r="UT27" s="336">
        <v>395483342</v>
      </c>
      <c r="UU27" s="336">
        <v>321782184</v>
      </c>
      <c r="UV27" s="339" t="s">
        <v>1432</v>
      </c>
      <c r="UW27" s="340">
        <v>9798459761</v>
      </c>
      <c r="UX27" s="339" t="s">
        <v>1433</v>
      </c>
      <c r="UY27" s="339" t="s">
        <v>1434</v>
      </c>
      <c r="UZ27" s="340">
        <v>9794581866</v>
      </c>
      <c r="VA27" s="339" t="s">
        <v>1435</v>
      </c>
      <c r="VB27" s="341" cm="1">
        <f t="array" ref="VB27">IFERROR(_xlfn.IFS(Input[[#This Row],[Type]]="HRI",VLOOKUP(Input[[#This Row],[Institution Name]],FTSEHRI[],9,FALSE),Input[[#This Row],[Type]]="UNIV",VLOOKUP(Input[[#This Row],[Institution Name]],FTSEUNIV[],9,FALSE),OR(Input[[#This Row],[Type]]="TSTC",Input[[#This Row],[Type]]="LSC"),VLOOKUP(Input[[#This Row],[Institution Name]],FTSETSTC[],8,FALSE)),"N/A")</f>
        <v>61626.03</v>
      </c>
      <c r="VC27" s="342" t="str" cm="1">
        <f t="array" ref="VC27">IFERROR(_xlfn.IFS(Input[[#This Row],[Type]]="HRI",VLOOKUP(Input[[#This Row],[Institution Name]],FTSEHRI[],11,FALSE),Input[[#This Row],[Type]]="UNIV",VLOOKUP(Input[[#This Row],[Institution Name]],FTSEUNIV[],11,FALSE),Input[[#This Row],[Type]]="TSTC",VLOOKUP(Input[[#This Row],[Institution Name]],FTSETSTC[],10,FALSE)),"N/A")</f>
        <v>N/A</v>
      </c>
      <c r="VD27"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756935591</v>
      </c>
      <c r="VE27"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205415746</v>
      </c>
      <c r="VF27" s="338">
        <f>SUM(Input[[#This Row],[Fed G&amp;C E&amp;G]],Input[[#This Row],[Fed G&amp;C Desg]],Input[[#This Row],[Fed G&amp;C R Exp]],Input[[#This Row],[Fed G&amp;C Loan]],Input[[#This Row],[Fed G&amp;C Annuity]],Input[[#This Row],[Fed G&amp;C Unexp]],Input[[#This Row],[Fed G&amp;C R of Ind]],Input[[#This Row],[Fed G&amp;C Inv in P]])</f>
        <v>230528200</v>
      </c>
      <c r="VG27"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560201284</v>
      </c>
      <c r="VH27"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494742483</v>
      </c>
      <c r="VI27"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241747142</v>
      </c>
      <c r="VJ27" s="338">
        <f>SUM(Input[[#This Row],[Oth Inc E&amp;G]],Input[[#This Row],[Oth Exp Desg]],Input[[#This Row],[Oth Exp R Exp]],Input[[#This Row],[Oth Exp Loan]],Input[[#This Row],[Oth Exp Annuity]],Input[[#This Row],[Oth Exp Unexp]],Input[[#This Row],[Oth Exp R of Ind]],Input[[#This Row],[Oth Exp Inv in P]])</f>
        <v>19867986</v>
      </c>
      <c r="VK27" s="343">
        <f>SUM(Input[[#This Row],[Instr E&amp;G]],Input[[#This Row],[Instr Desg]],Input[[#This Row],[Instr R Exp]],Input[[#This Row],[Instr Loan]],Input[[#This Row],[Instr Annuity]],Input[[#This Row],[Instr Unexp]],Input[[#This Row],[Instr R of Ind]],Input[[#This Row],[Instr Inv in P]])</f>
        <v>707615894</v>
      </c>
      <c r="VL27" s="343">
        <f>SUM(Input[[#This Row],[Res E&amp;G]],Input[[#This Row],[Res Desg]],Input[[#This Row],[Res R Exp]],Input[[#This Row],[Res Loan]],Input[[#This Row],[Res Annuity]],Input[[#This Row],[Res Unexp]],Input[[#This Row],[Res R of Ind]],Input[[#This Row],[Res Inv in P]])</f>
        <v>314081796</v>
      </c>
      <c r="VM27" s="343">
        <f>SUM(Input[[#This Row],[Acad Sup E&amp;G]],Input[[#This Row],[Acad Sup Desg]],Input[[#This Row],[Acad Sup R Exp]],Input[[#This Row],[Acad Sup Loan]],Input[[#This Row],[Acad Sup Annuity]],Input[[#This Row],[Acad Sup Unexp]],Input[[#This Row],[Acad Sup R of Ind]],Input[[#This Row],[Acad Sup Inv in P]])</f>
        <v>344337699</v>
      </c>
      <c r="VN27" s="343">
        <f>SUM(Input[[#This Row],[Stu Svc E&amp;G]],Input[[#This Row],[Stu Svc Desg]],Input[[#This Row],[Stu Svc R Exp]],Input[[#This Row],[Stu Svc Loan]],Input[[#This Row],[Stu Svc Annuity]],Input[[#This Row],[Stu Svc Unexp]],Input[[#This Row],[Stu Svc R of Ind]],Input[[#This Row],[Stu Svc Inv in P]])</f>
        <v>97815136</v>
      </c>
      <c r="VO27" s="343">
        <f>SUM(Input[[#This Row],[Inst. Spt E&amp;G]],Input[[#This Row],[Inst. Spt Desg]],Input[[#This Row],[Inst. Spt R Exp]],Input[[#This Row],[Inst. Spt Loan]],Input[[#This Row],[Inst. Spt Annuity]],Input[[#This Row],[Inst. Spt Unexp]],Input[[#This Row],[Inst. Spt R of Ind]],Input[[#This Row],[Inst. Spt Inv in P]])</f>
        <v>129199353</v>
      </c>
      <c r="VP27" s="343">
        <f>SUM(Input[[#This Row],[M&amp;O Plnt E&amp;G]],Input[[#This Row],[M&amp;O Plnt Desg]],Input[[#This Row],[M&amp;O Plnt R Exp]],Input[[#This Row],[M&amp;O Plnt Loan]],Input[[#This Row],[M&amp;O Plnt Annuity]],Input[[#This Row],[M&amp;O Plnt Unexp]],Input[[#This Row],[M&amp;O Plnt R of Ind]],Input[[#This Row],[M&amp;O Plnt Inv in P]])</f>
        <v>214812742</v>
      </c>
      <c r="VQ27" s="343">
        <f>SUM(Input[[#This Row],[Schl &amp; Fell E&amp;G]],Input[[#This Row],[Schl &amp; Fell Desg]],Input[[#This Row],[Schl &amp; Fell R Exp]],Input[[#This Row],[Schl &amp; Fell Loan]],Input[[#This Row],[Schl &amp; Fell Annuity]],Input[[#This Row],[Schl &amp; Fell Unexp]],Input[[#This Row],[Schl &amp; Fell R of Ind]],Input[[#This Row],[Schl &amp; Fell Inv in P]])</f>
        <v>148675602</v>
      </c>
      <c r="VR27" s="343">
        <f>SUM(Input[[#This Row],[Cap Out fund E&amp;G]],Input[[#This Row],[Cap Out fund Desg]],Input[[#This Row],[Cap Out fund R Exp]],Input[[#This Row],[Cap Out fund Loan]],Input[[#This Row],[Cap Out fund Annuity]],Input[[#This Row],[Cap Out fund Unexp]],Input[[#This Row],[Cap Out fund R of Ind]],Input[[#This Row],[Cap Out fund Inv in P]])</f>
        <v>33633150</v>
      </c>
      <c r="VS27" s="343">
        <f>SUM(Input[[#This Row],[Oth Exp E&amp;G]],Input[[#This Row],[Oth Exp Desg]],Input[[#This Row],[Oth Exp R Exp]],Input[[#This Row],[Oth Exp Loan]],Input[[#This Row],[Oth Exp Annuity]],Input[[#This Row],[Oth Exp Unexp]],Input[[#This Row],[Oth Exp R of Ind]],Input[[#This Row],[Oth Exp Inv in P]],Input[[#This Row],[Oth Exp Inv in P]])</f>
        <v>29437038</v>
      </c>
    </row>
    <row r="28" spans="1:591" s="344" customFormat="1" ht="27" customHeight="1" x14ac:dyDescent="0.55000000000000004">
      <c r="A28" s="339" t="s">
        <v>76</v>
      </c>
      <c r="B28" s="334" t="s">
        <v>830</v>
      </c>
      <c r="C28" s="334" t="s">
        <v>21</v>
      </c>
      <c r="D28" s="334">
        <v>223</v>
      </c>
      <c r="E28" s="334" t="s">
        <v>1622</v>
      </c>
      <c r="F28" s="335">
        <v>42295</v>
      </c>
      <c r="G28" s="336">
        <v>25626263</v>
      </c>
      <c r="H28" s="336">
        <v>0</v>
      </c>
      <c r="I28" s="336">
        <v>0</v>
      </c>
      <c r="J28" s="336">
        <v>0</v>
      </c>
      <c r="K28" s="336">
        <v>0</v>
      </c>
      <c r="L28" s="336">
        <v>0</v>
      </c>
      <c r="M28" s="336">
        <v>0</v>
      </c>
      <c r="N28" s="336">
        <v>0</v>
      </c>
      <c r="O28" s="336">
        <v>0</v>
      </c>
      <c r="P28" s="336">
        <v>691610</v>
      </c>
      <c r="Q28" s="336">
        <v>14000</v>
      </c>
      <c r="R28" s="336">
        <v>0</v>
      </c>
      <c r="S28" s="336">
        <v>19453</v>
      </c>
      <c r="T28" s="336">
        <v>0</v>
      </c>
      <c r="U28" s="336">
        <v>0</v>
      </c>
      <c r="V28" s="336">
        <v>0</v>
      </c>
      <c r="W28" s="336">
        <v>0</v>
      </c>
      <c r="X28" s="336">
        <v>0</v>
      </c>
      <c r="Y28" s="336">
        <v>0</v>
      </c>
      <c r="Z28" s="336">
        <v>0</v>
      </c>
      <c r="AA28" s="336">
        <v>0</v>
      </c>
      <c r="AB28" s="336">
        <v>0</v>
      </c>
      <c r="AC28" s="336">
        <v>0</v>
      </c>
      <c r="AD28" s="336">
        <v>0</v>
      </c>
      <c r="AE28" s="336">
        <v>0</v>
      </c>
      <c r="AF28" s="336">
        <v>0</v>
      </c>
      <c r="AG28" s="336">
        <v>0</v>
      </c>
      <c r="AH28" s="336">
        <v>0</v>
      </c>
      <c r="AI28" s="336">
        <v>0</v>
      </c>
      <c r="AJ28" s="336">
        <v>0</v>
      </c>
      <c r="AK28" s="336">
        <v>0</v>
      </c>
      <c r="AL28" s="336">
        <v>0</v>
      </c>
      <c r="AM28" s="336">
        <v>0</v>
      </c>
      <c r="AN28" s="336">
        <v>0</v>
      </c>
      <c r="AO28" s="336">
        <v>0</v>
      </c>
      <c r="AP28" s="336">
        <v>0</v>
      </c>
      <c r="AQ28" s="336">
        <v>-721915</v>
      </c>
      <c r="AR28" s="336">
        <v>0</v>
      </c>
      <c r="AS28" s="336">
        <v>0</v>
      </c>
      <c r="AT28" s="336">
        <v>0</v>
      </c>
      <c r="AU28" s="336">
        <v>0</v>
      </c>
      <c r="AV28" s="336">
        <v>0</v>
      </c>
      <c r="AW28" s="336">
        <v>0</v>
      </c>
      <c r="AX28" s="336">
        <v>0</v>
      </c>
      <c r="AY28" s="336">
        <v>0</v>
      </c>
      <c r="AZ28" s="336">
        <v>0</v>
      </c>
      <c r="BA28" s="336">
        <v>0</v>
      </c>
      <c r="BB28" s="336">
        <v>0</v>
      </c>
      <c r="BC28" s="336">
        <v>0</v>
      </c>
      <c r="BD28" s="336">
        <v>0</v>
      </c>
      <c r="BE28" s="336">
        <v>0</v>
      </c>
      <c r="BF28" s="336">
        <v>0</v>
      </c>
      <c r="BG28" s="336">
        <v>0</v>
      </c>
      <c r="BH28" s="336">
        <v>0</v>
      </c>
      <c r="BI28" s="336">
        <v>0</v>
      </c>
      <c r="BJ28" s="336">
        <v>0</v>
      </c>
      <c r="BK28" s="336">
        <v>0</v>
      </c>
      <c r="BL28" s="336">
        <v>0</v>
      </c>
      <c r="BM28" s="336">
        <v>0</v>
      </c>
      <c r="BN28" s="336">
        <v>0</v>
      </c>
      <c r="BO28" s="336">
        <v>0</v>
      </c>
      <c r="BP28" s="336">
        <v>0</v>
      </c>
      <c r="BQ28" s="336">
        <v>0</v>
      </c>
      <c r="BR28" s="336">
        <v>0</v>
      </c>
      <c r="BS28" s="336">
        <v>0</v>
      </c>
      <c r="BT28" s="336">
        <v>0</v>
      </c>
      <c r="BU28" s="336">
        <v>0</v>
      </c>
      <c r="BV28" s="336">
        <v>0</v>
      </c>
      <c r="BW28" s="336">
        <v>0</v>
      </c>
      <c r="BX28" s="336">
        <v>0</v>
      </c>
      <c r="BY28" s="336">
        <v>0</v>
      </c>
      <c r="BZ28" s="336">
        <v>0</v>
      </c>
      <c r="CA28" s="336">
        <v>3211794</v>
      </c>
      <c r="CB28" s="336">
        <v>11201972</v>
      </c>
      <c r="CC28" s="336">
        <v>0</v>
      </c>
      <c r="CD28" s="336">
        <v>0</v>
      </c>
      <c r="CE28" s="336">
        <v>0</v>
      </c>
      <c r="CF28" s="336">
        <v>0</v>
      </c>
      <c r="CG28" s="336">
        <v>0</v>
      </c>
      <c r="CH28" s="336">
        <v>0</v>
      </c>
      <c r="CI28" s="336">
        <v>0</v>
      </c>
      <c r="CJ28" s="336">
        <v>0</v>
      </c>
      <c r="CK28" s="336">
        <v>0</v>
      </c>
      <c r="CL28" s="336">
        <v>0</v>
      </c>
      <c r="CM28" s="336">
        <v>0</v>
      </c>
      <c r="CN28" s="336">
        <v>0</v>
      </c>
      <c r="CO28" s="336">
        <v>0</v>
      </c>
      <c r="CP28" s="336">
        <v>0</v>
      </c>
      <c r="CQ28" s="336">
        <v>0</v>
      </c>
      <c r="CR28" s="336">
        <v>0</v>
      </c>
      <c r="CS28" s="336">
        <v>0</v>
      </c>
      <c r="CT28" s="336">
        <v>0</v>
      </c>
      <c r="CU28" s="336">
        <v>0</v>
      </c>
      <c r="CV28" s="336">
        <v>0</v>
      </c>
      <c r="CW28" s="336">
        <v>0</v>
      </c>
      <c r="CX28" s="336">
        <v>0</v>
      </c>
      <c r="CY28" s="336">
        <v>0</v>
      </c>
      <c r="CZ28" s="336">
        <v>0</v>
      </c>
      <c r="DA28" s="336">
        <v>0</v>
      </c>
      <c r="DB28" s="336">
        <v>-232498</v>
      </c>
      <c r="DC28" s="336">
        <v>-1203672</v>
      </c>
      <c r="DD28" s="336">
        <v>0</v>
      </c>
      <c r="DE28" s="336">
        <v>0</v>
      </c>
      <c r="DF28" s="336">
        <v>0</v>
      </c>
      <c r="DG28" s="336">
        <v>0</v>
      </c>
      <c r="DH28" s="336">
        <v>0</v>
      </c>
      <c r="DI28" s="336">
        <v>0</v>
      </c>
      <c r="DJ28" s="336">
        <v>0</v>
      </c>
      <c r="DK28" s="336">
        <v>0</v>
      </c>
      <c r="DL28" s="336">
        <v>0</v>
      </c>
      <c r="DM28" s="336">
        <v>0</v>
      </c>
      <c r="DN28" s="336">
        <v>0</v>
      </c>
      <c r="DO28" s="336">
        <v>0</v>
      </c>
      <c r="DP28" s="336">
        <v>0</v>
      </c>
      <c r="DQ28" s="336">
        <v>0</v>
      </c>
      <c r="DR28" s="336">
        <v>0</v>
      </c>
      <c r="DS28" s="336">
        <v>0</v>
      </c>
      <c r="DT28" s="336">
        <v>-711102</v>
      </c>
      <c r="DU28" s="336">
        <v>-2087379</v>
      </c>
      <c r="DV28" s="336">
        <v>0</v>
      </c>
      <c r="DW28" s="336">
        <v>0</v>
      </c>
      <c r="DX28" s="336">
        <v>0</v>
      </c>
      <c r="DY28" s="336">
        <v>0</v>
      </c>
      <c r="DZ28" s="336">
        <v>0</v>
      </c>
      <c r="EA28" s="336">
        <v>0</v>
      </c>
      <c r="EB28" s="336">
        <v>0</v>
      </c>
      <c r="EC28" s="336">
        <v>0</v>
      </c>
      <c r="ED28" s="336">
        <v>0</v>
      </c>
      <c r="EE28" s="336">
        <v>0</v>
      </c>
      <c r="EF28" s="336">
        <v>0</v>
      </c>
      <c r="EG28" s="336">
        <v>0</v>
      </c>
      <c r="EH28" s="336">
        <v>0</v>
      </c>
      <c r="EI28" s="336">
        <v>0</v>
      </c>
      <c r="EJ28" s="336">
        <v>0</v>
      </c>
      <c r="EK28" s="336">
        <v>0</v>
      </c>
      <c r="EL28" s="336">
        <v>0</v>
      </c>
      <c r="EM28" s="336">
        <v>0</v>
      </c>
      <c r="EN28" s="336">
        <v>0</v>
      </c>
      <c r="EO28" s="336">
        <v>0</v>
      </c>
      <c r="EP28" s="336">
        <v>0</v>
      </c>
      <c r="EQ28" s="336">
        <v>0</v>
      </c>
      <c r="ER28" s="336">
        <v>0</v>
      </c>
      <c r="ES28" s="336">
        <v>0</v>
      </c>
      <c r="ET28" s="336">
        <v>0</v>
      </c>
      <c r="EU28" s="336">
        <v>0</v>
      </c>
      <c r="EV28" s="336">
        <v>0</v>
      </c>
      <c r="EW28" s="336">
        <v>0</v>
      </c>
      <c r="EX28" s="336">
        <v>0</v>
      </c>
      <c r="EY28" s="336">
        <v>0</v>
      </c>
      <c r="EZ28" s="336">
        <v>0</v>
      </c>
      <c r="FA28" s="336">
        <v>0</v>
      </c>
      <c r="FB28" s="336">
        <v>0</v>
      </c>
      <c r="FC28" s="336">
        <v>0</v>
      </c>
      <c r="FD28" s="336">
        <v>0</v>
      </c>
      <c r="FE28" s="336">
        <v>0</v>
      </c>
      <c r="FF28" s="336">
        <v>0</v>
      </c>
      <c r="FG28" s="336">
        <v>0</v>
      </c>
      <c r="FH28" s="336">
        <v>0</v>
      </c>
      <c r="FI28" s="336">
        <v>0</v>
      </c>
      <c r="FJ28" s="336">
        <v>0</v>
      </c>
      <c r="FK28" s="336">
        <v>0</v>
      </c>
      <c r="FL28" s="336">
        <v>0</v>
      </c>
      <c r="FM28" s="336">
        <v>29251</v>
      </c>
      <c r="FN28" s="336">
        <v>3858541</v>
      </c>
      <c r="FO28" s="336">
        <v>0</v>
      </c>
      <c r="FP28" s="336">
        <v>3360</v>
      </c>
      <c r="FQ28" s="336">
        <v>0</v>
      </c>
      <c r="FR28" s="336">
        <v>0</v>
      </c>
      <c r="FS28" s="336">
        <v>0</v>
      </c>
      <c r="FT28" s="336">
        <v>0</v>
      </c>
      <c r="FU28" s="336">
        <v>0</v>
      </c>
      <c r="FV28" s="336">
        <v>0</v>
      </c>
      <c r="FW28" s="336">
        <v>0</v>
      </c>
      <c r="FX28" s="336">
        <v>0</v>
      </c>
      <c r="FY28" s="336">
        <v>0</v>
      </c>
      <c r="FZ28" s="336">
        <v>0</v>
      </c>
      <c r="GA28" s="336">
        <v>0</v>
      </c>
      <c r="GB28" s="336">
        <v>0</v>
      </c>
      <c r="GC28" s="336">
        <v>0</v>
      </c>
      <c r="GD28" s="336">
        <v>0</v>
      </c>
      <c r="GE28" s="336">
        <v>0</v>
      </c>
      <c r="GF28" s="336">
        <v>0</v>
      </c>
      <c r="GG28" s="336">
        <v>0</v>
      </c>
      <c r="GH28" s="336">
        <v>0</v>
      </c>
      <c r="GI28" s="336">
        <v>0</v>
      </c>
      <c r="GJ28" s="336">
        <v>0</v>
      </c>
      <c r="GK28" s="336">
        <v>0</v>
      </c>
      <c r="GL28" s="336">
        <v>0</v>
      </c>
      <c r="GM28" s="336">
        <v>0</v>
      </c>
      <c r="GN28" s="336">
        <v>0</v>
      </c>
      <c r="GO28" s="336">
        <v>0</v>
      </c>
      <c r="GP28" s="336">
        <v>0</v>
      </c>
      <c r="GQ28" s="336">
        <v>0</v>
      </c>
      <c r="GR28" s="336">
        <v>0</v>
      </c>
      <c r="GS28" s="336">
        <v>0</v>
      </c>
      <c r="GT28" s="336">
        <v>0</v>
      </c>
      <c r="GU28" s="336">
        <v>0</v>
      </c>
      <c r="GV28" s="336">
        <v>0</v>
      </c>
      <c r="GW28" s="336">
        <v>0</v>
      </c>
      <c r="GX28" s="336">
        <v>0</v>
      </c>
      <c r="GY28" s="336">
        <v>0</v>
      </c>
      <c r="GZ28" s="336">
        <v>0</v>
      </c>
      <c r="HA28" s="336">
        <v>0</v>
      </c>
      <c r="HB28" s="336">
        <v>0</v>
      </c>
      <c r="HC28" s="336">
        <v>0</v>
      </c>
      <c r="HD28" s="336">
        <v>0</v>
      </c>
      <c r="HE28" s="336">
        <v>0</v>
      </c>
      <c r="HF28" s="336">
        <v>-8594</v>
      </c>
      <c r="HG28" s="336">
        <v>-1133609</v>
      </c>
      <c r="HH28" s="336">
        <v>0</v>
      </c>
      <c r="HI28" s="336">
        <v>0</v>
      </c>
      <c r="HJ28" s="336">
        <v>0</v>
      </c>
      <c r="HK28" s="336">
        <v>0</v>
      </c>
      <c r="HL28" s="336">
        <v>0</v>
      </c>
      <c r="HM28" s="336">
        <v>0</v>
      </c>
      <c r="HN28" s="336">
        <v>0</v>
      </c>
      <c r="HO28" s="336">
        <v>0</v>
      </c>
      <c r="HP28" s="336">
        <v>160174</v>
      </c>
      <c r="HQ28" s="336">
        <v>0</v>
      </c>
      <c r="HR28" s="336">
        <v>7865662</v>
      </c>
      <c r="HS28" s="336">
        <v>0</v>
      </c>
      <c r="HT28" s="336">
        <v>0</v>
      </c>
      <c r="HU28" s="336">
        <v>0</v>
      </c>
      <c r="HV28" s="336">
        <v>0</v>
      </c>
      <c r="HW28" s="336">
        <v>0</v>
      </c>
      <c r="HX28" s="336">
        <v>0</v>
      </c>
      <c r="HY28" s="336">
        <v>0</v>
      </c>
      <c r="HZ28" s="336">
        <v>0</v>
      </c>
      <c r="IA28" s="336">
        <v>0</v>
      </c>
      <c r="IB28" s="336">
        <v>0</v>
      </c>
      <c r="IC28" s="336">
        <v>0</v>
      </c>
      <c r="ID28" s="336">
        <v>0</v>
      </c>
      <c r="IE28" s="336">
        <v>0</v>
      </c>
      <c r="IF28" s="336">
        <v>0</v>
      </c>
      <c r="IG28" s="336">
        <v>0</v>
      </c>
      <c r="IH28" s="336">
        <v>0</v>
      </c>
      <c r="II28" s="336">
        <v>0</v>
      </c>
      <c r="IJ28" s="336">
        <v>0</v>
      </c>
      <c r="IK28" s="336">
        <v>0</v>
      </c>
      <c r="IL28" s="336">
        <v>0</v>
      </c>
      <c r="IM28" s="336">
        <v>0</v>
      </c>
      <c r="IN28" s="336">
        <v>0</v>
      </c>
      <c r="IO28" s="336">
        <v>0</v>
      </c>
      <c r="IP28" s="336">
        <v>55021</v>
      </c>
      <c r="IQ28" s="336">
        <v>1723572</v>
      </c>
      <c r="IR28" s="336">
        <v>0</v>
      </c>
      <c r="IS28" s="336">
        <v>8443</v>
      </c>
      <c r="IT28" s="336">
        <v>0</v>
      </c>
      <c r="IU28" s="336">
        <v>0</v>
      </c>
      <c r="IV28" s="336">
        <v>0</v>
      </c>
      <c r="IW28" s="336">
        <v>0</v>
      </c>
      <c r="IX28" s="336">
        <v>0</v>
      </c>
      <c r="IY28" s="336">
        <v>0</v>
      </c>
      <c r="IZ28" s="336">
        <v>0</v>
      </c>
      <c r="JA28" s="336">
        <v>0</v>
      </c>
      <c r="JB28" s="336">
        <v>0</v>
      </c>
      <c r="JC28" s="336">
        <v>0</v>
      </c>
      <c r="JD28" s="336">
        <v>0</v>
      </c>
      <c r="JE28" s="336">
        <v>0</v>
      </c>
      <c r="JF28" s="336">
        <v>0</v>
      </c>
      <c r="JG28" s="336">
        <v>0</v>
      </c>
      <c r="JH28" s="336">
        <v>0</v>
      </c>
      <c r="JI28" s="336">
        <v>279099</v>
      </c>
      <c r="JJ28" s="336">
        <v>0</v>
      </c>
      <c r="JK28" s="336">
        <v>790026</v>
      </c>
      <c r="JL28" s="336">
        <v>0</v>
      </c>
      <c r="JM28" s="336">
        <v>0</v>
      </c>
      <c r="JN28" s="336">
        <v>0</v>
      </c>
      <c r="JO28" s="336">
        <v>0</v>
      </c>
      <c r="JP28" s="336">
        <v>0</v>
      </c>
      <c r="JQ28" s="336">
        <v>0</v>
      </c>
      <c r="JR28" s="336">
        <v>490534</v>
      </c>
      <c r="JS28" s="336">
        <v>0</v>
      </c>
      <c r="JT28" s="336">
        <v>164639</v>
      </c>
      <c r="JU28" s="336">
        <v>0</v>
      </c>
      <c r="JV28" s="336">
        <v>0</v>
      </c>
      <c r="JW28" s="336">
        <v>0</v>
      </c>
      <c r="JX28" s="336">
        <v>0</v>
      </c>
      <c r="JY28" s="336">
        <v>0</v>
      </c>
      <c r="JZ28" s="336">
        <v>0</v>
      </c>
      <c r="KA28" s="336">
        <v>0</v>
      </c>
      <c r="KB28" s="336">
        <v>65103</v>
      </c>
      <c r="KC28" s="336">
        <v>0</v>
      </c>
      <c r="KD28" s="336">
        <v>0</v>
      </c>
      <c r="KE28" s="336">
        <v>0</v>
      </c>
      <c r="KF28" s="336">
        <v>0</v>
      </c>
      <c r="KG28" s="336">
        <v>0</v>
      </c>
      <c r="KH28" s="336">
        <v>0</v>
      </c>
      <c r="KI28" s="336">
        <v>29735</v>
      </c>
      <c r="KJ28" s="336">
        <v>66776</v>
      </c>
      <c r="KK28" s="336">
        <v>4235</v>
      </c>
      <c r="KL28" s="336">
        <v>16175</v>
      </c>
      <c r="KM28" s="336">
        <v>1696</v>
      </c>
      <c r="KN28" s="336">
        <v>0</v>
      </c>
      <c r="KO28" s="336">
        <v>0</v>
      </c>
      <c r="KP28" s="336">
        <v>0</v>
      </c>
      <c r="KQ28" s="336">
        <v>0</v>
      </c>
      <c r="KR28" s="336">
        <v>8846009</v>
      </c>
      <c r="KS28" s="336">
        <v>3928459</v>
      </c>
      <c r="KT28" s="336">
        <v>0</v>
      </c>
      <c r="KU28" s="336">
        <v>18968</v>
      </c>
      <c r="KV28" s="336">
        <v>0</v>
      </c>
      <c r="KW28" s="336">
        <v>0</v>
      </c>
      <c r="KX28" s="336">
        <v>0</v>
      </c>
      <c r="KY28" s="336">
        <v>0</v>
      </c>
      <c r="KZ28" s="336">
        <v>0</v>
      </c>
      <c r="LA28" s="336">
        <v>418143</v>
      </c>
      <c r="LB28" s="336">
        <v>272408</v>
      </c>
      <c r="LC28" s="336">
        <v>0</v>
      </c>
      <c r="LD28" s="336">
        <v>1547962</v>
      </c>
      <c r="LE28" s="336">
        <v>0</v>
      </c>
      <c r="LF28" s="336">
        <v>0</v>
      </c>
      <c r="LG28" s="336">
        <v>0</v>
      </c>
      <c r="LH28" s="336">
        <v>0</v>
      </c>
      <c r="LI28" s="336">
        <v>0</v>
      </c>
      <c r="LJ28" s="336">
        <v>0</v>
      </c>
      <c r="LK28" s="336">
        <v>7770</v>
      </c>
      <c r="LL28" s="336">
        <v>0</v>
      </c>
      <c r="LM28" s="336">
        <v>25000</v>
      </c>
      <c r="LN28" s="336">
        <v>0</v>
      </c>
      <c r="LO28" s="336">
        <v>0</v>
      </c>
      <c r="LP28" s="336">
        <v>0</v>
      </c>
      <c r="LQ28" s="336">
        <v>0</v>
      </c>
      <c r="LR28" s="336">
        <v>0</v>
      </c>
      <c r="LS28" s="336">
        <v>0</v>
      </c>
      <c r="LT28" s="336">
        <v>0</v>
      </c>
      <c r="LU28" s="336">
        <v>0</v>
      </c>
      <c r="LV28" s="336">
        <v>0</v>
      </c>
      <c r="LW28" s="336">
        <v>0</v>
      </c>
      <c r="LX28" s="336">
        <v>0</v>
      </c>
      <c r="LY28" s="336">
        <v>0</v>
      </c>
      <c r="LZ28" s="336">
        <v>0</v>
      </c>
      <c r="MA28" s="336">
        <v>0</v>
      </c>
      <c r="MB28" s="336">
        <v>2984707</v>
      </c>
      <c r="MC28" s="336">
        <v>4291223</v>
      </c>
      <c r="MD28" s="336">
        <v>0</v>
      </c>
      <c r="ME28" s="336">
        <v>577450</v>
      </c>
      <c r="MF28" s="336">
        <v>0</v>
      </c>
      <c r="MG28" s="336">
        <v>0</v>
      </c>
      <c r="MH28" s="336">
        <v>0</v>
      </c>
      <c r="MI28" s="336">
        <v>0</v>
      </c>
      <c r="MJ28" s="336">
        <v>0</v>
      </c>
      <c r="MK28" s="336">
        <v>3109243</v>
      </c>
      <c r="ML28" s="336">
        <v>4086216</v>
      </c>
      <c r="MM28" s="336">
        <v>0</v>
      </c>
      <c r="MN28" s="336">
        <v>365164</v>
      </c>
      <c r="MO28" s="336">
        <v>2388</v>
      </c>
      <c r="MP28" s="336">
        <v>0</v>
      </c>
      <c r="MQ28" s="336">
        <v>0</v>
      </c>
      <c r="MR28" s="336">
        <v>0</v>
      </c>
      <c r="MS28" s="336">
        <v>0</v>
      </c>
      <c r="MT28" s="336">
        <v>2932643</v>
      </c>
      <c r="MU28" s="336">
        <v>2239914</v>
      </c>
      <c r="MV28" s="336">
        <v>0</v>
      </c>
      <c r="MW28" s="336">
        <v>70950</v>
      </c>
      <c r="MX28" s="336">
        <v>0</v>
      </c>
      <c r="MY28" s="336">
        <v>0</v>
      </c>
      <c r="MZ28" s="336">
        <v>0</v>
      </c>
      <c r="NA28" s="336">
        <v>0</v>
      </c>
      <c r="NB28" s="336">
        <v>0</v>
      </c>
      <c r="NC28" s="336">
        <v>1098771</v>
      </c>
      <c r="ND28" s="336">
        <v>1836999</v>
      </c>
      <c r="NE28" s="336">
        <v>0</v>
      </c>
      <c r="NF28" s="336">
        <v>16491</v>
      </c>
      <c r="NG28" s="336">
        <v>0</v>
      </c>
      <c r="NH28" s="336">
        <v>0</v>
      </c>
      <c r="NI28" s="336">
        <v>0</v>
      </c>
      <c r="NJ28" s="336">
        <v>0</v>
      </c>
      <c r="NK28" s="336">
        <v>0</v>
      </c>
      <c r="NL28" s="336">
        <v>506081</v>
      </c>
      <c r="NM28" s="336">
        <v>2034474</v>
      </c>
      <c r="NN28" s="336">
        <v>0</v>
      </c>
      <c r="NO28" s="336">
        <v>2307987</v>
      </c>
      <c r="NP28" s="336">
        <v>0</v>
      </c>
      <c r="NQ28" s="336">
        <v>0</v>
      </c>
      <c r="NR28" s="336">
        <v>0</v>
      </c>
      <c r="NS28" s="336">
        <v>0</v>
      </c>
      <c r="NT28" s="336">
        <v>0</v>
      </c>
      <c r="NU28" s="336">
        <v>0</v>
      </c>
      <c r="NV28" s="336">
        <v>0</v>
      </c>
      <c r="NW28" s="336">
        <v>65114</v>
      </c>
      <c r="NX28" s="336">
        <v>0</v>
      </c>
      <c r="NY28" s="336">
        <v>0</v>
      </c>
      <c r="NZ28" s="336">
        <v>0</v>
      </c>
      <c r="OA28" s="336">
        <v>0</v>
      </c>
      <c r="OB28" s="336">
        <v>0</v>
      </c>
      <c r="OC28" s="336">
        <v>0</v>
      </c>
      <c r="OD28" s="336">
        <v>10247</v>
      </c>
      <c r="OE28" s="336">
        <v>119728</v>
      </c>
      <c r="OF28" s="336">
        <v>0</v>
      </c>
      <c r="OG28" s="336">
        <v>46038</v>
      </c>
      <c r="OH28" s="336">
        <v>0</v>
      </c>
      <c r="OI28" s="336">
        <v>0</v>
      </c>
      <c r="OJ28" s="336">
        <v>0</v>
      </c>
      <c r="OK28" s="336">
        <v>0</v>
      </c>
      <c r="OL28" s="336">
        <v>0</v>
      </c>
      <c r="OM28" s="336">
        <v>26402</v>
      </c>
      <c r="ON28" s="336">
        <v>76772</v>
      </c>
      <c r="OO28" s="336">
        <v>0</v>
      </c>
      <c r="OP28" s="336">
        <v>0</v>
      </c>
      <c r="OQ28" s="336">
        <v>0</v>
      </c>
      <c r="OR28" s="336">
        <v>0</v>
      </c>
      <c r="OS28" s="336">
        <v>0</v>
      </c>
      <c r="OT28" s="336">
        <v>0</v>
      </c>
      <c r="OU28" s="336">
        <v>0</v>
      </c>
      <c r="OV28" s="336">
        <v>0</v>
      </c>
      <c r="OW28" s="336">
        <v>0</v>
      </c>
      <c r="OX28" s="336">
        <v>0</v>
      </c>
      <c r="OY28" s="336">
        <v>0</v>
      </c>
      <c r="OZ28" s="336">
        <v>0</v>
      </c>
      <c r="PA28" s="336">
        <v>0</v>
      </c>
      <c r="PB28" s="336">
        <v>0</v>
      </c>
      <c r="PC28" s="336">
        <v>0</v>
      </c>
      <c r="PD28" s="336">
        <v>0</v>
      </c>
      <c r="PE28" s="336">
        <v>165596</v>
      </c>
      <c r="PF28" s="336">
        <v>10714671</v>
      </c>
      <c r="PG28" s="336">
        <v>0</v>
      </c>
      <c r="PH28" s="336">
        <v>-3369979</v>
      </c>
      <c r="PI28" s="336">
        <v>-444396</v>
      </c>
      <c r="PJ28" s="336">
        <v>5242</v>
      </c>
      <c r="PK28" s="336">
        <v>0</v>
      </c>
      <c r="PL28" s="336">
        <v>0</v>
      </c>
      <c r="PM28" s="336">
        <v>0</v>
      </c>
      <c r="PN28" s="336">
        <v>0</v>
      </c>
      <c r="PO28" s="336">
        <v>0</v>
      </c>
      <c r="PP28" s="336">
        <v>0</v>
      </c>
      <c r="PQ28" s="336">
        <v>0</v>
      </c>
      <c r="PR28" s="336">
        <v>0</v>
      </c>
      <c r="PS28" s="336">
        <v>0</v>
      </c>
      <c r="PT28" s="336">
        <v>0</v>
      </c>
      <c r="PU28" s="336">
        <v>0</v>
      </c>
      <c r="PV28" s="336">
        <v>0</v>
      </c>
      <c r="PW28" s="336">
        <v>-8452329</v>
      </c>
      <c r="PX28" s="336">
        <v>0</v>
      </c>
      <c r="PY28" s="336">
        <v>0</v>
      </c>
      <c r="PZ28" s="336">
        <v>0</v>
      </c>
      <c r="QA28" s="336">
        <v>0</v>
      </c>
      <c r="QB28" s="336">
        <v>0</v>
      </c>
      <c r="QC28" s="336">
        <v>0</v>
      </c>
      <c r="QD28" s="336">
        <v>0</v>
      </c>
      <c r="QE28" s="336">
        <v>0</v>
      </c>
      <c r="QF28" s="336">
        <v>0</v>
      </c>
      <c r="QG28" s="336">
        <v>1756656</v>
      </c>
      <c r="QH28" s="336">
        <v>0</v>
      </c>
      <c r="QI28" s="336">
        <v>0</v>
      </c>
      <c r="QJ28" s="336">
        <v>0</v>
      </c>
      <c r="QK28" s="336">
        <v>77662</v>
      </c>
      <c r="QL28" s="336">
        <v>0</v>
      </c>
      <c r="QM28" s="336">
        <v>0</v>
      </c>
      <c r="QN28" s="336">
        <v>0</v>
      </c>
      <c r="QO28" s="336">
        <v>0</v>
      </c>
      <c r="QP28" s="336">
        <v>0</v>
      </c>
      <c r="QQ28" s="336">
        <v>0</v>
      </c>
      <c r="QR28" s="336">
        <v>0</v>
      </c>
      <c r="QS28" s="336">
        <v>0</v>
      </c>
      <c r="QT28" s="336">
        <v>1600</v>
      </c>
      <c r="QU28" s="336">
        <v>0</v>
      </c>
      <c r="QV28" s="336">
        <v>0</v>
      </c>
      <c r="QW28" s="336">
        <v>0</v>
      </c>
      <c r="QX28" s="336">
        <v>0</v>
      </c>
      <c r="QY28" s="336">
        <v>0</v>
      </c>
      <c r="QZ28" s="336">
        <v>0</v>
      </c>
      <c r="RA28" s="336">
        <v>0</v>
      </c>
      <c r="RB28" s="336">
        <v>0</v>
      </c>
      <c r="RC28" s="336">
        <v>0</v>
      </c>
      <c r="RD28" s="336">
        <v>0</v>
      </c>
      <c r="RE28" s="336">
        <v>0</v>
      </c>
      <c r="RF28" s="336">
        <v>0</v>
      </c>
      <c r="RG28" s="336">
        <v>0</v>
      </c>
      <c r="RH28" s="336">
        <v>0</v>
      </c>
      <c r="RI28" s="336">
        <v>0</v>
      </c>
      <c r="RJ28" s="336">
        <v>0</v>
      </c>
      <c r="RK28" s="336">
        <v>0</v>
      </c>
      <c r="RL28" s="336">
        <v>0</v>
      </c>
      <c r="RM28" s="336">
        <v>0</v>
      </c>
      <c r="RN28" s="336">
        <v>0</v>
      </c>
      <c r="RO28" s="336">
        <v>-5909235</v>
      </c>
      <c r="RP28" s="336">
        <v>0</v>
      </c>
      <c r="RQ28" s="336">
        <v>0</v>
      </c>
      <c r="RR28" s="336">
        <v>0</v>
      </c>
      <c r="RS28" s="336">
        <v>0</v>
      </c>
      <c r="RT28" s="336">
        <v>0</v>
      </c>
      <c r="RU28" s="336">
        <v>0</v>
      </c>
      <c r="RV28" s="336">
        <v>0</v>
      </c>
      <c r="RW28" s="336">
        <v>0</v>
      </c>
      <c r="RX28" s="336">
        <v>0</v>
      </c>
      <c r="RY28" s="336">
        <v>0</v>
      </c>
      <c r="RZ28" s="336">
        <v>0</v>
      </c>
      <c r="SA28" s="336">
        <v>0</v>
      </c>
      <c r="SB28" s="336">
        <v>0</v>
      </c>
      <c r="SC28" s="336">
        <v>0</v>
      </c>
      <c r="SD28" s="336">
        <v>0</v>
      </c>
      <c r="SE28" s="336">
        <v>0</v>
      </c>
      <c r="SF28" s="336">
        <v>0</v>
      </c>
      <c r="SG28" s="336">
        <v>0</v>
      </c>
      <c r="SH28" s="336">
        <v>0</v>
      </c>
      <c r="SI28" s="336">
        <v>0</v>
      </c>
      <c r="SJ28" s="336">
        <v>0</v>
      </c>
      <c r="SK28" s="336">
        <v>0</v>
      </c>
      <c r="SL28" s="336">
        <v>0</v>
      </c>
      <c r="SM28" s="336">
        <v>0</v>
      </c>
      <c r="SN28" s="336">
        <v>0</v>
      </c>
      <c r="SO28" s="336">
        <v>0</v>
      </c>
      <c r="SP28" s="336">
        <v>1989</v>
      </c>
      <c r="SQ28" s="336">
        <v>10247</v>
      </c>
      <c r="SR28" s="336">
        <v>119728</v>
      </c>
      <c r="SS28" s="336">
        <v>0</v>
      </c>
      <c r="ST28" s="336">
        <v>46038</v>
      </c>
      <c r="SU28" s="336">
        <v>0</v>
      </c>
      <c r="SV28" s="336">
        <v>0</v>
      </c>
      <c r="SW28" s="336">
        <v>0</v>
      </c>
      <c r="SX28" s="336">
        <v>0</v>
      </c>
      <c r="SY28" s="336">
        <v>0</v>
      </c>
      <c r="SZ28" s="336" t="s">
        <v>1420</v>
      </c>
      <c r="TA28" s="336" t="s">
        <v>1420</v>
      </c>
      <c r="TB28" s="336" t="s">
        <v>1420</v>
      </c>
      <c r="TC28" s="336">
        <v>45962</v>
      </c>
      <c r="TD28" s="336">
        <v>26915</v>
      </c>
      <c r="TE28" s="336">
        <v>0</v>
      </c>
      <c r="TF28" s="336">
        <v>0</v>
      </c>
      <c r="TG28" s="336">
        <v>54426</v>
      </c>
      <c r="TH28" s="336">
        <v>10247</v>
      </c>
      <c r="TI28" s="336">
        <v>38463</v>
      </c>
      <c r="TJ28" s="336">
        <v>0</v>
      </c>
      <c r="TK28" s="336">
        <v>0</v>
      </c>
      <c r="TL28" s="336">
        <v>0</v>
      </c>
      <c r="TM28" s="336">
        <v>0</v>
      </c>
      <c r="TN28" s="336">
        <v>0</v>
      </c>
      <c r="TO28" s="336">
        <v>472453</v>
      </c>
      <c r="TP28" s="336">
        <v>0</v>
      </c>
      <c r="TQ28" s="336">
        <v>0</v>
      </c>
      <c r="TR28" s="336">
        <v>0</v>
      </c>
      <c r="TS28" s="336">
        <v>0</v>
      </c>
      <c r="TT28" s="336">
        <v>0</v>
      </c>
      <c r="TU28" s="336">
        <v>0</v>
      </c>
      <c r="TV28" s="336">
        <v>0</v>
      </c>
      <c r="TW28" s="336">
        <v>0</v>
      </c>
      <c r="TX28" s="336">
        <v>0</v>
      </c>
      <c r="TY28" s="336">
        <v>0</v>
      </c>
      <c r="TZ28" s="336">
        <v>0</v>
      </c>
      <c r="UA28" s="336">
        <v>0</v>
      </c>
      <c r="UB28" s="336">
        <v>0</v>
      </c>
      <c r="UC28" s="336">
        <v>0</v>
      </c>
      <c r="UD28" s="336">
        <v>0</v>
      </c>
      <c r="UE28" s="336">
        <v>0</v>
      </c>
      <c r="UF28" s="336">
        <v>0</v>
      </c>
      <c r="UG28" s="336">
        <v>0</v>
      </c>
      <c r="UH28" s="336">
        <v>12793436</v>
      </c>
      <c r="UI28" s="338">
        <v>2238513</v>
      </c>
      <c r="UJ28" s="338">
        <v>32770</v>
      </c>
      <c r="UK28" s="338">
        <v>0</v>
      </c>
      <c r="UL28" s="338">
        <v>7853380</v>
      </c>
      <c r="UM28" s="338">
        <v>7563011</v>
      </c>
      <c r="UN28" s="338">
        <v>5243507</v>
      </c>
      <c r="UO28" s="338">
        <v>2952261</v>
      </c>
      <c r="UP28" s="338">
        <v>4848542</v>
      </c>
      <c r="UQ28" s="338">
        <v>65114</v>
      </c>
      <c r="UR28"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176013</v>
      </c>
      <c r="US28" s="338">
        <f>SUM(Input[[#This Row],[Oth Exp E&amp;G]],Input[[#This Row],[Oth Exp Desg]],Input[[#This Row],[Oth Exp Aux]],Input[[#This Row],[Oth Exp R Exp]],Input[[#This Row],[Oth Exp Loan]],Input[[#This Row],[Oth Exp Annuity]],Input[[#This Row],[Oth Exp Unexp]],Input[[#This Row],[Oth Exp R of Ind]],Input[[#This Row],[Oth Exp Inv in P]])</f>
        <v>103174</v>
      </c>
      <c r="UT28" s="336">
        <v>5749364</v>
      </c>
      <c r="UU28" s="336">
        <v>1834318</v>
      </c>
      <c r="UV28" s="339" t="s">
        <v>1432</v>
      </c>
      <c r="UW28" s="340">
        <v>9798459761</v>
      </c>
      <c r="UX28" s="339" t="s">
        <v>1433</v>
      </c>
      <c r="UY28" s="339" t="s">
        <v>1451</v>
      </c>
      <c r="UZ28" s="340">
        <v>2545195433</v>
      </c>
      <c r="VA28" s="339" t="s">
        <v>1452</v>
      </c>
      <c r="VB28" s="341" cm="1">
        <f t="array" ref="VB28">IFERROR(_xlfn.IFS(Input[[#This Row],[Type]]="HRI",VLOOKUP(Input[[#This Row],[Institution Name]],FTSEHRI[],9,FALSE),Input[[#This Row],[Type]]="UNIV",VLOOKUP(Input[[#This Row],[Institution Name]],FTSEUNIV[],9,FALSE),OR(Input[[#This Row],[Type]]="TSTC",Input[[#This Row],[Type]]="LSC"),VLOOKUP(Input[[#This Row],[Institution Name]],FTSETSTC[],8,FALSE)),"N/A")</f>
        <v>1689.82</v>
      </c>
      <c r="VC28" s="342" t="str" cm="1">
        <f t="array" ref="VC28">IFERROR(_xlfn.IFS(Input[[#This Row],[Type]]="HRI",VLOOKUP(Input[[#This Row],[Institution Name]],FTSEHRI[],11,FALSE),Input[[#This Row],[Type]]="UNIV",VLOOKUP(Input[[#This Row],[Institution Name]],FTSEUNIV[],11,FALSE),Input[[#This Row],[Type]]="TSTC",VLOOKUP(Input[[#This Row],[Institution Name]],FTSETSTC[],10,FALSE)),"N/A")</f>
        <v>N/A</v>
      </c>
      <c r="VD28"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26351326</v>
      </c>
      <c r="VE28"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28" s="338">
        <f>SUM(Input[[#This Row],[Fed G&amp;C E&amp;G]],Input[[#This Row],[Fed G&amp;C Desg]],Input[[#This Row],[Fed G&amp;C R Exp]],Input[[#This Row],[Fed G&amp;C Loan]],Input[[#This Row],[Fed G&amp;C Annuity]],Input[[#This Row],[Fed G&amp;C Unexp]],Input[[#This Row],[Fed G&amp;C R of Ind]],Input[[#This Row],[Fed G&amp;C Inv in P]])</f>
        <v>8025836</v>
      </c>
      <c r="VG28"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3625716</v>
      </c>
      <c r="VH28"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10179115</v>
      </c>
      <c r="VI28"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2745589</v>
      </c>
      <c r="VJ28" s="338">
        <f>SUM(Input[[#This Row],[Oth Inc E&amp;G]],Input[[#This Row],[Oth Exp Desg]],Input[[#This Row],[Oth Exp R Exp]],Input[[#This Row],[Oth Exp Loan]],Input[[#This Row],[Oth Exp Annuity]],Input[[#This Row],[Oth Exp Unexp]],Input[[#This Row],[Oth Exp R of Ind]],Input[[#This Row],[Oth Exp Inv in P]])</f>
        <v>106507</v>
      </c>
      <c r="VK28" s="343">
        <f>SUM(Input[[#This Row],[Instr E&amp;G]],Input[[#This Row],[Instr Desg]],Input[[#This Row],[Instr R Exp]],Input[[#This Row],[Instr Loan]],Input[[#This Row],[Instr Annuity]],Input[[#This Row],[Instr Unexp]],Input[[#This Row],[Instr R of Ind]],Input[[#This Row],[Instr Inv in P]])</f>
        <v>12793436</v>
      </c>
      <c r="VL28" s="343">
        <f>SUM(Input[[#This Row],[Res E&amp;G]],Input[[#This Row],[Res Desg]],Input[[#This Row],[Res R Exp]],Input[[#This Row],[Res Loan]],Input[[#This Row],[Res Annuity]],Input[[#This Row],[Res Unexp]],Input[[#This Row],[Res R of Ind]],Input[[#This Row],[Res Inv in P]])</f>
        <v>2238513</v>
      </c>
      <c r="VM28" s="343">
        <f>SUM(Input[[#This Row],[Acad Sup E&amp;G]],Input[[#This Row],[Acad Sup Desg]],Input[[#This Row],[Acad Sup R Exp]],Input[[#This Row],[Acad Sup Loan]],Input[[#This Row],[Acad Sup Annuity]],Input[[#This Row],[Acad Sup Unexp]],Input[[#This Row],[Acad Sup R of Ind]],Input[[#This Row],[Acad Sup Inv in P]])</f>
        <v>7853380</v>
      </c>
      <c r="VN28" s="343">
        <f>SUM(Input[[#This Row],[Stu Svc E&amp;G]],Input[[#This Row],[Stu Svc Desg]],Input[[#This Row],[Stu Svc R Exp]],Input[[#This Row],[Stu Svc Loan]],Input[[#This Row],[Stu Svc Annuity]],Input[[#This Row],[Stu Svc Unexp]],Input[[#This Row],[Stu Svc R of Ind]],Input[[#This Row],[Stu Svc Inv in P]])</f>
        <v>7563011</v>
      </c>
      <c r="VO28" s="343">
        <f>SUM(Input[[#This Row],[Inst. Spt E&amp;G]],Input[[#This Row],[Inst. Spt Desg]],Input[[#This Row],[Inst. Spt R Exp]],Input[[#This Row],[Inst. Spt Loan]],Input[[#This Row],[Inst. Spt Annuity]],Input[[#This Row],[Inst. Spt Unexp]],Input[[#This Row],[Inst. Spt R of Ind]],Input[[#This Row],[Inst. Spt Inv in P]])</f>
        <v>5243507</v>
      </c>
      <c r="VP28" s="343">
        <f>SUM(Input[[#This Row],[M&amp;O Plnt E&amp;G]],Input[[#This Row],[M&amp;O Plnt Desg]],Input[[#This Row],[M&amp;O Plnt R Exp]],Input[[#This Row],[M&amp;O Plnt Loan]],Input[[#This Row],[M&amp;O Plnt Annuity]],Input[[#This Row],[M&amp;O Plnt Unexp]],Input[[#This Row],[M&amp;O Plnt R of Ind]],Input[[#This Row],[M&amp;O Plnt Inv in P]])</f>
        <v>2952261</v>
      </c>
      <c r="VQ28" s="343">
        <f>SUM(Input[[#This Row],[Schl &amp; Fell E&amp;G]],Input[[#This Row],[Schl &amp; Fell Desg]],Input[[#This Row],[Schl &amp; Fell R Exp]],Input[[#This Row],[Schl &amp; Fell Loan]],Input[[#This Row],[Schl &amp; Fell Annuity]],Input[[#This Row],[Schl &amp; Fell Unexp]],Input[[#This Row],[Schl &amp; Fell R of Ind]],Input[[#This Row],[Schl &amp; Fell Inv in P]])</f>
        <v>4848542</v>
      </c>
      <c r="VR28" s="343">
        <f>SUM(Input[[#This Row],[Cap Out fund E&amp;G]],Input[[#This Row],[Cap Out fund Desg]],Input[[#This Row],[Cap Out fund R Exp]],Input[[#This Row],[Cap Out fund Loan]],Input[[#This Row],[Cap Out fund Annuity]],Input[[#This Row],[Cap Out fund Unexp]],Input[[#This Row],[Cap Out fund R of Ind]],Input[[#This Row],[Cap Out fund Inv in P]])</f>
        <v>176013</v>
      </c>
      <c r="VS28" s="343">
        <f>SUM(Input[[#This Row],[Oth Exp E&amp;G]],Input[[#This Row],[Oth Exp Desg]],Input[[#This Row],[Oth Exp R Exp]],Input[[#This Row],[Oth Exp Loan]],Input[[#This Row],[Oth Exp Annuity]],Input[[#This Row],[Oth Exp Unexp]],Input[[#This Row],[Oth Exp R of Ind]],Input[[#This Row],[Oth Exp Inv in P]],Input[[#This Row],[Oth Exp Inv in P]])</f>
        <v>103174</v>
      </c>
    </row>
    <row r="29" spans="1:591" s="344" customFormat="1" ht="27" customHeight="1" x14ac:dyDescent="0.55000000000000004">
      <c r="A29" s="339" t="s">
        <v>70</v>
      </c>
      <c r="B29" s="334" t="s">
        <v>830</v>
      </c>
      <c r="C29" s="334" t="s">
        <v>21</v>
      </c>
      <c r="D29" s="334">
        <v>170</v>
      </c>
      <c r="E29" s="334" t="s">
        <v>1623</v>
      </c>
      <c r="F29" s="335">
        <v>11161</v>
      </c>
      <c r="G29" s="336">
        <v>75328398</v>
      </c>
      <c r="H29" s="336">
        <v>0</v>
      </c>
      <c r="I29" s="336">
        <v>0</v>
      </c>
      <c r="J29" s="336">
        <v>0</v>
      </c>
      <c r="K29" s="336">
        <v>0</v>
      </c>
      <c r="L29" s="336">
        <v>0</v>
      </c>
      <c r="M29" s="336">
        <v>0</v>
      </c>
      <c r="N29" s="336">
        <v>0</v>
      </c>
      <c r="O29" s="336">
        <v>0</v>
      </c>
      <c r="P29" s="336">
        <v>119371</v>
      </c>
      <c r="Q29" s="336">
        <v>135445</v>
      </c>
      <c r="R29" s="336">
        <v>0</v>
      </c>
      <c r="S29" s="336">
        <v>10080048</v>
      </c>
      <c r="T29" s="336">
        <v>0</v>
      </c>
      <c r="U29" s="336">
        <v>0</v>
      </c>
      <c r="V29" s="336">
        <v>0</v>
      </c>
      <c r="W29" s="336">
        <v>0</v>
      </c>
      <c r="X29" s="336">
        <v>0</v>
      </c>
      <c r="Y29" s="336">
        <v>11825139</v>
      </c>
      <c r="Z29" s="336">
        <v>0</v>
      </c>
      <c r="AA29" s="336">
        <v>0</v>
      </c>
      <c r="AB29" s="336">
        <v>0</v>
      </c>
      <c r="AC29" s="336">
        <v>0</v>
      </c>
      <c r="AD29" s="336">
        <v>0</v>
      </c>
      <c r="AE29" s="336">
        <v>0</v>
      </c>
      <c r="AF29" s="336">
        <v>0</v>
      </c>
      <c r="AG29" s="336">
        <v>0</v>
      </c>
      <c r="AH29" s="336">
        <v>0</v>
      </c>
      <c r="AI29" s="336">
        <v>0</v>
      </c>
      <c r="AJ29" s="336">
        <v>0</v>
      </c>
      <c r="AK29" s="336">
        <v>0</v>
      </c>
      <c r="AL29" s="336">
        <v>0</v>
      </c>
      <c r="AM29" s="336">
        <v>0</v>
      </c>
      <c r="AN29" s="336">
        <v>0</v>
      </c>
      <c r="AO29" s="336">
        <v>0</v>
      </c>
      <c r="AP29" s="336">
        <v>0</v>
      </c>
      <c r="AQ29" s="336">
        <v>-4659783</v>
      </c>
      <c r="AR29" s="336">
        <v>0</v>
      </c>
      <c r="AS29" s="336">
        <v>0</v>
      </c>
      <c r="AT29" s="336">
        <v>0</v>
      </c>
      <c r="AU29" s="336">
        <v>0</v>
      </c>
      <c r="AV29" s="336">
        <v>0</v>
      </c>
      <c r="AW29" s="336">
        <v>0</v>
      </c>
      <c r="AX29" s="336">
        <v>0</v>
      </c>
      <c r="AY29" s="336">
        <v>0</v>
      </c>
      <c r="AZ29" s="336">
        <v>0</v>
      </c>
      <c r="BA29" s="336">
        <v>0</v>
      </c>
      <c r="BB29" s="336">
        <v>0</v>
      </c>
      <c r="BC29" s="336">
        <v>0</v>
      </c>
      <c r="BD29" s="336">
        <v>0</v>
      </c>
      <c r="BE29" s="336">
        <v>0</v>
      </c>
      <c r="BF29" s="336">
        <v>0</v>
      </c>
      <c r="BG29" s="336">
        <v>0</v>
      </c>
      <c r="BH29" s="336">
        <v>0</v>
      </c>
      <c r="BI29" s="336">
        <v>0</v>
      </c>
      <c r="BJ29" s="336">
        <v>0</v>
      </c>
      <c r="BK29" s="336">
        <v>0</v>
      </c>
      <c r="BL29" s="336">
        <v>0</v>
      </c>
      <c r="BM29" s="336">
        <v>0</v>
      </c>
      <c r="BN29" s="336">
        <v>0</v>
      </c>
      <c r="BO29" s="336">
        <v>0</v>
      </c>
      <c r="BP29" s="336">
        <v>0</v>
      </c>
      <c r="BQ29" s="336">
        <v>0</v>
      </c>
      <c r="BR29" s="336">
        <v>0</v>
      </c>
      <c r="BS29" s="336">
        <v>0</v>
      </c>
      <c r="BT29" s="336">
        <v>0</v>
      </c>
      <c r="BU29" s="336">
        <v>0</v>
      </c>
      <c r="BV29" s="336">
        <v>0</v>
      </c>
      <c r="BW29" s="336">
        <v>0</v>
      </c>
      <c r="BX29" s="336">
        <v>0</v>
      </c>
      <c r="BY29" s="336">
        <v>0</v>
      </c>
      <c r="BZ29" s="336">
        <v>0</v>
      </c>
      <c r="CA29" s="336">
        <v>19704112</v>
      </c>
      <c r="CB29" s="336">
        <v>37766429</v>
      </c>
      <c r="CC29" s="336">
        <v>0</v>
      </c>
      <c r="CD29" s="336">
        <v>0</v>
      </c>
      <c r="CE29" s="336">
        <v>0</v>
      </c>
      <c r="CF29" s="336">
        <v>0</v>
      </c>
      <c r="CG29" s="336">
        <v>0</v>
      </c>
      <c r="CH29" s="336">
        <v>0</v>
      </c>
      <c r="CI29" s="336">
        <v>0</v>
      </c>
      <c r="CJ29" s="336">
        <v>-149570</v>
      </c>
      <c r="CK29" s="336">
        <v>-52291</v>
      </c>
      <c r="CL29" s="336">
        <v>0</v>
      </c>
      <c r="CM29" s="336">
        <v>0</v>
      </c>
      <c r="CN29" s="336">
        <v>0</v>
      </c>
      <c r="CO29" s="336">
        <v>0</v>
      </c>
      <c r="CP29" s="336">
        <v>0</v>
      </c>
      <c r="CQ29" s="336">
        <v>0</v>
      </c>
      <c r="CR29" s="336">
        <v>0</v>
      </c>
      <c r="CS29" s="336">
        <v>0</v>
      </c>
      <c r="CT29" s="336">
        <v>0</v>
      </c>
      <c r="CU29" s="336">
        <v>0</v>
      </c>
      <c r="CV29" s="336">
        <v>0</v>
      </c>
      <c r="CW29" s="336">
        <v>0</v>
      </c>
      <c r="CX29" s="336">
        <v>0</v>
      </c>
      <c r="CY29" s="336">
        <v>0</v>
      </c>
      <c r="CZ29" s="336">
        <v>0</v>
      </c>
      <c r="DA29" s="336">
        <v>0</v>
      </c>
      <c r="DB29" s="336">
        <v>-1223612</v>
      </c>
      <c r="DC29" s="336">
        <v>-3289041</v>
      </c>
      <c r="DD29" s="336">
        <v>0</v>
      </c>
      <c r="DE29" s="336">
        <v>0</v>
      </c>
      <c r="DF29" s="336">
        <v>0</v>
      </c>
      <c r="DG29" s="336">
        <v>0</v>
      </c>
      <c r="DH29" s="336">
        <v>0</v>
      </c>
      <c r="DI29" s="336">
        <v>0</v>
      </c>
      <c r="DJ29" s="336">
        <v>0</v>
      </c>
      <c r="DK29" s="336">
        <v>0</v>
      </c>
      <c r="DL29" s="336">
        <v>0</v>
      </c>
      <c r="DM29" s="336">
        <v>0</v>
      </c>
      <c r="DN29" s="336">
        <v>0</v>
      </c>
      <c r="DO29" s="336">
        <v>0</v>
      </c>
      <c r="DP29" s="336">
        <v>0</v>
      </c>
      <c r="DQ29" s="336">
        <v>0</v>
      </c>
      <c r="DR29" s="336">
        <v>0</v>
      </c>
      <c r="DS29" s="336">
        <v>0</v>
      </c>
      <c r="DT29" s="336">
        <v>-4181361</v>
      </c>
      <c r="DU29" s="336">
        <v>-7304936</v>
      </c>
      <c r="DV29" s="336">
        <v>0</v>
      </c>
      <c r="DW29" s="336">
        <v>0</v>
      </c>
      <c r="DX29" s="336">
        <v>0</v>
      </c>
      <c r="DY29" s="336">
        <v>0</v>
      </c>
      <c r="DZ29" s="336">
        <v>0</v>
      </c>
      <c r="EA29" s="336">
        <v>0</v>
      </c>
      <c r="EB29" s="336">
        <v>0</v>
      </c>
      <c r="EC29" s="336">
        <v>0</v>
      </c>
      <c r="ED29" s="336">
        <v>0</v>
      </c>
      <c r="EE29" s="336">
        <v>0</v>
      </c>
      <c r="EF29" s="336">
        <v>0</v>
      </c>
      <c r="EG29" s="336">
        <v>0</v>
      </c>
      <c r="EH29" s="336">
        <v>0</v>
      </c>
      <c r="EI29" s="336">
        <v>0</v>
      </c>
      <c r="EJ29" s="336">
        <v>0</v>
      </c>
      <c r="EK29" s="336">
        <v>0</v>
      </c>
      <c r="EL29" s="336">
        <v>0</v>
      </c>
      <c r="EM29" s="336">
        <v>0</v>
      </c>
      <c r="EN29" s="336">
        <v>0</v>
      </c>
      <c r="EO29" s="336">
        <v>0</v>
      </c>
      <c r="EP29" s="336">
        <v>0</v>
      </c>
      <c r="EQ29" s="336">
        <v>0</v>
      </c>
      <c r="ER29" s="336">
        <v>0</v>
      </c>
      <c r="ES29" s="336">
        <v>0</v>
      </c>
      <c r="ET29" s="336">
        <v>0</v>
      </c>
      <c r="EU29" s="336">
        <v>0</v>
      </c>
      <c r="EV29" s="336">
        <v>0</v>
      </c>
      <c r="EW29" s="336">
        <v>0</v>
      </c>
      <c r="EX29" s="336">
        <v>0</v>
      </c>
      <c r="EY29" s="336">
        <v>0</v>
      </c>
      <c r="EZ29" s="336">
        <v>0</v>
      </c>
      <c r="FA29" s="336">
        <v>0</v>
      </c>
      <c r="FB29" s="336">
        <v>0</v>
      </c>
      <c r="FC29" s="336">
        <v>0</v>
      </c>
      <c r="FD29" s="336">
        <v>0</v>
      </c>
      <c r="FE29" s="336">
        <v>0</v>
      </c>
      <c r="FF29" s="336">
        <v>0</v>
      </c>
      <c r="FG29" s="336">
        <v>0</v>
      </c>
      <c r="FH29" s="336">
        <v>0</v>
      </c>
      <c r="FI29" s="336">
        <v>0</v>
      </c>
      <c r="FJ29" s="336">
        <v>0</v>
      </c>
      <c r="FK29" s="336">
        <v>0</v>
      </c>
      <c r="FL29" s="336">
        <v>0</v>
      </c>
      <c r="FM29" s="336">
        <v>231685</v>
      </c>
      <c r="FN29" s="336">
        <v>42198129</v>
      </c>
      <c r="FO29" s="336">
        <v>19756435</v>
      </c>
      <c r="FP29" s="336">
        <v>0</v>
      </c>
      <c r="FQ29" s="336">
        <v>0</v>
      </c>
      <c r="FR29" s="336">
        <v>0</v>
      </c>
      <c r="FS29" s="336">
        <v>0</v>
      </c>
      <c r="FT29" s="336">
        <v>0</v>
      </c>
      <c r="FU29" s="336">
        <v>0</v>
      </c>
      <c r="FV29" s="336">
        <v>0</v>
      </c>
      <c r="FW29" s="336">
        <v>0</v>
      </c>
      <c r="FX29" s="336">
        <v>0</v>
      </c>
      <c r="FY29" s="336">
        <v>0</v>
      </c>
      <c r="FZ29" s="336">
        <v>0</v>
      </c>
      <c r="GA29" s="336">
        <v>0</v>
      </c>
      <c r="GB29" s="336">
        <v>0</v>
      </c>
      <c r="GC29" s="336">
        <v>0</v>
      </c>
      <c r="GD29" s="336">
        <v>0</v>
      </c>
      <c r="GE29" s="336">
        <v>0</v>
      </c>
      <c r="GF29" s="336">
        <v>0</v>
      </c>
      <c r="GG29" s="336">
        <v>0</v>
      </c>
      <c r="GH29" s="336">
        <v>0</v>
      </c>
      <c r="GI29" s="336">
        <v>0</v>
      </c>
      <c r="GJ29" s="336">
        <v>0</v>
      </c>
      <c r="GK29" s="336">
        <v>0</v>
      </c>
      <c r="GL29" s="336">
        <v>0</v>
      </c>
      <c r="GM29" s="336">
        <v>0</v>
      </c>
      <c r="GN29" s="336">
        <v>-182600</v>
      </c>
      <c r="GO29" s="336">
        <v>-3102115</v>
      </c>
      <c r="GP29" s="336">
        <v>-1419326</v>
      </c>
      <c r="GQ29" s="336">
        <v>0</v>
      </c>
      <c r="GR29" s="336">
        <v>0</v>
      </c>
      <c r="GS29" s="336">
        <v>0</v>
      </c>
      <c r="GT29" s="336">
        <v>0</v>
      </c>
      <c r="GU29" s="336">
        <v>0</v>
      </c>
      <c r="GV29" s="336">
        <v>0</v>
      </c>
      <c r="GW29" s="336">
        <v>0</v>
      </c>
      <c r="GX29" s="336">
        <v>0</v>
      </c>
      <c r="GY29" s="336">
        <v>0</v>
      </c>
      <c r="GZ29" s="336">
        <v>0</v>
      </c>
      <c r="HA29" s="336">
        <v>0</v>
      </c>
      <c r="HB29" s="336">
        <v>0</v>
      </c>
      <c r="HC29" s="336">
        <v>0</v>
      </c>
      <c r="HD29" s="336">
        <v>0</v>
      </c>
      <c r="HE29" s="336">
        <v>0</v>
      </c>
      <c r="HF29" s="336">
        <v>117289</v>
      </c>
      <c r="HG29" s="336">
        <v>-8793439</v>
      </c>
      <c r="HH29" s="336">
        <v>-4149967</v>
      </c>
      <c r="HI29" s="336">
        <v>0</v>
      </c>
      <c r="HJ29" s="336">
        <v>0</v>
      </c>
      <c r="HK29" s="336">
        <v>0</v>
      </c>
      <c r="HL29" s="336">
        <v>0</v>
      </c>
      <c r="HM29" s="336">
        <v>0</v>
      </c>
      <c r="HN29" s="336">
        <v>0</v>
      </c>
      <c r="HO29" s="336">
        <v>39741</v>
      </c>
      <c r="HP29" s="336">
        <v>4063120</v>
      </c>
      <c r="HQ29" s="336">
        <v>0</v>
      </c>
      <c r="HR29" s="336">
        <v>44332762</v>
      </c>
      <c r="HS29" s="336">
        <v>0</v>
      </c>
      <c r="HT29" s="336">
        <v>0</v>
      </c>
      <c r="HU29" s="336">
        <v>0</v>
      </c>
      <c r="HV29" s="336">
        <v>0</v>
      </c>
      <c r="HW29" s="336">
        <v>0</v>
      </c>
      <c r="HX29" s="336">
        <v>0</v>
      </c>
      <c r="HY29" s="336">
        <v>0</v>
      </c>
      <c r="HZ29" s="336">
        <v>0</v>
      </c>
      <c r="IA29" s="336">
        <v>0</v>
      </c>
      <c r="IB29" s="336">
        <v>0</v>
      </c>
      <c r="IC29" s="336">
        <v>0</v>
      </c>
      <c r="ID29" s="336">
        <v>0</v>
      </c>
      <c r="IE29" s="336">
        <v>0</v>
      </c>
      <c r="IF29" s="336">
        <v>0</v>
      </c>
      <c r="IG29" s="336">
        <v>0</v>
      </c>
      <c r="IH29" s="336">
        <v>0</v>
      </c>
      <c r="II29" s="336">
        <v>0</v>
      </c>
      <c r="IJ29" s="336">
        <v>0</v>
      </c>
      <c r="IK29" s="336">
        <v>0</v>
      </c>
      <c r="IL29" s="336">
        <v>0</v>
      </c>
      <c r="IM29" s="336">
        <v>0</v>
      </c>
      <c r="IN29" s="336">
        <v>0</v>
      </c>
      <c r="IO29" s="336">
        <v>0</v>
      </c>
      <c r="IP29" s="336">
        <v>285720</v>
      </c>
      <c r="IQ29" s="336">
        <v>4465733</v>
      </c>
      <c r="IR29" s="336">
        <v>2194600</v>
      </c>
      <c r="IS29" s="336">
        <v>504345</v>
      </c>
      <c r="IT29" s="336">
        <v>23585</v>
      </c>
      <c r="IU29" s="336">
        <v>30581</v>
      </c>
      <c r="IV29" s="336">
        <v>0</v>
      </c>
      <c r="IW29" s="336">
        <v>0</v>
      </c>
      <c r="IX29" s="336">
        <v>0</v>
      </c>
      <c r="IY29" s="336">
        <v>0</v>
      </c>
      <c r="IZ29" s="336">
        <v>0</v>
      </c>
      <c r="JA29" s="336">
        <v>0</v>
      </c>
      <c r="JB29" s="336">
        <v>0</v>
      </c>
      <c r="JC29" s="336">
        <v>0</v>
      </c>
      <c r="JD29" s="336">
        <v>0</v>
      </c>
      <c r="JE29" s="336">
        <v>0</v>
      </c>
      <c r="JF29" s="336">
        <v>0</v>
      </c>
      <c r="JG29" s="336">
        <v>0</v>
      </c>
      <c r="JH29" s="336">
        <v>0</v>
      </c>
      <c r="JI29" s="336">
        <v>3351714</v>
      </c>
      <c r="JJ29" s="336">
        <v>539128</v>
      </c>
      <c r="JK29" s="336">
        <v>16245658</v>
      </c>
      <c r="JL29" s="336">
        <v>0</v>
      </c>
      <c r="JM29" s="336">
        <v>0</v>
      </c>
      <c r="JN29" s="336">
        <v>-425133</v>
      </c>
      <c r="JO29" s="336">
        <v>0</v>
      </c>
      <c r="JP29" s="336">
        <v>0</v>
      </c>
      <c r="JQ29" s="336">
        <v>0</v>
      </c>
      <c r="JR29" s="336">
        <v>3439525</v>
      </c>
      <c r="JS29" s="336">
        <v>0</v>
      </c>
      <c r="JT29" s="336">
        <v>275522</v>
      </c>
      <c r="JU29" s="336">
        <v>0</v>
      </c>
      <c r="JV29" s="336">
        <v>0</v>
      </c>
      <c r="JW29" s="336">
        <v>0</v>
      </c>
      <c r="JX29" s="336">
        <v>0</v>
      </c>
      <c r="JY29" s="336">
        <v>0</v>
      </c>
      <c r="JZ29" s="336">
        <v>0</v>
      </c>
      <c r="KA29" s="336">
        <v>0</v>
      </c>
      <c r="KB29" s="336">
        <v>21509760</v>
      </c>
      <c r="KC29" s="336">
        <v>0</v>
      </c>
      <c r="KD29" s="336">
        <v>0</v>
      </c>
      <c r="KE29" s="336">
        <v>0</v>
      </c>
      <c r="KF29" s="336">
        <v>0</v>
      </c>
      <c r="KG29" s="336">
        <v>0</v>
      </c>
      <c r="KH29" s="336">
        <v>0</v>
      </c>
      <c r="KI29" s="336">
        <v>48149</v>
      </c>
      <c r="KJ29" s="336">
        <v>1957847</v>
      </c>
      <c r="KK29" s="336">
        <v>1471427</v>
      </c>
      <c r="KL29" s="336">
        <v>48623</v>
      </c>
      <c r="KM29" s="336">
        <v>0</v>
      </c>
      <c r="KN29" s="336">
        <v>0</v>
      </c>
      <c r="KO29" s="336">
        <v>0</v>
      </c>
      <c r="KP29" s="336">
        <v>0</v>
      </c>
      <c r="KQ29" s="336">
        <v>453151</v>
      </c>
      <c r="KR29" s="336">
        <v>39870872</v>
      </c>
      <c r="KS29" s="336">
        <v>27059577</v>
      </c>
      <c r="KT29" s="336">
        <v>0</v>
      </c>
      <c r="KU29" s="336">
        <v>1608875</v>
      </c>
      <c r="KV29" s="336">
        <v>0</v>
      </c>
      <c r="KW29" s="336">
        <v>0</v>
      </c>
      <c r="KX29" s="336">
        <v>0</v>
      </c>
      <c r="KY29" s="336">
        <v>0</v>
      </c>
      <c r="KZ29" s="336">
        <v>0</v>
      </c>
      <c r="LA29" s="336">
        <v>7881613</v>
      </c>
      <c r="LB29" s="336">
        <v>4194807</v>
      </c>
      <c r="LC29" s="336">
        <v>0</v>
      </c>
      <c r="LD29" s="336">
        <v>27861592</v>
      </c>
      <c r="LE29" s="336">
        <v>0</v>
      </c>
      <c r="LF29" s="336">
        <v>0</v>
      </c>
      <c r="LG29" s="336">
        <v>38031</v>
      </c>
      <c r="LH29" s="336">
        <v>0</v>
      </c>
      <c r="LI29" s="336">
        <v>0</v>
      </c>
      <c r="LJ29" s="336">
        <v>849134</v>
      </c>
      <c r="LK29" s="336">
        <v>1812733</v>
      </c>
      <c r="LL29" s="336">
        <v>0</v>
      </c>
      <c r="LM29" s="336">
        <v>1296025</v>
      </c>
      <c r="LN29" s="336">
        <v>0</v>
      </c>
      <c r="LO29" s="336">
        <v>0</v>
      </c>
      <c r="LP29" s="336">
        <v>0</v>
      </c>
      <c r="LQ29" s="336">
        <v>0</v>
      </c>
      <c r="LR29" s="336">
        <v>0</v>
      </c>
      <c r="LS29" s="336">
        <v>0</v>
      </c>
      <c r="LT29" s="336">
        <v>0</v>
      </c>
      <c r="LU29" s="336">
        <v>0</v>
      </c>
      <c r="LV29" s="336">
        <v>0</v>
      </c>
      <c r="LW29" s="336">
        <v>0</v>
      </c>
      <c r="LX29" s="336">
        <v>0</v>
      </c>
      <c r="LY29" s="336">
        <v>0</v>
      </c>
      <c r="LZ29" s="336">
        <v>0</v>
      </c>
      <c r="MA29" s="336">
        <v>0</v>
      </c>
      <c r="MB29" s="336">
        <v>13217612</v>
      </c>
      <c r="MC29" s="336">
        <v>15367134</v>
      </c>
      <c r="MD29" s="336">
        <v>0</v>
      </c>
      <c r="ME29" s="336">
        <v>1259105</v>
      </c>
      <c r="MF29" s="336">
        <v>0</v>
      </c>
      <c r="MG29" s="336">
        <v>0</v>
      </c>
      <c r="MH29" s="336">
        <v>0</v>
      </c>
      <c r="MI29" s="336">
        <v>0</v>
      </c>
      <c r="MJ29" s="336">
        <v>0</v>
      </c>
      <c r="MK29" s="336">
        <v>6169805</v>
      </c>
      <c r="ML29" s="336">
        <v>9566327</v>
      </c>
      <c r="MM29" s="336">
        <v>0</v>
      </c>
      <c r="MN29" s="336">
        <v>812082</v>
      </c>
      <c r="MO29" s="336">
        <v>197229</v>
      </c>
      <c r="MP29" s="336">
        <v>0</v>
      </c>
      <c r="MQ29" s="336">
        <v>308946</v>
      </c>
      <c r="MR29" s="336">
        <v>0</v>
      </c>
      <c r="MS29" s="336">
        <v>0</v>
      </c>
      <c r="MT29" s="336">
        <v>9297673</v>
      </c>
      <c r="MU29" s="336">
        <v>11395224</v>
      </c>
      <c r="MV29" s="336">
        <v>0</v>
      </c>
      <c r="MW29" s="336">
        <v>362389</v>
      </c>
      <c r="MX29" s="336">
        <v>0</v>
      </c>
      <c r="MY29" s="336">
        <v>0</v>
      </c>
      <c r="MZ29" s="336">
        <v>16765</v>
      </c>
      <c r="NA29" s="336">
        <v>0</v>
      </c>
      <c r="NB29" s="336">
        <v>0</v>
      </c>
      <c r="NC29" s="336">
        <v>4159779</v>
      </c>
      <c r="ND29" s="336">
        <v>8148976</v>
      </c>
      <c r="NE29" s="336">
        <v>0</v>
      </c>
      <c r="NF29" s="336">
        <v>6264</v>
      </c>
      <c r="NG29" s="336">
        <v>0</v>
      </c>
      <c r="NH29" s="336">
        <v>0</v>
      </c>
      <c r="NI29" s="336">
        <v>0</v>
      </c>
      <c r="NJ29" s="336">
        <v>0</v>
      </c>
      <c r="NK29" s="336">
        <v>0</v>
      </c>
      <c r="NL29" s="336">
        <v>3497498</v>
      </c>
      <c r="NM29" s="336">
        <v>7420203</v>
      </c>
      <c r="NN29" s="336">
        <v>0</v>
      </c>
      <c r="NO29" s="336">
        <v>7875719</v>
      </c>
      <c r="NP29" s="336">
        <v>0</v>
      </c>
      <c r="NQ29" s="336">
        <v>0</v>
      </c>
      <c r="NR29" s="336">
        <v>0</v>
      </c>
      <c r="NS29" s="336">
        <v>0</v>
      </c>
      <c r="NT29" s="336">
        <v>0</v>
      </c>
      <c r="NU29" s="336">
        <v>0</v>
      </c>
      <c r="NV29" s="336">
        <v>0</v>
      </c>
      <c r="NW29" s="336">
        <v>38997195</v>
      </c>
      <c r="NX29" s="336">
        <v>0</v>
      </c>
      <c r="NY29" s="336">
        <v>0</v>
      </c>
      <c r="NZ29" s="336">
        <v>0</v>
      </c>
      <c r="OA29" s="336">
        <v>0</v>
      </c>
      <c r="OB29" s="336">
        <v>0</v>
      </c>
      <c r="OC29" s="336">
        <v>0</v>
      </c>
      <c r="OD29" s="336">
        <v>3650941</v>
      </c>
      <c r="OE29" s="336">
        <v>756978</v>
      </c>
      <c r="OF29" s="336">
        <v>347672</v>
      </c>
      <c r="OG29" s="336">
        <v>2760756</v>
      </c>
      <c r="OH29" s="336">
        <v>0</v>
      </c>
      <c r="OI29" s="336">
        <v>0</v>
      </c>
      <c r="OJ29" s="336">
        <v>0</v>
      </c>
      <c r="OK29" s="336">
        <v>0</v>
      </c>
      <c r="OL29" s="336">
        <v>0</v>
      </c>
      <c r="OM29" s="336">
        <v>1488338</v>
      </c>
      <c r="ON29" s="336">
        <v>552903</v>
      </c>
      <c r="OO29" s="336">
        <v>651976</v>
      </c>
      <c r="OP29" s="336">
        <v>36792</v>
      </c>
      <c r="OQ29" s="336">
        <v>0</v>
      </c>
      <c r="OR29" s="336">
        <v>1405</v>
      </c>
      <c r="OS29" s="336">
        <v>267</v>
      </c>
      <c r="OT29" s="336">
        <v>0</v>
      </c>
      <c r="OU29" s="336">
        <v>3170191</v>
      </c>
      <c r="OV29" s="336">
        <v>0</v>
      </c>
      <c r="OW29" s="336">
        <v>0</v>
      </c>
      <c r="OX29" s="336">
        <v>0</v>
      </c>
      <c r="OY29" s="336">
        <v>0</v>
      </c>
      <c r="OZ29" s="336">
        <v>0</v>
      </c>
      <c r="PA29" s="336">
        <v>0</v>
      </c>
      <c r="PB29" s="336">
        <v>10111764</v>
      </c>
      <c r="PC29" s="336">
        <v>0</v>
      </c>
      <c r="PD29" s="336">
        <v>0</v>
      </c>
      <c r="PE29" s="336">
        <v>26493</v>
      </c>
      <c r="PF29" s="336">
        <v>5033659</v>
      </c>
      <c r="PG29" s="336">
        <v>13683056</v>
      </c>
      <c r="PH29" s="336">
        <v>-28119580</v>
      </c>
      <c r="PI29" s="336">
        <v>166850</v>
      </c>
      <c r="PJ29" s="336">
        <v>326255</v>
      </c>
      <c r="PK29" s="336">
        <v>7639701</v>
      </c>
      <c r="PL29" s="336">
        <v>0</v>
      </c>
      <c r="PM29" s="336">
        <v>619069</v>
      </c>
      <c r="PN29" s="336">
        <v>0</v>
      </c>
      <c r="PO29" s="336">
        <v>0</v>
      </c>
      <c r="PP29" s="336">
        <v>0</v>
      </c>
      <c r="PQ29" s="336">
        <v>0</v>
      </c>
      <c r="PR29" s="336">
        <v>0</v>
      </c>
      <c r="PS29" s="336">
        <v>0</v>
      </c>
      <c r="PT29" s="336">
        <v>0</v>
      </c>
      <c r="PU29" s="336">
        <v>0</v>
      </c>
      <c r="PV29" s="336">
        <v>0</v>
      </c>
      <c r="PW29" s="336">
        <v>-14852373</v>
      </c>
      <c r="PX29" s="336">
        <v>-1132877</v>
      </c>
      <c r="PY29" s="336">
        <v>-13710482</v>
      </c>
      <c r="PZ29" s="336">
        <v>0</v>
      </c>
      <c r="QA29" s="336">
        <v>0</v>
      </c>
      <c r="QB29" s="336">
        <v>0</v>
      </c>
      <c r="QC29" s="336">
        <v>0</v>
      </c>
      <c r="QD29" s="336">
        <v>0</v>
      </c>
      <c r="QE29" s="336">
        <v>0</v>
      </c>
      <c r="QF29" s="336">
        <v>-74058</v>
      </c>
      <c r="QG29" s="336">
        <v>7500683</v>
      </c>
      <c r="QH29" s="336">
        <v>4769299</v>
      </c>
      <c r="QI29" s="336">
        <v>1374521</v>
      </c>
      <c r="QJ29" s="336">
        <v>186344</v>
      </c>
      <c r="QK29" s="336">
        <v>1511271</v>
      </c>
      <c r="QL29" s="336">
        <v>2480291</v>
      </c>
      <c r="QM29" s="336">
        <v>0</v>
      </c>
      <c r="QN29" s="336">
        <v>0</v>
      </c>
      <c r="QO29" s="336">
        <v>0</v>
      </c>
      <c r="QP29" s="336">
        <v>0</v>
      </c>
      <c r="QQ29" s="336">
        <v>0</v>
      </c>
      <c r="QR29" s="336">
        <v>0</v>
      </c>
      <c r="QS29" s="336">
        <v>0</v>
      </c>
      <c r="QT29" s="336">
        <v>226857</v>
      </c>
      <c r="QU29" s="336">
        <v>0</v>
      </c>
      <c r="QV29" s="336">
        <v>0</v>
      </c>
      <c r="QW29" s="336">
        <v>0</v>
      </c>
      <c r="QX29" s="336">
        <v>0</v>
      </c>
      <c r="QY29" s="336">
        <v>0</v>
      </c>
      <c r="QZ29" s="336">
        <v>0</v>
      </c>
      <c r="RA29" s="336">
        <v>0</v>
      </c>
      <c r="RB29" s="336">
        <v>0</v>
      </c>
      <c r="RC29" s="336">
        <v>0</v>
      </c>
      <c r="RD29" s="336">
        <v>0</v>
      </c>
      <c r="RE29" s="336">
        <v>0</v>
      </c>
      <c r="RF29" s="336">
        <v>0</v>
      </c>
      <c r="RG29" s="336">
        <v>0</v>
      </c>
      <c r="RH29" s="336">
        <v>0</v>
      </c>
      <c r="RI29" s="336">
        <v>0</v>
      </c>
      <c r="RJ29" s="336">
        <v>0</v>
      </c>
      <c r="RK29" s="336">
        <v>0</v>
      </c>
      <c r="RL29" s="336">
        <v>0</v>
      </c>
      <c r="RM29" s="336">
        <v>0</v>
      </c>
      <c r="RN29" s="336">
        <v>0</v>
      </c>
      <c r="RO29" s="336">
        <v>-37074344</v>
      </c>
      <c r="RP29" s="336">
        <v>0</v>
      </c>
      <c r="RQ29" s="336">
        <v>0</v>
      </c>
      <c r="RR29" s="336">
        <v>0</v>
      </c>
      <c r="RS29" s="336">
        <v>0</v>
      </c>
      <c r="RT29" s="336">
        <v>0</v>
      </c>
      <c r="RU29" s="336">
        <v>0</v>
      </c>
      <c r="RV29" s="336">
        <v>0</v>
      </c>
      <c r="RW29" s="336">
        <v>0</v>
      </c>
      <c r="RX29" s="336">
        <v>0</v>
      </c>
      <c r="RY29" s="336">
        <v>0</v>
      </c>
      <c r="RZ29" s="336">
        <v>0</v>
      </c>
      <c r="SA29" s="336">
        <v>0</v>
      </c>
      <c r="SB29" s="336">
        <v>0</v>
      </c>
      <c r="SC29" s="336">
        <v>0</v>
      </c>
      <c r="SD29" s="336">
        <v>0</v>
      </c>
      <c r="SE29" s="336">
        <v>0</v>
      </c>
      <c r="SF29" s="336">
        <v>0</v>
      </c>
      <c r="SG29" s="336">
        <v>0</v>
      </c>
      <c r="SH29" s="336">
        <v>0</v>
      </c>
      <c r="SI29" s="336">
        <v>0</v>
      </c>
      <c r="SJ29" s="336">
        <v>0</v>
      </c>
      <c r="SK29" s="336">
        <v>0</v>
      </c>
      <c r="SL29" s="336">
        <v>0</v>
      </c>
      <c r="SM29" s="336">
        <v>0</v>
      </c>
      <c r="SN29" s="336">
        <v>0</v>
      </c>
      <c r="SO29" s="336">
        <v>0</v>
      </c>
      <c r="SP29" s="336">
        <v>43046</v>
      </c>
      <c r="SQ29" s="336">
        <v>3650941</v>
      </c>
      <c r="SR29" s="336">
        <v>756978</v>
      </c>
      <c r="SS29" s="336">
        <v>347672</v>
      </c>
      <c r="ST29" s="336">
        <v>2760756</v>
      </c>
      <c r="SU29" s="336">
        <v>0</v>
      </c>
      <c r="SV29" s="336">
        <v>0</v>
      </c>
      <c r="SW29" s="336">
        <v>-10111764</v>
      </c>
      <c r="SX29" s="336">
        <v>0</v>
      </c>
      <c r="SY29" s="336">
        <v>0</v>
      </c>
      <c r="SZ29" s="336" t="s">
        <v>1420</v>
      </c>
      <c r="TA29" s="336" t="s">
        <v>1420</v>
      </c>
      <c r="TB29" s="336" t="s">
        <v>1420</v>
      </c>
      <c r="TC29" s="336">
        <v>330386</v>
      </c>
      <c r="TD29" s="336">
        <v>4794086</v>
      </c>
      <c r="TE29" s="336">
        <v>84364</v>
      </c>
      <c r="TF29" s="336">
        <v>0</v>
      </c>
      <c r="TG29" s="336">
        <v>1654602</v>
      </c>
      <c r="TH29" s="336">
        <v>188521</v>
      </c>
      <c r="TI29" s="336">
        <v>118491</v>
      </c>
      <c r="TJ29" s="336">
        <v>30043</v>
      </c>
      <c r="TK29" s="336">
        <v>-31818</v>
      </c>
      <c r="TL29" s="336">
        <v>347672</v>
      </c>
      <c r="TM29" s="336">
        <v>0</v>
      </c>
      <c r="TN29" s="336">
        <v>0</v>
      </c>
      <c r="TO29" s="336">
        <v>853255</v>
      </c>
      <c r="TP29" s="336">
        <v>0</v>
      </c>
      <c r="TQ29" s="336">
        <v>0</v>
      </c>
      <c r="TR29" s="336">
        <v>0</v>
      </c>
      <c r="TS29" s="336">
        <v>0</v>
      </c>
      <c r="TT29" s="336">
        <v>0</v>
      </c>
      <c r="TU29" s="336">
        <v>0</v>
      </c>
      <c r="TV29" s="336">
        <v>0</v>
      </c>
      <c r="TW29" s="336">
        <v>0</v>
      </c>
      <c r="TX29" s="336">
        <v>0</v>
      </c>
      <c r="TY29" s="336">
        <v>0</v>
      </c>
      <c r="TZ29" s="336">
        <v>0</v>
      </c>
      <c r="UA29" s="336">
        <v>0</v>
      </c>
      <c r="UB29" s="336">
        <v>0</v>
      </c>
      <c r="UC29" s="336">
        <v>0</v>
      </c>
      <c r="UD29" s="336">
        <v>0</v>
      </c>
      <c r="UE29" s="336">
        <v>0</v>
      </c>
      <c r="UF29" s="336">
        <v>0</v>
      </c>
      <c r="UG29" s="336">
        <v>0</v>
      </c>
      <c r="UH29" s="336">
        <v>68539324</v>
      </c>
      <c r="UI29" s="336">
        <v>39976043</v>
      </c>
      <c r="UJ29" s="336">
        <v>3957892</v>
      </c>
      <c r="UK29" s="336">
        <v>0</v>
      </c>
      <c r="UL29" s="336">
        <v>29843851</v>
      </c>
      <c r="UM29" s="336">
        <v>17054389</v>
      </c>
      <c r="UN29" s="336">
        <v>21072051</v>
      </c>
      <c r="UO29" s="336">
        <v>12315019</v>
      </c>
      <c r="UP29" s="336">
        <v>18793420</v>
      </c>
      <c r="UQ29" s="336">
        <v>38997195</v>
      </c>
      <c r="UR29"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7516347</v>
      </c>
      <c r="US29" s="338">
        <f>SUM(Input[[#This Row],[Oth Exp E&amp;G]],Input[[#This Row],[Oth Exp Desg]],Input[[#This Row],[Oth Exp Aux]],Input[[#This Row],[Oth Exp R Exp]],Input[[#This Row],[Oth Exp Loan]],Input[[#This Row],[Oth Exp Annuity]],Input[[#This Row],[Oth Exp Unexp]],Input[[#This Row],[Oth Exp R of Ind]],Input[[#This Row],[Oth Exp Inv in P]])</f>
        <v>5901872</v>
      </c>
      <c r="UT29" s="336">
        <v>4093912</v>
      </c>
      <c r="UU29" s="336">
        <v>17748351</v>
      </c>
      <c r="UV29" s="339" t="s">
        <v>1432</v>
      </c>
      <c r="UW29" s="340">
        <v>9798459761</v>
      </c>
      <c r="UX29" s="339" t="s">
        <v>1433</v>
      </c>
      <c r="UY29" s="339" t="s">
        <v>1441</v>
      </c>
      <c r="UZ29" s="340">
        <v>3618255571</v>
      </c>
      <c r="VA29" s="339" t="s">
        <v>1442</v>
      </c>
      <c r="VB29" s="341" cm="1">
        <f t="array" ref="VB29">IFERROR(_xlfn.IFS(Input[[#This Row],[Type]]="HRI",VLOOKUP(Input[[#This Row],[Institution Name]],FTSEHRI[],9,FALSE),Input[[#This Row],[Type]]="UNIV",VLOOKUP(Input[[#This Row],[Institution Name]],FTSEUNIV[],9,FALSE),OR(Input[[#This Row],[Type]]="TSTC",Input[[#This Row],[Type]]="LSC"),VLOOKUP(Input[[#This Row],[Institution Name]],FTSETSTC[],8,FALSE)),"N/A")</f>
        <v>8942.9599999999991</v>
      </c>
      <c r="VC29" s="342" t="str" cm="1">
        <f t="array" ref="VC29">IFERROR(_xlfn.IFS(Input[[#This Row],[Type]]="HRI",VLOOKUP(Input[[#This Row],[Institution Name]],FTSEHRI[],11,FALSE),Input[[#This Row],[Type]]="UNIV",VLOOKUP(Input[[#This Row],[Institution Name]],FTSEUNIV[],11,FALSE),Input[[#This Row],[Type]]="TSTC",VLOOKUP(Input[[#This Row],[Institution Name]],FTSETSTC[],10,FALSE)),"N/A")</f>
        <v>N/A</v>
      </c>
      <c r="VD29"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85663262</v>
      </c>
      <c r="VE29"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11825139</v>
      </c>
      <c r="VF29" s="338">
        <f>SUM(Input[[#This Row],[Fed G&amp;C E&amp;G]],Input[[#This Row],[Fed G&amp;C Desg]],Input[[#This Row],[Fed G&amp;C R Exp]],Input[[#This Row],[Fed G&amp;C Loan]],Input[[#This Row],[Fed G&amp;C Annuity]],Input[[#This Row],[Fed G&amp;C Unexp]],Input[[#This Row],[Fed G&amp;C R of Ind]],Input[[#This Row],[Fed G&amp;C Inv in P]])</f>
        <v>48435623</v>
      </c>
      <c r="VG29"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30705020</v>
      </c>
      <c r="VH29"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41269730</v>
      </c>
      <c r="VI29"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30468949</v>
      </c>
      <c r="VJ29" s="338">
        <f>SUM(Input[[#This Row],[Oth Inc E&amp;G]],Input[[#This Row],[Oth Exp Desg]],Input[[#This Row],[Oth Exp R Exp]],Input[[#This Row],[Oth Exp Loan]],Input[[#This Row],[Oth Exp Annuity]],Input[[#This Row],[Oth Exp Unexp]],Input[[#This Row],[Oth Exp R of Ind]],Input[[#This Row],[Oth Exp Inv in P]])</f>
        <v>3809707</v>
      </c>
      <c r="VK29" s="343">
        <f>SUM(Input[[#This Row],[Instr E&amp;G]],Input[[#This Row],[Instr Desg]],Input[[#This Row],[Instr R Exp]],Input[[#This Row],[Instr Loan]],Input[[#This Row],[Instr Annuity]],Input[[#This Row],[Instr Unexp]],Input[[#This Row],[Instr R of Ind]],Input[[#This Row],[Instr Inv in P]])</f>
        <v>68539324</v>
      </c>
      <c r="VL29" s="343">
        <f>SUM(Input[[#This Row],[Res E&amp;G]],Input[[#This Row],[Res Desg]],Input[[#This Row],[Res R Exp]],Input[[#This Row],[Res Loan]],Input[[#This Row],[Res Annuity]],Input[[#This Row],[Res Unexp]],Input[[#This Row],[Res R of Ind]],Input[[#This Row],[Res Inv in P]])</f>
        <v>39976043</v>
      </c>
      <c r="VM29" s="343">
        <f>SUM(Input[[#This Row],[Acad Sup E&amp;G]],Input[[#This Row],[Acad Sup Desg]],Input[[#This Row],[Acad Sup R Exp]],Input[[#This Row],[Acad Sup Loan]],Input[[#This Row],[Acad Sup Annuity]],Input[[#This Row],[Acad Sup Unexp]],Input[[#This Row],[Acad Sup R of Ind]],Input[[#This Row],[Acad Sup Inv in P]])</f>
        <v>29843851</v>
      </c>
      <c r="VN29" s="343">
        <f>SUM(Input[[#This Row],[Stu Svc E&amp;G]],Input[[#This Row],[Stu Svc Desg]],Input[[#This Row],[Stu Svc R Exp]],Input[[#This Row],[Stu Svc Loan]],Input[[#This Row],[Stu Svc Annuity]],Input[[#This Row],[Stu Svc Unexp]],Input[[#This Row],[Stu Svc R of Ind]],Input[[#This Row],[Stu Svc Inv in P]])</f>
        <v>17054389</v>
      </c>
      <c r="VO29" s="343">
        <f>SUM(Input[[#This Row],[Inst. Spt E&amp;G]],Input[[#This Row],[Inst. Spt Desg]],Input[[#This Row],[Inst. Spt R Exp]],Input[[#This Row],[Inst. Spt Loan]],Input[[#This Row],[Inst. Spt Annuity]],Input[[#This Row],[Inst. Spt Unexp]],Input[[#This Row],[Inst. Spt R of Ind]],Input[[#This Row],[Inst. Spt Inv in P]])</f>
        <v>21072051</v>
      </c>
      <c r="VP29" s="343">
        <f>SUM(Input[[#This Row],[M&amp;O Plnt E&amp;G]],Input[[#This Row],[M&amp;O Plnt Desg]],Input[[#This Row],[M&amp;O Plnt R Exp]],Input[[#This Row],[M&amp;O Plnt Loan]],Input[[#This Row],[M&amp;O Plnt Annuity]],Input[[#This Row],[M&amp;O Plnt Unexp]],Input[[#This Row],[M&amp;O Plnt R of Ind]],Input[[#This Row],[M&amp;O Plnt Inv in P]])</f>
        <v>12315019</v>
      </c>
      <c r="VQ29" s="343">
        <f>SUM(Input[[#This Row],[Schl &amp; Fell E&amp;G]],Input[[#This Row],[Schl &amp; Fell Desg]],Input[[#This Row],[Schl &amp; Fell R Exp]],Input[[#This Row],[Schl &amp; Fell Loan]],Input[[#This Row],[Schl &amp; Fell Annuity]],Input[[#This Row],[Schl &amp; Fell Unexp]],Input[[#This Row],[Schl &amp; Fell R of Ind]],Input[[#This Row],[Schl &amp; Fell Inv in P]])</f>
        <v>18793420</v>
      </c>
      <c r="VR29" s="343">
        <f>SUM(Input[[#This Row],[Cap Out fund E&amp;G]],Input[[#This Row],[Cap Out fund Desg]],Input[[#This Row],[Cap Out fund R Exp]],Input[[#This Row],[Cap Out fund Loan]],Input[[#This Row],[Cap Out fund Annuity]],Input[[#This Row],[Cap Out fund Unexp]],Input[[#This Row],[Cap Out fund R of Ind]],Input[[#This Row],[Cap Out fund Inv in P]])</f>
        <v>7168675</v>
      </c>
      <c r="VS29" s="343">
        <f>SUM(Input[[#This Row],[Oth Exp E&amp;G]],Input[[#This Row],[Oth Exp Desg]],Input[[#This Row],[Oth Exp R Exp]],Input[[#This Row],[Oth Exp Loan]],Input[[#This Row],[Oth Exp Annuity]],Input[[#This Row],[Oth Exp Unexp]],Input[[#This Row],[Oth Exp R of Ind]],Input[[#This Row],[Oth Exp Inv in P]],Input[[#This Row],[Oth Exp Inv in P]])</f>
        <v>8420087</v>
      </c>
    </row>
    <row r="30" spans="1:591" s="344" customFormat="1" ht="27" customHeight="1" x14ac:dyDescent="0.55000000000000004">
      <c r="A30" s="339" t="s">
        <v>71</v>
      </c>
      <c r="B30" s="334" t="s">
        <v>830</v>
      </c>
      <c r="C30" s="334" t="s">
        <v>21</v>
      </c>
      <c r="D30" s="334">
        <v>180</v>
      </c>
      <c r="E30" s="334" t="s">
        <v>1622</v>
      </c>
      <c r="F30" s="335">
        <v>3639</v>
      </c>
      <c r="G30" s="336">
        <v>51024002</v>
      </c>
      <c r="H30" s="336">
        <v>0</v>
      </c>
      <c r="I30" s="336">
        <v>0</v>
      </c>
      <c r="J30" s="336">
        <v>0</v>
      </c>
      <c r="K30" s="336">
        <v>0</v>
      </c>
      <c r="L30" s="336">
        <v>0</v>
      </c>
      <c r="M30" s="336">
        <v>0</v>
      </c>
      <c r="N30" s="336">
        <v>0</v>
      </c>
      <c r="O30" s="336">
        <v>0</v>
      </c>
      <c r="P30" s="336">
        <v>2509728</v>
      </c>
      <c r="Q30" s="336">
        <v>80912</v>
      </c>
      <c r="R30" s="336">
        <v>0</v>
      </c>
      <c r="S30" s="336">
        <v>9090010</v>
      </c>
      <c r="T30" s="336">
        <v>0</v>
      </c>
      <c r="U30" s="336">
        <v>0</v>
      </c>
      <c r="V30" s="336">
        <v>0</v>
      </c>
      <c r="W30" s="336">
        <v>0</v>
      </c>
      <c r="X30" s="336">
        <v>0</v>
      </c>
      <c r="Y30" s="336">
        <v>9125307</v>
      </c>
      <c r="Z30" s="336">
        <v>0</v>
      </c>
      <c r="AA30" s="336">
        <v>0</v>
      </c>
      <c r="AB30" s="336">
        <v>0</v>
      </c>
      <c r="AC30" s="336">
        <v>0</v>
      </c>
      <c r="AD30" s="336">
        <v>0</v>
      </c>
      <c r="AE30" s="336">
        <v>0</v>
      </c>
      <c r="AF30" s="336">
        <v>0</v>
      </c>
      <c r="AG30" s="336">
        <v>0</v>
      </c>
      <c r="AH30" s="336">
        <v>0</v>
      </c>
      <c r="AI30" s="336">
        <v>0</v>
      </c>
      <c r="AJ30" s="336">
        <v>0</v>
      </c>
      <c r="AK30" s="336">
        <v>0</v>
      </c>
      <c r="AL30" s="336">
        <v>0</v>
      </c>
      <c r="AM30" s="336">
        <v>0</v>
      </c>
      <c r="AN30" s="336">
        <v>0</v>
      </c>
      <c r="AO30" s="336">
        <v>0</v>
      </c>
      <c r="AP30" s="336">
        <v>0</v>
      </c>
      <c r="AQ30" s="336">
        <v>-1767892</v>
      </c>
      <c r="AR30" s="336">
        <v>0</v>
      </c>
      <c r="AS30" s="336">
        <v>0</v>
      </c>
      <c r="AT30" s="336">
        <v>0</v>
      </c>
      <c r="AU30" s="336">
        <v>0</v>
      </c>
      <c r="AV30" s="336">
        <v>0</v>
      </c>
      <c r="AW30" s="336">
        <v>0</v>
      </c>
      <c r="AX30" s="336">
        <v>0</v>
      </c>
      <c r="AY30" s="336">
        <v>0</v>
      </c>
      <c r="AZ30" s="336">
        <v>0</v>
      </c>
      <c r="BA30" s="336">
        <v>0</v>
      </c>
      <c r="BB30" s="336">
        <v>0</v>
      </c>
      <c r="BC30" s="336">
        <v>0</v>
      </c>
      <c r="BD30" s="336">
        <v>0</v>
      </c>
      <c r="BE30" s="336">
        <v>0</v>
      </c>
      <c r="BF30" s="336">
        <v>0</v>
      </c>
      <c r="BG30" s="336">
        <v>0</v>
      </c>
      <c r="BH30" s="336">
        <v>0</v>
      </c>
      <c r="BI30" s="336">
        <v>0</v>
      </c>
      <c r="BJ30" s="336">
        <v>0</v>
      </c>
      <c r="BK30" s="336">
        <v>0</v>
      </c>
      <c r="BL30" s="336">
        <v>0</v>
      </c>
      <c r="BM30" s="336">
        <v>0</v>
      </c>
      <c r="BN30" s="336">
        <v>0</v>
      </c>
      <c r="BO30" s="336">
        <v>0</v>
      </c>
      <c r="BP30" s="336">
        <v>0</v>
      </c>
      <c r="BQ30" s="336">
        <v>0</v>
      </c>
      <c r="BR30" s="336">
        <v>0</v>
      </c>
      <c r="BS30" s="336">
        <v>0</v>
      </c>
      <c r="BT30" s="336">
        <v>0</v>
      </c>
      <c r="BU30" s="336">
        <v>0</v>
      </c>
      <c r="BV30" s="336">
        <v>0</v>
      </c>
      <c r="BW30" s="336">
        <v>0</v>
      </c>
      <c r="BX30" s="336">
        <v>0</v>
      </c>
      <c r="BY30" s="336">
        <v>0</v>
      </c>
      <c r="BZ30" s="336">
        <v>0</v>
      </c>
      <c r="CA30" s="336">
        <v>13447106</v>
      </c>
      <c r="CB30" s="336">
        <v>19543430</v>
      </c>
      <c r="CC30" s="336">
        <v>0</v>
      </c>
      <c r="CD30" s="336">
        <v>0</v>
      </c>
      <c r="CE30" s="336">
        <v>0</v>
      </c>
      <c r="CF30" s="336">
        <v>0</v>
      </c>
      <c r="CG30" s="336">
        <v>0</v>
      </c>
      <c r="CH30" s="336">
        <v>0</v>
      </c>
      <c r="CI30" s="336">
        <v>0</v>
      </c>
      <c r="CJ30" s="336">
        <v>0</v>
      </c>
      <c r="CK30" s="336">
        <v>0</v>
      </c>
      <c r="CL30" s="336">
        <v>0</v>
      </c>
      <c r="CM30" s="336">
        <v>0</v>
      </c>
      <c r="CN30" s="336">
        <v>0</v>
      </c>
      <c r="CO30" s="336">
        <v>0</v>
      </c>
      <c r="CP30" s="336">
        <v>0</v>
      </c>
      <c r="CQ30" s="336">
        <v>0</v>
      </c>
      <c r="CR30" s="336">
        <v>0</v>
      </c>
      <c r="CS30" s="336">
        <v>0</v>
      </c>
      <c r="CT30" s="336">
        <v>0</v>
      </c>
      <c r="CU30" s="336">
        <v>0</v>
      </c>
      <c r="CV30" s="336">
        <v>0</v>
      </c>
      <c r="CW30" s="336">
        <v>0</v>
      </c>
      <c r="CX30" s="336">
        <v>0</v>
      </c>
      <c r="CY30" s="336">
        <v>0</v>
      </c>
      <c r="CZ30" s="336">
        <v>0</v>
      </c>
      <c r="DA30" s="336">
        <v>0</v>
      </c>
      <c r="DB30" s="336">
        <v>-597578</v>
      </c>
      <c r="DC30" s="336">
        <v>-1164776</v>
      </c>
      <c r="DD30" s="336">
        <v>0</v>
      </c>
      <c r="DE30" s="336">
        <v>0</v>
      </c>
      <c r="DF30" s="336">
        <v>0</v>
      </c>
      <c r="DG30" s="336">
        <v>0</v>
      </c>
      <c r="DH30" s="336">
        <v>0</v>
      </c>
      <c r="DI30" s="336">
        <v>0</v>
      </c>
      <c r="DJ30" s="336">
        <v>0</v>
      </c>
      <c r="DK30" s="336">
        <v>0</v>
      </c>
      <c r="DL30" s="336">
        <v>0</v>
      </c>
      <c r="DM30" s="336">
        <v>0</v>
      </c>
      <c r="DN30" s="336">
        <v>0</v>
      </c>
      <c r="DO30" s="336">
        <v>0</v>
      </c>
      <c r="DP30" s="336">
        <v>0</v>
      </c>
      <c r="DQ30" s="336">
        <v>0</v>
      </c>
      <c r="DR30" s="336">
        <v>0</v>
      </c>
      <c r="DS30" s="336">
        <v>0</v>
      </c>
      <c r="DT30" s="336">
        <v>-4784612</v>
      </c>
      <c r="DU30" s="336">
        <v>-6657461</v>
      </c>
      <c r="DV30" s="336">
        <v>0</v>
      </c>
      <c r="DW30" s="336">
        <v>0</v>
      </c>
      <c r="DX30" s="336">
        <v>0</v>
      </c>
      <c r="DY30" s="336">
        <v>0</v>
      </c>
      <c r="DZ30" s="336">
        <v>0</v>
      </c>
      <c r="EA30" s="336">
        <v>0</v>
      </c>
      <c r="EB30" s="336">
        <v>0</v>
      </c>
      <c r="EC30" s="336">
        <v>0</v>
      </c>
      <c r="ED30" s="336">
        <v>0</v>
      </c>
      <c r="EE30" s="336">
        <v>0</v>
      </c>
      <c r="EF30" s="336">
        <v>0</v>
      </c>
      <c r="EG30" s="336">
        <v>0</v>
      </c>
      <c r="EH30" s="336">
        <v>0</v>
      </c>
      <c r="EI30" s="336">
        <v>0</v>
      </c>
      <c r="EJ30" s="336">
        <v>0</v>
      </c>
      <c r="EK30" s="336">
        <v>0</v>
      </c>
      <c r="EL30" s="336">
        <v>0</v>
      </c>
      <c r="EM30" s="336">
        <v>0</v>
      </c>
      <c r="EN30" s="336">
        <v>0</v>
      </c>
      <c r="EO30" s="336">
        <v>0</v>
      </c>
      <c r="EP30" s="336">
        <v>0</v>
      </c>
      <c r="EQ30" s="336">
        <v>0</v>
      </c>
      <c r="ER30" s="336">
        <v>0</v>
      </c>
      <c r="ES30" s="336">
        <v>0</v>
      </c>
      <c r="ET30" s="336">
        <v>0</v>
      </c>
      <c r="EU30" s="336">
        <v>0</v>
      </c>
      <c r="EV30" s="336">
        <v>0</v>
      </c>
      <c r="EW30" s="336">
        <v>0</v>
      </c>
      <c r="EX30" s="336">
        <v>0</v>
      </c>
      <c r="EY30" s="336">
        <v>0</v>
      </c>
      <c r="EZ30" s="336">
        <v>0</v>
      </c>
      <c r="FA30" s="336">
        <v>0</v>
      </c>
      <c r="FB30" s="336">
        <v>0</v>
      </c>
      <c r="FC30" s="336">
        <v>0</v>
      </c>
      <c r="FD30" s="336">
        <v>0</v>
      </c>
      <c r="FE30" s="336">
        <v>0</v>
      </c>
      <c r="FF30" s="336">
        <v>0</v>
      </c>
      <c r="FG30" s="336">
        <v>0</v>
      </c>
      <c r="FH30" s="336">
        <v>0</v>
      </c>
      <c r="FI30" s="336">
        <v>0</v>
      </c>
      <c r="FJ30" s="336">
        <v>0</v>
      </c>
      <c r="FK30" s="336">
        <v>0</v>
      </c>
      <c r="FL30" s="336">
        <v>0</v>
      </c>
      <c r="FM30" s="336">
        <v>334897</v>
      </c>
      <c r="FN30" s="336">
        <v>21718270</v>
      </c>
      <c r="FO30" s="336">
        <v>7372704</v>
      </c>
      <c r="FP30" s="336">
        <v>0</v>
      </c>
      <c r="FQ30" s="336">
        <v>0</v>
      </c>
      <c r="FR30" s="336">
        <v>0</v>
      </c>
      <c r="FS30" s="336">
        <v>0</v>
      </c>
      <c r="FT30" s="336">
        <v>0</v>
      </c>
      <c r="FU30" s="336">
        <v>0</v>
      </c>
      <c r="FV30" s="336">
        <v>0</v>
      </c>
      <c r="FW30" s="336">
        <v>0</v>
      </c>
      <c r="FX30" s="336">
        <v>0</v>
      </c>
      <c r="FY30" s="336">
        <v>0</v>
      </c>
      <c r="FZ30" s="336">
        <v>0</v>
      </c>
      <c r="GA30" s="336">
        <v>0</v>
      </c>
      <c r="GB30" s="336">
        <v>0</v>
      </c>
      <c r="GC30" s="336">
        <v>0</v>
      </c>
      <c r="GD30" s="336">
        <v>0</v>
      </c>
      <c r="GE30" s="336">
        <v>0</v>
      </c>
      <c r="GF30" s="336">
        <v>0</v>
      </c>
      <c r="GG30" s="336">
        <v>0</v>
      </c>
      <c r="GH30" s="336">
        <v>0</v>
      </c>
      <c r="GI30" s="336">
        <v>0</v>
      </c>
      <c r="GJ30" s="336">
        <v>0</v>
      </c>
      <c r="GK30" s="336">
        <v>0</v>
      </c>
      <c r="GL30" s="336">
        <v>0</v>
      </c>
      <c r="GM30" s="336">
        <v>0</v>
      </c>
      <c r="GN30" s="336">
        <v>0</v>
      </c>
      <c r="GO30" s="336">
        <v>-1301568</v>
      </c>
      <c r="GP30" s="336">
        <v>-417765</v>
      </c>
      <c r="GQ30" s="336">
        <v>0</v>
      </c>
      <c r="GR30" s="336">
        <v>0</v>
      </c>
      <c r="GS30" s="336">
        <v>0</v>
      </c>
      <c r="GT30" s="336">
        <v>0</v>
      </c>
      <c r="GU30" s="336">
        <v>0</v>
      </c>
      <c r="GV30" s="336">
        <v>0</v>
      </c>
      <c r="GW30" s="336">
        <v>0</v>
      </c>
      <c r="GX30" s="336">
        <v>0</v>
      </c>
      <c r="GY30" s="336">
        <v>0</v>
      </c>
      <c r="GZ30" s="336">
        <v>0</v>
      </c>
      <c r="HA30" s="336">
        <v>0</v>
      </c>
      <c r="HB30" s="336">
        <v>0</v>
      </c>
      <c r="HC30" s="336">
        <v>0</v>
      </c>
      <c r="HD30" s="336">
        <v>0</v>
      </c>
      <c r="HE30" s="336">
        <v>0</v>
      </c>
      <c r="HF30" s="336">
        <v>-134042</v>
      </c>
      <c r="HG30" s="336">
        <v>-7391146</v>
      </c>
      <c r="HH30" s="336">
        <v>-2533152</v>
      </c>
      <c r="HI30" s="336">
        <v>0</v>
      </c>
      <c r="HJ30" s="336">
        <v>0</v>
      </c>
      <c r="HK30" s="336">
        <v>0</v>
      </c>
      <c r="HL30" s="336">
        <v>0</v>
      </c>
      <c r="HM30" s="336">
        <v>0</v>
      </c>
      <c r="HN30" s="336">
        <v>0</v>
      </c>
      <c r="HO30" s="336">
        <v>94602</v>
      </c>
      <c r="HP30" s="336">
        <v>3062493</v>
      </c>
      <c r="HQ30" s="336">
        <v>0</v>
      </c>
      <c r="HR30" s="336">
        <v>41441181</v>
      </c>
      <c r="HS30" s="336">
        <v>0</v>
      </c>
      <c r="HT30" s="336">
        <v>0</v>
      </c>
      <c r="HU30" s="336">
        <v>0</v>
      </c>
      <c r="HV30" s="336">
        <v>0</v>
      </c>
      <c r="HW30" s="336">
        <v>0</v>
      </c>
      <c r="HX30" s="336">
        <v>0</v>
      </c>
      <c r="HY30" s="336">
        <v>0</v>
      </c>
      <c r="HZ30" s="336">
        <v>0</v>
      </c>
      <c r="IA30" s="336">
        <v>0</v>
      </c>
      <c r="IB30" s="336">
        <v>0</v>
      </c>
      <c r="IC30" s="336">
        <v>0</v>
      </c>
      <c r="ID30" s="336">
        <v>0</v>
      </c>
      <c r="IE30" s="336">
        <v>0</v>
      </c>
      <c r="IF30" s="336">
        <v>0</v>
      </c>
      <c r="IG30" s="336">
        <v>0</v>
      </c>
      <c r="IH30" s="336">
        <v>0</v>
      </c>
      <c r="II30" s="336">
        <v>0</v>
      </c>
      <c r="IJ30" s="336">
        <v>0</v>
      </c>
      <c r="IK30" s="336">
        <v>0</v>
      </c>
      <c r="IL30" s="336">
        <v>0</v>
      </c>
      <c r="IM30" s="336">
        <v>0</v>
      </c>
      <c r="IN30" s="336">
        <v>0</v>
      </c>
      <c r="IO30" s="336">
        <v>0</v>
      </c>
      <c r="IP30" s="336">
        <v>251782</v>
      </c>
      <c r="IQ30" s="336">
        <v>3036392</v>
      </c>
      <c r="IR30" s="336">
        <v>5886</v>
      </c>
      <c r="IS30" s="336">
        <v>2247364</v>
      </c>
      <c r="IT30" s="336">
        <v>1030</v>
      </c>
      <c r="IU30" s="336">
        <v>4166</v>
      </c>
      <c r="IV30" s="336">
        <v>0</v>
      </c>
      <c r="IW30" s="336">
        <v>0</v>
      </c>
      <c r="IX30" s="336">
        <v>0</v>
      </c>
      <c r="IY30" s="336">
        <v>0</v>
      </c>
      <c r="IZ30" s="336">
        <v>0</v>
      </c>
      <c r="JA30" s="336">
        <v>0</v>
      </c>
      <c r="JB30" s="336">
        <v>0</v>
      </c>
      <c r="JC30" s="336">
        <v>0</v>
      </c>
      <c r="JD30" s="336">
        <v>0</v>
      </c>
      <c r="JE30" s="336">
        <v>0</v>
      </c>
      <c r="JF30" s="336">
        <v>0</v>
      </c>
      <c r="JG30" s="336">
        <v>0</v>
      </c>
      <c r="JH30" s="336">
        <v>0</v>
      </c>
      <c r="JI30" s="336">
        <v>476899</v>
      </c>
      <c r="JJ30" s="336">
        <v>135608</v>
      </c>
      <c r="JK30" s="336">
        <v>12476098</v>
      </c>
      <c r="JL30" s="336">
        <v>0</v>
      </c>
      <c r="JM30" s="336">
        <v>0</v>
      </c>
      <c r="JN30" s="336">
        <v>0</v>
      </c>
      <c r="JO30" s="336">
        <v>0</v>
      </c>
      <c r="JP30" s="336">
        <v>0</v>
      </c>
      <c r="JQ30" s="336">
        <v>192146</v>
      </c>
      <c r="JR30" s="336">
        <v>4749949</v>
      </c>
      <c r="JS30" s="336">
        <v>0</v>
      </c>
      <c r="JT30" s="336">
        <v>688680</v>
      </c>
      <c r="JU30" s="336">
        <v>0</v>
      </c>
      <c r="JV30" s="336">
        <v>0</v>
      </c>
      <c r="JW30" s="336">
        <v>0</v>
      </c>
      <c r="JX30" s="336">
        <v>0</v>
      </c>
      <c r="JY30" s="336">
        <v>0</v>
      </c>
      <c r="JZ30" s="336">
        <v>0</v>
      </c>
      <c r="KA30" s="336">
        <v>0</v>
      </c>
      <c r="KB30" s="336">
        <v>10900743</v>
      </c>
      <c r="KC30" s="336">
        <v>0</v>
      </c>
      <c r="KD30" s="336">
        <v>0</v>
      </c>
      <c r="KE30" s="336">
        <v>0</v>
      </c>
      <c r="KF30" s="336">
        <v>0</v>
      </c>
      <c r="KG30" s="336">
        <v>0</v>
      </c>
      <c r="KH30" s="336">
        <v>0</v>
      </c>
      <c r="KI30" s="336">
        <v>1716</v>
      </c>
      <c r="KJ30" s="336">
        <v>1374456</v>
      </c>
      <c r="KK30" s="336">
        <v>273400</v>
      </c>
      <c r="KL30" s="336">
        <v>19895</v>
      </c>
      <c r="KM30" s="336">
        <v>3</v>
      </c>
      <c r="KN30" s="336">
        <v>0</v>
      </c>
      <c r="KO30" s="336">
        <v>0</v>
      </c>
      <c r="KP30" s="336">
        <v>0</v>
      </c>
      <c r="KQ30" s="336">
        <v>-14226</v>
      </c>
      <c r="KR30" s="336">
        <v>31625389</v>
      </c>
      <c r="KS30" s="336">
        <v>7754364</v>
      </c>
      <c r="KT30" s="336">
        <v>0</v>
      </c>
      <c r="KU30" s="336">
        <v>4098838</v>
      </c>
      <c r="KV30" s="336">
        <v>0</v>
      </c>
      <c r="KW30" s="336">
        <v>0</v>
      </c>
      <c r="KX30" s="336">
        <v>0</v>
      </c>
      <c r="KY30" s="336">
        <v>0</v>
      </c>
      <c r="KZ30" s="336">
        <v>0</v>
      </c>
      <c r="LA30" s="336">
        <v>2935179</v>
      </c>
      <c r="LB30" s="336">
        <v>1435400</v>
      </c>
      <c r="LC30" s="336">
        <v>0</v>
      </c>
      <c r="LD30" s="336">
        <v>21425891</v>
      </c>
      <c r="LE30" s="336">
        <v>0</v>
      </c>
      <c r="LF30" s="336">
        <v>0</v>
      </c>
      <c r="LG30" s="336">
        <v>0</v>
      </c>
      <c r="LH30" s="336">
        <v>0</v>
      </c>
      <c r="LI30" s="336">
        <v>0</v>
      </c>
      <c r="LJ30" s="336">
        <v>83427</v>
      </c>
      <c r="LK30" s="336">
        <v>391203</v>
      </c>
      <c r="LL30" s="336">
        <v>0</v>
      </c>
      <c r="LM30" s="336">
        <v>170145</v>
      </c>
      <c r="LN30" s="336">
        <v>0</v>
      </c>
      <c r="LO30" s="336">
        <v>0</v>
      </c>
      <c r="LP30" s="336">
        <v>0</v>
      </c>
      <c r="LQ30" s="336">
        <v>0</v>
      </c>
      <c r="LR30" s="336">
        <v>0</v>
      </c>
      <c r="LS30" s="336">
        <v>0</v>
      </c>
      <c r="LT30" s="336">
        <v>0</v>
      </c>
      <c r="LU30" s="336">
        <v>0</v>
      </c>
      <c r="LV30" s="336">
        <v>0</v>
      </c>
      <c r="LW30" s="336">
        <v>0</v>
      </c>
      <c r="LX30" s="336">
        <v>0</v>
      </c>
      <c r="LY30" s="336">
        <v>0</v>
      </c>
      <c r="LZ30" s="336">
        <v>0</v>
      </c>
      <c r="MA30" s="336">
        <v>0</v>
      </c>
      <c r="MB30" s="336">
        <v>10260709</v>
      </c>
      <c r="MC30" s="336">
        <v>6959677</v>
      </c>
      <c r="MD30" s="336">
        <v>0</v>
      </c>
      <c r="ME30" s="336">
        <v>1253619</v>
      </c>
      <c r="MF30" s="336">
        <v>0</v>
      </c>
      <c r="MG30" s="336">
        <v>0</v>
      </c>
      <c r="MH30" s="336">
        <v>0</v>
      </c>
      <c r="MI30" s="336">
        <v>0</v>
      </c>
      <c r="MJ30" s="336">
        <v>0</v>
      </c>
      <c r="MK30" s="336">
        <v>4850571</v>
      </c>
      <c r="ML30" s="336">
        <v>11019990</v>
      </c>
      <c r="MM30" s="336">
        <v>0</v>
      </c>
      <c r="MN30" s="336">
        <v>2428710</v>
      </c>
      <c r="MO30" s="336">
        <v>1460</v>
      </c>
      <c r="MP30" s="336">
        <v>0</v>
      </c>
      <c r="MQ30" s="336">
        <v>0</v>
      </c>
      <c r="MR30" s="336">
        <v>0</v>
      </c>
      <c r="MS30" s="336">
        <v>0</v>
      </c>
      <c r="MT30" s="336">
        <v>6893762</v>
      </c>
      <c r="MU30" s="336">
        <v>7771579</v>
      </c>
      <c r="MV30" s="336">
        <v>0</v>
      </c>
      <c r="MW30" s="336">
        <v>493521</v>
      </c>
      <c r="MX30" s="336">
        <v>0</v>
      </c>
      <c r="MY30" s="336">
        <v>0</v>
      </c>
      <c r="MZ30" s="336">
        <v>0</v>
      </c>
      <c r="NA30" s="336">
        <v>0</v>
      </c>
      <c r="NB30" s="336">
        <v>0</v>
      </c>
      <c r="NC30" s="336">
        <v>3686857</v>
      </c>
      <c r="ND30" s="336">
        <v>9140383</v>
      </c>
      <c r="NE30" s="336">
        <v>0</v>
      </c>
      <c r="NF30" s="336">
        <v>178681</v>
      </c>
      <c r="NG30" s="336">
        <v>0</v>
      </c>
      <c r="NH30" s="336">
        <v>0</v>
      </c>
      <c r="NI30" s="336">
        <v>4659371</v>
      </c>
      <c r="NJ30" s="336">
        <v>0</v>
      </c>
      <c r="NK30" s="336">
        <v>0</v>
      </c>
      <c r="NL30" s="336">
        <v>630573</v>
      </c>
      <c r="NM30" s="336">
        <v>4240264</v>
      </c>
      <c r="NN30" s="336">
        <v>0</v>
      </c>
      <c r="NO30" s="336">
        <v>7467821</v>
      </c>
      <c r="NP30" s="336">
        <v>0</v>
      </c>
      <c r="NQ30" s="336">
        <v>0</v>
      </c>
      <c r="NR30" s="336">
        <v>0</v>
      </c>
      <c r="NS30" s="336">
        <v>0</v>
      </c>
      <c r="NT30" s="336">
        <v>0</v>
      </c>
      <c r="NU30" s="336">
        <v>0</v>
      </c>
      <c r="NV30" s="336">
        <v>0</v>
      </c>
      <c r="NW30" s="336">
        <v>25406010</v>
      </c>
      <c r="NX30" s="336">
        <v>0</v>
      </c>
      <c r="NY30" s="336">
        <v>0</v>
      </c>
      <c r="NZ30" s="336">
        <v>0</v>
      </c>
      <c r="OA30" s="336">
        <v>0</v>
      </c>
      <c r="OB30" s="336">
        <v>0</v>
      </c>
      <c r="OC30" s="336">
        <v>0</v>
      </c>
      <c r="OD30" s="336">
        <v>487868</v>
      </c>
      <c r="OE30" s="336">
        <v>230407</v>
      </c>
      <c r="OF30" s="336">
        <v>246335</v>
      </c>
      <c r="OG30" s="336">
        <v>3664024</v>
      </c>
      <c r="OH30" s="336">
        <v>0</v>
      </c>
      <c r="OI30" s="336">
        <v>0</v>
      </c>
      <c r="OJ30" s="336">
        <v>0</v>
      </c>
      <c r="OK30" s="336">
        <v>0</v>
      </c>
      <c r="OL30" s="336">
        <v>0</v>
      </c>
      <c r="OM30" s="336">
        <v>500</v>
      </c>
      <c r="ON30" s="336">
        <v>392716</v>
      </c>
      <c r="OO30" s="336">
        <v>0</v>
      </c>
      <c r="OP30" s="336">
        <v>0</v>
      </c>
      <c r="OQ30" s="336">
        <v>0</v>
      </c>
      <c r="OR30" s="336">
        <v>0</v>
      </c>
      <c r="OS30" s="336">
        <v>0</v>
      </c>
      <c r="OT30" s="336">
        <v>0</v>
      </c>
      <c r="OU30" s="336">
        <v>2059220</v>
      </c>
      <c r="OV30" s="336">
        <v>0</v>
      </c>
      <c r="OW30" s="336">
        <v>0</v>
      </c>
      <c r="OX30" s="336">
        <v>0</v>
      </c>
      <c r="OY30" s="336">
        <v>0</v>
      </c>
      <c r="OZ30" s="336">
        <v>0</v>
      </c>
      <c r="PA30" s="336">
        <v>0</v>
      </c>
      <c r="PB30" s="336">
        <v>6428490</v>
      </c>
      <c r="PC30" s="336">
        <v>0</v>
      </c>
      <c r="PD30" s="336">
        <v>0</v>
      </c>
      <c r="PE30" s="336">
        <v>622323</v>
      </c>
      <c r="PF30" s="336">
        <v>5020276</v>
      </c>
      <c r="PG30" s="336">
        <v>15522727</v>
      </c>
      <c r="PH30" s="336">
        <v>-22390205</v>
      </c>
      <c r="PI30" s="336">
        <v>5892</v>
      </c>
      <c r="PJ30" s="336">
        <v>27952</v>
      </c>
      <c r="PK30" s="336">
        <v>2327598</v>
      </c>
      <c r="PL30" s="336">
        <v>0</v>
      </c>
      <c r="PM30" s="336">
        <v>0</v>
      </c>
      <c r="PN30" s="336">
        <v>0</v>
      </c>
      <c r="PO30" s="336">
        <v>0</v>
      </c>
      <c r="PP30" s="336">
        <v>0</v>
      </c>
      <c r="PQ30" s="336">
        <v>0</v>
      </c>
      <c r="PR30" s="336">
        <v>0</v>
      </c>
      <c r="PS30" s="336">
        <v>0</v>
      </c>
      <c r="PT30" s="336">
        <v>0</v>
      </c>
      <c r="PU30" s="336">
        <v>0</v>
      </c>
      <c r="PV30" s="336">
        <v>0</v>
      </c>
      <c r="PW30" s="336">
        <v>-10961962</v>
      </c>
      <c r="PX30" s="336">
        <v>0</v>
      </c>
      <c r="PY30" s="336">
        <v>-5780268</v>
      </c>
      <c r="PZ30" s="336">
        <v>0</v>
      </c>
      <c r="QA30" s="336">
        <v>0</v>
      </c>
      <c r="QB30" s="336">
        <v>0</v>
      </c>
      <c r="QC30" s="336">
        <v>0</v>
      </c>
      <c r="QD30" s="336">
        <v>0</v>
      </c>
      <c r="QE30" s="336">
        <v>0</v>
      </c>
      <c r="QF30" s="336">
        <v>0</v>
      </c>
      <c r="QG30" s="336">
        <v>6028385</v>
      </c>
      <c r="QH30" s="336">
        <v>0</v>
      </c>
      <c r="QI30" s="336">
        <v>3919945</v>
      </c>
      <c r="QJ30" s="336">
        <v>0</v>
      </c>
      <c r="QK30" s="336">
        <v>2143047</v>
      </c>
      <c r="QL30" s="336">
        <v>0</v>
      </c>
      <c r="QM30" s="336">
        <v>0</v>
      </c>
      <c r="QN30" s="336">
        <v>0</v>
      </c>
      <c r="QO30" s="336">
        <v>0</v>
      </c>
      <c r="QP30" s="336">
        <v>0</v>
      </c>
      <c r="QQ30" s="336">
        <v>0</v>
      </c>
      <c r="QR30" s="336">
        <v>0</v>
      </c>
      <c r="QS30" s="336">
        <v>0</v>
      </c>
      <c r="QT30" s="336">
        <v>106365</v>
      </c>
      <c r="QU30" s="336">
        <v>0</v>
      </c>
      <c r="QV30" s="336">
        <v>0</v>
      </c>
      <c r="QW30" s="336">
        <v>0</v>
      </c>
      <c r="QX30" s="336">
        <v>0</v>
      </c>
      <c r="QY30" s="336">
        <v>0</v>
      </c>
      <c r="QZ30" s="336">
        <v>0</v>
      </c>
      <c r="RA30" s="336">
        <v>0</v>
      </c>
      <c r="RB30" s="336">
        <v>0</v>
      </c>
      <c r="RC30" s="336">
        <v>0</v>
      </c>
      <c r="RD30" s="336">
        <v>0</v>
      </c>
      <c r="RE30" s="336">
        <v>0</v>
      </c>
      <c r="RF30" s="336">
        <v>0</v>
      </c>
      <c r="RG30" s="336">
        <v>0</v>
      </c>
      <c r="RH30" s="336">
        <v>0</v>
      </c>
      <c r="RI30" s="336">
        <v>0</v>
      </c>
      <c r="RJ30" s="336">
        <v>0</v>
      </c>
      <c r="RK30" s="336">
        <v>0</v>
      </c>
      <c r="RL30" s="336">
        <v>0</v>
      </c>
      <c r="RM30" s="336">
        <v>0</v>
      </c>
      <c r="RN30" s="336">
        <v>0</v>
      </c>
      <c r="RO30" s="336">
        <v>-13680730</v>
      </c>
      <c r="RP30" s="336">
        <v>0</v>
      </c>
      <c r="RQ30" s="336">
        <v>0</v>
      </c>
      <c r="RR30" s="336">
        <v>0</v>
      </c>
      <c r="RS30" s="336">
        <v>0</v>
      </c>
      <c r="RT30" s="336">
        <v>0</v>
      </c>
      <c r="RU30" s="336">
        <v>0</v>
      </c>
      <c r="RV30" s="336">
        <v>0</v>
      </c>
      <c r="RW30" s="336">
        <v>0</v>
      </c>
      <c r="RX30" s="336">
        <v>445</v>
      </c>
      <c r="RY30" s="336">
        <v>0</v>
      </c>
      <c r="RZ30" s="336">
        <v>0</v>
      </c>
      <c r="SA30" s="336">
        <v>0</v>
      </c>
      <c r="SB30" s="336">
        <v>0</v>
      </c>
      <c r="SC30" s="336">
        <v>0</v>
      </c>
      <c r="SD30" s="336">
        <v>0</v>
      </c>
      <c r="SE30" s="336">
        <v>0</v>
      </c>
      <c r="SF30" s="336">
        <v>0</v>
      </c>
      <c r="SG30" s="336">
        <v>0</v>
      </c>
      <c r="SH30" s="336">
        <v>0</v>
      </c>
      <c r="SI30" s="336">
        <v>0</v>
      </c>
      <c r="SJ30" s="336">
        <v>0</v>
      </c>
      <c r="SK30" s="336">
        <v>0</v>
      </c>
      <c r="SL30" s="336">
        <v>0</v>
      </c>
      <c r="SM30" s="336">
        <v>0</v>
      </c>
      <c r="SN30" s="336">
        <v>0</v>
      </c>
      <c r="SO30" s="336">
        <v>0</v>
      </c>
      <c r="SP30" s="336">
        <v>111601</v>
      </c>
      <c r="SQ30" s="336">
        <v>487868</v>
      </c>
      <c r="SR30" s="336">
        <v>230407</v>
      </c>
      <c r="SS30" s="336">
        <v>246335</v>
      </c>
      <c r="ST30" s="336">
        <v>3664024</v>
      </c>
      <c r="SU30" s="336">
        <v>0</v>
      </c>
      <c r="SV30" s="336">
        <v>0</v>
      </c>
      <c r="SW30" s="336">
        <v>-6428490</v>
      </c>
      <c r="SX30" s="336">
        <v>0</v>
      </c>
      <c r="SY30" s="336">
        <v>0</v>
      </c>
      <c r="SZ30" s="336" t="s">
        <v>1420</v>
      </c>
      <c r="TA30" s="336" t="s">
        <v>1420</v>
      </c>
      <c r="TB30" s="336" t="s">
        <v>1420</v>
      </c>
      <c r="TC30" s="336">
        <v>151995</v>
      </c>
      <c r="TD30" s="336">
        <v>1759030</v>
      </c>
      <c r="TE30" s="336">
        <v>207</v>
      </c>
      <c r="TF30" s="336">
        <v>0</v>
      </c>
      <c r="TG30" s="336">
        <v>245971</v>
      </c>
      <c r="TH30" s="336">
        <v>11264</v>
      </c>
      <c r="TI30" s="336">
        <v>58600</v>
      </c>
      <c r="TJ30" s="336">
        <v>2155232</v>
      </c>
      <c r="TK30" s="336">
        <v>0</v>
      </c>
      <c r="TL30" s="336">
        <v>246335</v>
      </c>
      <c r="TM30" s="336">
        <v>0</v>
      </c>
      <c r="TN30" s="336">
        <v>0</v>
      </c>
      <c r="TO30" s="336">
        <v>559640</v>
      </c>
      <c r="TP30" s="336">
        <v>0</v>
      </c>
      <c r="TQ30" s="336">
        <v>0</v>
      </c>
      <c r="TR30" s="336">
        <v>0</v>
      </c>
      <c r="TS30" s="336">
        <v>0</v>
      </c>
      <c r="TT30" s="336">
        <v>0</v>
      </c>
      <c r="TU30" s="336">
        <v>0</v>
      </c>
      <c r="TV30" s="336">
        <v>0</v>
      </c>
      <c r="TW30" s="336">
        <v>0</v>
      </c>
      <c r="TX30" s="336">
        <v>14135</v>
      </c>
      <c r="TY30" s="336">
        <v>0</v>
      </c>
      <c r="TZ30" s="336">
        <v>0</v>
      </c>
      <c r="UA30" s="336">
        <v>0</v>
      </c>
      <c r="UB30" s="336">
        <v>0</v>
      </c>
      <c r="UC30" s="336">
        <v>0</v>
      </c>
      <c r="UD30" s="336">
        <v>0</v>
      </c>
      <c r="UE30" s="336">
        <v>0</v>
      </c>
      <c r="UF30" s="336">
        <v>0</v>
      </c>
      <c r="UG30" s="336">
        <v>0</v>
      </c>
      <c r="UH30" s="336">
        <v>43478591</v>
      </c>
      <c r="UI30" s="336">
        <v>25796470</v>
      </c>
      <c r="UJ30" s="336">
        <v>644775</v>
      </c>
      <c r="UK30" s="336">
        <v>0</v>
      </c>
      <c r="UL30" s="336">
        <v>18474005</v>
      </c>
      <c r="UM30" s="336">
        <v>18300731</v>
      </c>
      <c r="UN30" s="336">
        <v>15158862</v>
      </c>
      <c r="UO30" s="336">
        <v>17665292</v>
      </c>
      <c r="UP30" s="336">
        <v>12338658</v>
      </c>
      <c r="UQ30" s="336">
        <v>25406010</v>
      </c>
      <c r="UR30"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4628634</v>
      </c>
      <c r="US30" s="338">
        <f>SUM(Input[[#This Row],[Oth Exp E&amp;G]],Input[[#This Row],[Oth Exp Desg]],Input[[#This Row],[Oth Exp Aux]],Input[[#This Row],[Oth Exp R Exp]],Input[[#This Row],[Oth Exp Loan]],Input[[#This Row],[Oth Exp Annuity]],Input[[#This Row],[Oth Exp Unexp]],Input[[#This Row],[Oth Exp R of Ind]],Input[[#This Row],[Oth Exp Inv in P]])</f>
        <v>2452436</v>
      </c>
      <c r="UT30" s="336">
        <v>-2837112</v>
      </c>
      <c r="UU30" s="336">
        <v>12091377</v>
      </c>
      <c r="UV30" s="339" t="s">
        <v>1432</v>
      </c>
      <c r="UW30" s="340">
        <v>9798459761</v>
      </c>
      <c r="UX30" s="339" t="s">
        <v>1433</v>
      </c>
      <c r="UY30" s="339" t="s">
        <v>1436</v>
      </c>
      <c r="UZ30" s="340"/>
      <c r="VA30" s="339"/>
      <c r="VB30" s="341" cm="1">
        <f t="array" ref="VB30">IFERROR(_xlfn.IFS(Input[[#This Row],[Type]]="HRI",VLOOKUP(Input[[#This Row],[Institution Name]],FTSEHRI[],9,FALSE),Input[[#This Row],[Type]]="UNIV",VLOOKUP(Input[[#This Row],[Institution Name]],FTSEUNIV[],9,FALSE),OR(Input[[#This Row],[Type]]="TSTC",Input[[#This Row],[Type]]="LSC"),VLOOKUP(Input[[#This Row],[Institution Name]],FTSETSTC[],8,FALSE)),"N/A")</f>
        <v>5361.74</v>
      </c>
      <c r="VC30" s="342" t="str" cm="1">
        <f t="array" ref="VC30">IFERROR(_xlfn.IFS(Input[[#This Row],[Type]]="HRI",VLOOKUP(Input[[#This Row],[Institution Name]],FTSEHRI[],11,FALSE),Input[[#This Row],[Type]]="UNIV",VLOOKUP(Input[[#This Row],[Institution Name]],FTSEUNIV[],11,FALSE),Input[[#This Row],[Type]]="TSTC",VLOOKUP(Input[[#This Row],[Institution Name]],FTSETSTC[],10,FALSE)),"N/A")</f>
        <v>N/A</v>
      </c>
      <c r="VD30"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62704652</v>
      </c>
      <c r="VE30"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9125307</v>
      </c>
      <c r="VF30" s="338">
        <f>SUM(Input[[#This Row],[Fed G&amp;C E&amp;G]],Input[[#This Row],[Fed G&amp;C Desg]],Input[[#This Row],[Fed G&amp;C R Exp]],Input[[#This Row],[Fed G&amp;C Loan]],Input[[#This Row],[Fed G&amp;C Annuity]],Input[[#This Row],[Fed G&amp;C Unexp]],Input[[#This Row],[Fed G&amp;C R of Ind]],Input[[#This Row],[Fed G&amp;C Inv in P]])</f>
        <v>44598276</v>
      </c>
      <c r="VG30"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25506350</v>
      </c>
      <c r="VH30"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19786109</v>
      </c>
      <c r="VI30"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13226411</v>
      </c>
      <c r="VJ30" s="338">
        <f>SUM(Input[[#This Row],[Oth Inc E&amp;G]],Input[[#This Row],[Oth Exp Desg]],Input[[#This Row],[Oth Exp R Exp]],Input[[#This Row],[Oth Exp Loan]],Input[[#This Row],[Oth Exp Annuity]],Input[[#This Row],[Oth Exp Unexp]],Input[[#This Row],[Oth Exp R of Ind]],Input[[#This Row],[Oth Exp Inv in P]])</f>
        <v>2453652</v>
      </c>
      <c r="VK30" s="343">
        <f>SUM(Input[[#This Row],[Instr E&amp;G]],Input[[#This Row],[Instr Desg]],Input[[#This Row],[Instr R Exp]],Input[[#This Row],[Instr Loan]],Input[[#This Row],[Instr Annuity]],Input[[#This Row],[Instr Unexp]],Input[[#This Row],[Instr R of Ind]],Input[[#This Row],[Instr Inv in P]])</f>
        <v>43478591</v>
      </c>
      <c r="VL30" s="343">
        <f>SUM(Input[[#This Row],[Res E&amp;G]],Input[[#This Row],[Res Desg]],Input[[#This Row],[Res R Exp]],Input[[#This Row],[Res Loan]],Input[[#This Row],[Res Annuity]],Input[[#This Row],[Res Unexp]],Input[[#This Row],[Res R of Ind]],Input[[#This Row],[Res Inv in P]])</f>
        <v>25796470</v>
      </c>
      <c r="VM30" s="343">
        <f>SUM(Input[[#This Row],[Acad Sup E&amp;G]],Input[[#This Row],[Acad Sup Desg]],Input[[#This Row],[Acad Sup R Exp]],Input[[#This Row],[Acad Sup Loan]],Input[[#This Row],[Acad Sup Annuity]],Input[[#This Row],[Acad Sup Unexp]],Input[[#This Row],[Acad Sup R of Ind]],Input[[#This Row],[Acad Sup Inv in P]])</f>
        <v>18474005</v>
      </c>
      <c r="VN30" s="343">
        <f>SUM(Input[[#This Row],[Stu Svc E&amp;G]],Input[[#This Row],[Stu Svc Desg]],Input[[#This Row],[Stu Svc R Exp]],Input[[#This Row],[Stu Svc Loan]],Input[[#This Row],[Stu Svc Annuity]],Input[[#This Row],[Stu Svc Unexp]],Input[[#This Row],[Stu Svc R of Ind]],Input[[#This Row],[Stu Svc Inv in P]])</f>
        <v>18300731</v>
      </c>
      <c r="VO30" s="343">
        <f>SUM(Input[[#This Row],[Inst. Spt E&amp;G]],Input[[#This Row],[Inst. Spt Desg]],Input[[#This Row],[Inst. Spt R Exp]],Input[[#This Row],[Inst. Spt Loan]],Input[[#This Row],[Inst. Spt Annuity]],Input[[#This Row],[Inst. Spt Unexp]],Input[[#This Row],[Inst. Spt R of Ind]],Input[[#This Row],[Inst. Spt Inv in P]])</f>
        <v>15158862</v>
      </c>
      <c r="VP30" s="343">
        <f>SUM(Input[[#This Row],[M&amp;O Plnt E&amp;G]],Input[[#This Row],[M&amp;O Plnt Desg]],Input[[#This Row],[M&amp;O Plnt R Exp]],Input[[#This Row],[M&amp;O Plnt Loan]],Input[[#This Row],[M&amp;O Plnt Annuity]],Input[[#This Row],[M&amp;O Plnt Unexp]],Input[[#This Row],[M&amp;O Plnt R of Ind]],Input[[#This Row],[M&amp;O Plnt Inv in P]])</f>
        <v>17665292</v>
      </c>
      <c r="VQ30" s="343">
        <f>SUM(Input[[#This Row],[Schl &amp; Fell E&amp;G]],Input[[#This Row],[Schl &amp; Fell Desg]],Input[[#This Row],[Schl &amp; Fell R Exp]],Input[[#This Row],[Schl &amp; Fell Loan]],Input[[#This Row],[Schl &amp; Fell Annuity]],Input[[#This Row],[Schl &amp; Fell Unexp]],Input[[#This Row],[Schl &amp; Fell R of Ind]],Input[[#This Row],[Schl &amp; Fell Inv in P]])</f>
        <v>12338658</v>
      </c>
      <c r="VR30" s="343">
        <f>SUM(Input[[#This Row],[Cap Out fund E&amp;G]],Input[[#This Row],[Cap Out fund Desg]],Input[[#This Row],[Cap Out fund R Exp]],Input[[#This Row],[Cap Out fund Loan]],Input[[#This Row],[Cap Out fund Annuity]],Input[[#This Row],[Cap Out fund Unexp]],Input[[#This Row],[Cap Out fund R of Ind]],Input[[#This Row],[Cap Out fund Inv in P]])</f>
        <v>4382299</v>
      </c>
      <c r="VS30" s="343">
        <f>SUM(Input[[#This Row],[Oth Exp E&amp;G]],Input[[#This Row],[Oth Exp Desg]],Input[[#This Row],[Oth Exp R Exp]],Input[[#This Row],[Oth Exp Loan]],Input[[#This Row],[Oth Exp Annuity]],Input[[#This Row],[Oth Exp Unexp]],Input[[#This Row],[Oth Exp R of Ind]],Input[[#This Row],[Oth Exp Inv in P]],Input[[#This Row],[Oth Exp Inv in P]])</f>
        <v>4511656</v>
      </c>
    </row>
    <row r="31" spans="1:591" s="344" customFormat="1" ht="27" customHeight="1" x14ac:dyDescent="0.55000000000000004">
      <c r="A31" s="339" t="s">
        <v>77</v>
      </c>
      <c r="B31" s="334" t="s">
        <v>830</v>
      </c>
      <c r="C31" s="334" t="s">
        <v>21</v>
      </c>
      <c r="D31" s="334">
        <v>226</v>
      </c>
      <c r="E31" s="334" t="s">
        <v>1622</v>
      </c>
      <c r="F31" s="335">
        <v>42485</v>
      </c>
      <c r="G31" s="336">
        <v>43052665</v>
      </c>
      <c r="H31" s="336">
        <v>0</v>
      </c>
      <c r="I31" s="336">
        <v>0</v>
      </c>
      <c r="J31" s="336">
        <v>0</v>
      </c>
      <c r="K31" s="336">
        <v>0</v>
      </c>
      <c r="L31" s="336">
        <v>0</v>
      </c>
      <c r="M31" s="336">
        <v>0</v>
      </c>
      <c r="N31" s="336">
        <v>0</v>
      </c>
      <c r="O31" s="336">
        <v>0</v>
      </c>
      <c r="P31" s="336">
        <v>-3348</v>
      </c>
      <c r="Q31" s="336">
        <v>72914</v>
      </c>
      <c r="R31" s="336">
        <v>0</v>
      </c>
      <c r="S31" s="336">
        <v>6081100</v>
      </c>
      <c r="T31" s="336">
        <v>0</v>
      </c>
      <c r="U31" s="336">
        <v>0</v>
      </c>
      <c r="V31" s="336">
        <v>0</v>
      </c>
      <c r="W31" s="336">
        <v>0</v>
      </c>
      <c r="X31" s="336">
        <v>0</v>
      </c>
      <c r="Y31" s="336">
        <v>0</v>
      </c>
      <c r="Z31" s="336">
        <v>0</v>
      </c>
      <c r="AA31" s="336">
        <v>0</v>
      </c>
      <c r="AB31" s="336">
        <v>0</v>
      </c>
      <c r="AC31" s="336">
        <v>0</v>
      </c>
      <c r="AD31" s="336">
        <v>0</v>
      </c>
      <c r="AE31" s="336">
        <v>0</v>
      </c>
      <c r="AF31" s="336">
        <v>0</v>
      </c>
      <c r="AG31" s="336">
        <v>0</v>
      </c>
      <c r="AH31" s="336">
        <v>0</v>
      </c>
      <c r="AI31" s="336">
        <v>0</v>
      </c>
      <c r="AJ31" s="336">
        <v>0</v>
      </c>
      <c r="AK31" s="336">
        <v>0</v>
      </c>
      <c r="AL31" s="336">
        <v>0</v>
      </c>
      <c r="AM31" s="336">
        <v>0</v>
      </c>
      <c r="AN31" s="336">
        <v>0</v>
      </c>
      <c r="AO31" s="336">
        <v>0</v>
      </c>
      <c r="AP31" s="336">
        <v>0</v>
      </c>
      <c r="AQ31" s="336">
        <v>0</v>
      </c>
      <c r="AR31" s="336">
        <v>0</v>
      </c>
      <c r="AS31" s="336">
        <v>0</v>
      </c>
      <c r="AT31" s="336">
        <v>0</v>
      </c>
      <c r="AU31" s="336">
        <v>0</v>
      </c>
      <c r="AV31" s="336">
        <v>0</v>
      </c>
      <c r="AW31" s="336">
        <v>0</v>
      </c>
      <c r="AX31" s="336">
        <v>0</v>
      </c>
      <c r="AY31" s="336">
        <v>0</v>
      </c>
      <c r="AZ31" s="336">
        <v>0</v>
      </c>
      <c r="BA31" s="336">
        <v>0</v>
      </c>
      <c r="BB31" s="336">
        <v>0</v>
      </c>
      <c r="BC31" s="336">
        <v>0</v>
      </c>
      <c r="BD31" s="336">
        <v>0</v>
      </c>
      <c r="BE31" s="336">
        <v>0</v>
      </c>
      <c r="BF31" s="336">
        <v>0</v>
      </c>
      <c r="BG31" s="336">
        <v>0</v>
      </c>
      <c r="BH31" s="336">
        <v>0</v>
      </c>
      <c r="BI31" s="336">
        <v>0</v>
      </c>
      <c r="BJ31" s="336">
        <v>0</v>
      </c>
      <c r="BK31" s="336">
        <v>0</v>
      </c>
      <c r="BL31" s="336">
        <v>0</v>
      </c>
      <c r="BM31" s="336">
        <v>0</v>
      </c>
      <c r="BN31" s="336">
        <v>0</v>
      </c>
      <c r="BO31" s="336">
        <v>0</v>
      </c>
      <c r="BP31" s="336">
        <v>0</v>
      </c>
      <c r="BQ31" s="336">
        <v>0</v>
      </c>
      <c r="BR31" s="336">
        <v>0</v>
      </c>
      <c r="BS31" s="336">
        <v>0</v>
      </c>
      <c r="BT31" s="336">
        <v>0</v>
      </c>
      <c r="BU31" s="336">
        <v>0</v>
      </c>
      <c r="BV31" s="336">
        <v>0</v>
      </c>
      <c r="BW31" s="336">
        <v>0</v>
      </c>
      <c r="BX31" s="336">
        <v>0</v>
      </c>
      <c r="BY31" s="336">
        <v>0</v>
      </c>
      <c r="BZ31" s="336">
        <v>0</v>
      </c>
      <c r="CA31" s="336">
        <v>9329620</v>
      </c>
      <c r="CB31" s="336">
        <v>18591556</v>
      </c>
      <c r="CC31" s="336">
        <v>0</v>
      </c>
      <c r="CD31" s="336">
        <v>0</v>
      </c>
      <c r="CE31" s="336">
        <v>0</v>
      </c>
      <c r="CF31" s="336">
        <v>0</v>
      </c>
      <c r="CG31" s="336">
        <v>0</v>
      </c>
      <c r="CH31" s="336">
        <v>0</v>
      </c>
      <c r="CI31" s="336">
        <v>0</v>
      </c>
      <c r="CJ31" s="336">
        <v>0</v>
      </c>
      <c r="CK31" s="336">
        <v>0</v>
      </c>
      <c r="CL31" s="336">
        <v>0</v>
      </c>
      <c r="CM31" s="336">
        <v>0</v>
      </c>
      <c r="CN31" s="336">
        <v>0</v>
      </c>
      <c r="CO31" s="336">
        <v>0</v>
      </c>
      <c r="CP31" s="336">
        <v>0</v>
      </c>
      <c r="CQ31" s="336">
        <v>0</v>
      </c>
      <c r="CR31" s="336">
        <v>0</v>
      </c>
      <c r="CS31" s="336">
        <v>0</v>
      </c>
      <c r="CT31" s="336">
        <v>0</v>
      </c>
      <c r="CU31" s="336">
        <v>0</v>
      </c>
      <c r="CV31" s="336">
        <v>0</v>
      </c>
      <c r="CW31" s="336">
        <v>0</v>
      </c>
      <c r="CX31" s="336">
        <v>0</v>
      </c>
      <c r="CY31" s="336">
        <v>0</v>
      </c>
      <c r="CZ31" s="336">
        <v>0</v>
      </c>
      <c r="DA31" s="336">
        <v>0</v>
      </c>
      <c r="DB31" s="336">
        <v>-959087</v>
      </c>
      <c r="DC31" s="336">
        <v>0</v>
      </c>
      <c r="DD31" s="336">
        <v>0</v>
      </c>
      <c r="DE31" s="336">
        <v>0</v>
      </c>
      <c r="DF31" s="336">
        <v>0</v>
      </c>
      <c r="DG31" s="336">
        <v>0</v>
      </c>
      <c r="DH31" s="336">
        <v>0</v>
      </c>
      <c r="DI31" s="336">
        <v>0</v>
      </c>
      <c r="DJ31" s="336">
        <v>0</v>
      </c>
      <c r="DK31" s="336">
        <v>0</v>
      </c>
      <c r="DL31" s="336">
        <v>-2089296</v>
      </c>
      <c r="DM31" s="336">
        <v>0</v>
      </c>
      <c r="DN31" s="336">
        <v>0</v>
      </c>
      <c r="DO31" s="336">
        <v>0</v>
      </c>
      <c r="DP31" s="336">
        <v>0</v>
      </c>
      <c r="DQ31" s="336">
        <v>0</v>
      </c>
      <c r="DR31" s="336">
        <v>0</v>
      </c>
      <c r="DS31" s="336">
        <v>0</v>
      </c>
      <c r="DT31" s="336">
        <v>-1455926</v>
      </c>
      <c r="DU31" s="336">
        <v>-2723210</v>
      </c>
      <c r="DV31" s="336">
        <v>0</v>
      </c>
      <c r="DW31" s="336">
        <v>0</v>
      </c>
      <c r="DX31" s="336">
        <v>0</v>
      </c>
      <c r="DY31" s="336">
        <v>0</v>
      </c>
      <c r="DZ31" s="336">
        <v>0</v>
      </c>
      <c r="EA31" s="336">
        <v>0</v>
      </c>
      <c r="EB31" s="336">
        <v>0</v>
      </c>
      <c r="EC31" s="336">
        <v>0</v>
      </c>
      <c r="ED31" s="336">
        <v>0</v>
      </c>
      <c r="EE31" s="336">
        <v>0</v>
      </c>
      <c r="EF31" s="336">
        <v>0</v>
      </c>
      <c r="EG31" s="336">
        <v>0</v>
      </c>
      <c r="EH31" s="336">
        <v>0</v>
      </c>
      <c r="EI31" s="336">
        <v>0</v>
      </c>
      <c r="EJ31" s="336">
        <v>0</v>
      </c>
      <c r="EK31" s="336">
        <v>0</v>
      </c>
      <c r="EL31" s="336">
        <v>0</v>
      </c>
      <c r="EM31" s="336">
        <v>0</v>
      </c>
      <c r="EN31" s="336">
        <v>0</v>
      </c>
      <c r="EO31" s="336">
        <v>0</v>
      </c>
      <c r="EP31" s="336">
        <v>0</v>
      </c>
      <c r="EQ31" s="336">
        <v>0</v>
      </c>
      <c r="ER31" s="336">
        <v>0</v>
      </c>
      <c r="ES31" s="336">
        <v>0</v>
      </c>
      <c r="ET31" s="336">
        <v>0</v>
      </c>
      <c r="EU31" s="336">
        <v>0</v>
      </c>
      <c r="EV31" s="336">
        <v>0</v>
      </c>
      <c r="EW31" s="336">
        <v>0</v>
      </c>
      <c r="EX31" s="336">
        <v>0</v>
      </c>
      <c r="EY31" s="336">
        <v>0</v>
      </c>
      <c r="EZ31" s="336">
        <v>0</v>
      </c>
      <c r="FA31" s="336">
        <v>0</v>
      </c>
      <c r="FB31" s="336">
        <v>0</v>
      </c>
      <c r="FC31" s="336">
        <v>0</v>
      </c>
      <c r="FD31" s="336">
        <v>0</v>
      </c>
      <c r="FE31" s="336">
        <v>0</v>
      </c>
      <c r="FF31" s="336">
        <v>0</v>
      </c>
      <c r="FG31" s="336">
        <v>0</v>
      </c>
      <c r="FH31" s="336">
        <v>0</v>
      </c>
      <c r="FI31" s="336">
        <v>0</v>
      </c>
      <c r="FJ31" s="336">
        <v>0</v>
      </c>
      <c r="FK31" s="336">
        <v>0</v>
      </c>
      <c r="FL31" s="336">
        <v>0</v>
      </c>
      <c r="FM31" s="336">
        <v>273274</v>
      </c>
      <c r="FN31" s="336">
        <v>24619010</v>
      </c>
      <c r="FO31" s="336">
        <v>2892131</v>
      </c>
      <c r="FP31" s="336">
        <v>0</v>
      </c>
      <c r="FQ31" s="336">
        <v>0</v>
      </c>
      <c r="FR31" s="336">
        <v>0</v>
      </c>
      <c r="FS31" s="336">
        <v>0</v>
      </c>
      <c r="FT31" s="336">
        <v>0</v>
      </c>
      <c r="FU31" s="336">
        <v>0</v>
      </c>
      <c r="FV31" s="336">
        <v>0</v>
      </c>
      <c r="FW31" s="336">
        <v>0</v>
      </c>
      <c r="FX31" s="336">
        <v>0</v>
      </c>
      <c r="FY31" s="336">
        <v>0</v>
      </c>
      <c r="FZ31" s="336">
        <v>0</v>
      </c>
      <c r="GA31" s="336">
        <v>0</v>
      </c>
      <c r="GB31" s="336">
        <v>0</v>
      </c>
      <c r="GC31" s="336">
        <v>0</v>
      </c>
      <c r="GD31" s="336">
        <v>0</v>
      </c>
      <c r="GE31" s="336">
        <v>0</v>
      </c>
      <c r="GF31" s="336">
        <v>0</v>
      </c>
      <c r="GG31" s="336">
        <v>0</v>
      </c>
      <c r="GH31" s="336">
        <v>0</v>
      </c>
      <c r="GI31" s="336">
        <v>0</v>
      </c>
      <c r="GJ31" s="336">
        <v>0</v>
      </c>
      <c r="GK31" s="336">
        <v>0</v>
      </c>
      <c r="GL31" s="336">
        <v>0</v>
      </c>
      <c r="GM31" s="336">
        <v>0</v>
      </c>
      <c r="GN31" s="336">
        <v>0</v>
      </c>
      <c r="GO31" s="336">
        <v>0</v>
      </c>
      <c r="GP31" s="336">
        <v>0</v>
      </c>
      <c r="GQ31" s="336">
        <v>0</v>
      </c>
      <c r="GR31" s="336">
        <v>0</v>
      </c>
      <c r="GS31" s="336">
        <v>0</v>
      </c>
      <c r="GT31" s="336">
        <v>0</v>
      </c>
      <c r="GU31" s="336">
        <v>0</v>
      </c>
      <c r="GV31" s="336">
        <v>0</v>
      </c>
      <c r="GW31" s="336">
        <v>0</v>
      </c>
      <c r="GX31" s="336">
        <v>-2269132</v>
      </c>
      <c r="GY31" s="336">
        <v>-369083</v>
      </c>
      <c r="GZ31" s="336">
        <v>0</v>
      </c>
      <c r="HA31" s="336">
        <v>0</v>
      </c>
      <c r="HB31" s="336">
        <v>0</v>
      </c>
      <c r="HC31" s="336">
        <v>0</v>
      </c>
      <c r="HD31" s="336">
        <v>0</v>
      </c>
      <c r="HE31" s="336">
        <v>0</v>
      </c>
      <c r="HF31" s="336">
        <v>-70738</v>
      </c>
      <c r="HG31" s="336">
        <v>-4103608</v>
      </c>
      <c r="HH31" s="336">
        <v>-379558</v>
      </c>
      <c r="HI31" s="336">
        <v>0</v>
      </c>
      <c r="HJ31" s="336">
        <v>0</v>
      </c>
      <c r="HK31" s="336">
        <v>0</v>
      </c>
      <c r="HL31" s="336">
        <v>0</v>
      </c>
      <c r="HM31" s="336">
        <v>0</v>
      </c>
      <c r="HN31" s="336">
        <v>0</v>
      </c>
      <c r="HO31" s="336">
        <v>0</v>
      </c>
      <c r="HP31" s="336">
        <v>687856</v>
      </c>
      <c r="HQ31" s="336">
        <v>0</v>
      </c>
      <c r="HR31" s="336">
        <v>16566583</v>
      </c>
      <c r="HS31" s="336">
        <v>0</v>
      </c>
      <c r="HT31" s="336">
        <v>0</v>
      </c>
      <c r="HU31" s="336">
        <v>0</v>
      </c>
      <c r="HV31" s="336">
        <v>0</v>
      </c>
      <c r="HW31" s="336">
        <v>0</v>
      </c>
      <c r="HX31" s="336">
        <v>0</v>
      </c>
      <c r="HY31" s="336">
        <v>0</v>
      </c>
      <c r="HZ31" s="336">
        <v>0</v>
      </c>
      <c r="IA31" s="336">
        <v>0</v>
      </c>
      <c r="IB31" s="336">
        <v>0</v>
      </c>
      <c r="IC31" s="336">
        <v>0</v>
      </c>
      <c r="ID31" s="336">
        <v>0</v>
      </c>
      <c r="IE31" s="336">
        <v>0</v>
      </c>
      <c r="IF31" s="336">
        <v>0</v>
      </c>
      <c r="IG31" s="336">
        <v>0</v>
      </c>
      <c r="IH31" s="336">
        <v>0</v>
      </c>
      <c r="II31" s="336">
        <v>0</v>
      </c>
      <c r="IJ31" s="336">
        <v>0</v>
      </c>
      <c r="IK31" s="336">
        <v>0</v>
      </c>
      <c r="IL31" s="336">
        <v>0</v>
      </c>
      <c r="IM31" s="336">
        <v>0</v>
      </c>
      <c r="IN31" s="336">
        <v>0</v>
      </c>
      <c r="IO31" s="336">
        <v>0</v>
      </c>
      <c r="IP31" s="336">
        <v>453589</v>
      </c>
      <c r="IQ31" s="336">
        <v>4247416</v>
      </c>
      <c r="IR31" s="336">
        <v>0</v>
      </c>
      <c r="IS31" s="336">
        <v>2549</v>
      </c>
      <c r="IT31" s="336">
        <v>0</v>
      </c>
      <c r="IU31" s="336">
        <v>0</v>
      </c>
      <c r="IV31" s="336">
        <v>0</v>
      </c>
      <c r="IW31" s="336">
        <v>0</v>
      </c>
      <c r="IX31" s="336">
        <v>0</v>
      </c>
      <c r="IY31" s="336">
        <v>0</v>
      </c>
      <c r="IZ31" s="336">
        <v>0</v>
      </c>
      <c r="JA31" s="336">
        <v>0</v>
      </c>
      <c r="JB31" s="336">
        <v>0</v>
      </c>
      <c r="JC31" s="336">
        <v>0</v>
      </c>
      <c r="JD31" s="336">
        <v>0</v>
      </c>
      <c r="JE31" s="336">
        <v>0</v>
      </c>
      <c r="JF31" s="336">
        <v>0</v>
      </c>
      <c r="JG31" s="336">
        <v>0</v>
      </c>
      <c r="JH31" s="336">
        <v>0</v>
      </c>
      <c r="JI31" s="336">
        <v>380847</v>
      </c>
      <c r="JJ31" s="336">
        <v>0</v>
      </c>
      <c r="JK31" s="336">
        <v>7794076</v>
      </c>
      <c r="JL31" s="336">
        <v>0</v>
      </c>
      <c r="JM31" s="336">
        <v>0</v>
      </c>
      <c r="JN31" s="336">
        <v>40000</v>
      </c>
      <c r="JO31" s="336">
        <v>0</v>
      </c>
      <c r="JP31" s="336">
        <v>0</v>
      </c>
      <c r="JQ31" s="336">
        <v>0</v>
      </c>
      <c r="JR31" s="336">
        <v>998929</v>
      </c>
      <c r="JS31" s="336">
        <v>0</v>
      </c>
      <c r="JT31" s="336">
        <v>12000</v>
      </c>
      <c r="JU31" s="336">
        <v>0</v>
      </c>
      <c r="JV31" s="336">
        <v>0</v>
      </c>
      <c r="JW31" s="336">
        <v>0</v>
      </c>
      <c r="JX31" s="336">
        <v>0</v>
      </c>
      <c r="JY31" s="336">
        <v>0</v>
      </c>
      <c r="JZ31" s="336">
        <v>0</v>
      </c>
      <c r="KA31" s="336">
        <v>0</v>
      </c>
      <c r="KB31" s="336">
        <v>3812376</v>
      </c>
      <c r="KC31" s="336">
        <v>0</v>
      </c>
      <c r="KD31" s="336">
        <v>0</v>
      </c>
      <c r="KE31" s="336">
        <v>0</v>
      </c>
      <c r="KF31" s="336">
        <v>0</v>
      </c>
      <c r="KG31" s="336">
        <v>0</v>
      </c>
      <c r="KH31" s="336">
        <v>0</v>
      </c>
      <c r="KI31" s="336">
        <v>0</v>
      </c>
      <c r="KJ31" s="336">
        <v>149832</v>
      </c>
      <c r="KK31" s="336">
        <v>83838</v>
      </c>
      <c r="KL31" s="336">
        <v>2000433</v>
      </c>
      <c r="KM31" s="336">
        <v>0</v>
      </c>
      <c r="KN31" s="336">
        <v>0</v>
      </c>
      <c r="KO31" s="336">
        <v>0</v>
      </c>
      <c r="KP31" s="336">
        <v>0</v>
      </c>
      <c r="KQ31" s="336">
        <v>0</v>
      </c>
      <c r="KR31" s="336">
        <v>23207865</v>
      </c>
      <c r="KS31" s="336">
        <v>8252723</v>
      </c>
      <c r="KT31" s="336">
        <v>0</v>
      </c>
      <c r="KU31" s="336">
        <v>5200</v>
      </c>
      <c r="KV31" s="336">
        <v>0</v>
      </c>
      <c r="KW31" s="336">
        <v>0</v>
      </c>
      <c r="KX31" s="336">
        <v>0</v>
      </c>
      <c r="KY31" s="336">
        <v>0</v>
      </c>
      <c r="KZ31" s="336">
        <v>0</v>
      </c>
      <c r="LA31" s="336">
        <v>101947</v>
      </c>
      <c r="LB31" s="336">
        <v>2168881</v>
      </c>
      <c r="LC31" s="336">
        <v>0</v>
      </c>
      <c r="LD31" s="336">
        <v>2270865</v>
      </c>
      <c r="LE31" s="336">
        <v>0</v>
      </c>
      <c r="LF31" s="336">
        <v>0</v>
      </c>
      <c r="LG31" s="336">
        <v>0</v>
      </c>
      <c r="LH31" s="336">
        <v>0</v>
      </c>
      <c r="LI31" s="336">
        <v>0</v>
      </c>
      <c r="LJ31" s="336">
        <v>0</v>
      </c>
      <c r="LK31" s="336">
        <v>313298</v>
      </c>
      <c r="LL31" s="336">
        <v>0</v>
      </c>
      <c r="LM31" s="336">
        <v>1297979</v>
      </c>
      <c r="LN31" s="336">
        <v>0</v>
      </c>
      <c r="LO31" s="336">
        <v>0</v>
      </c>
      <c r="LP31" s="336">
        <v>0</v>
      </c>
      <c r="LQ31" s="336">
        <v>0</v>
      </c>
      <c r="LR31" s="336">
        <v>0</v>
      </c>
      <c r="LS31" s="336">
        <v>0</v>
      </c>
      <c r="LT31" s="336">
        <v>0</v>
      </c>
      <c r="LU31" s="336">
        <v>0</v>
      </c>
      <c r="LV31" s="336">
        <v>0</v>
      </c>
      <c r="LW31" s="336">
        <v>0</v>
      </c>
      <c r="LX31" s="336">
        <v>0</v>
      </c>
      <c r="LY31" s="336">
        <v>0</v>
      </c>
      <c r="LZ31" s="336">
        <v>0</v>
      </c>
      <c r="MA31" s="336">
        <v>0</v>
      </c>
      <c r="MB31" s="336">
        <v>3554245</v>
      </c>
      <c r="MC31" s="336">
        <v>6892457</v>
      </c>
      <c r="MD31" s="336">
        <v>0</v>
      </c>
      <c r="ME31" s="336">
        <v>1092768</v>
      </c>
      <c r="MF31" s="336">
        <v>0</v>
      </c>
      <c r="MG31" s="336">
        <v>0</v>
      </c>
      <c r="MH31" s="336">
        <v>0</v>
      </c>
      <c r="MI31" s="336">
        <v>0</v>
      </c>
      <c r="MJ31" s="336">
        <v>0</v>
      </c>
      <c r="MK31" s="336">
        <v>3710188</v>
      </c>
      <c r="ML31" s="336">
        <v>15599914</v>
      </c>
      <c r="MM31" s="336">
        <v>0</v>
      </c>
      <c r="MN31" s="336">
        <v>3068893</v>
      </c>
      <c r="MO31" s="336">
        <v>-413</v>
      </c>
      <c r="MP31" s="336">
        <v>0</v>
      </c>
      <c r="MQ31" s="336">
        <v>442082</v>
      </c>
      <c r="MR31" s="336">
        <v>0</v>
      </c>
      <c r="MS31" s="336">
        <v>0</v>
      </c>
      <c r="MT31" s="336">
        <v>5533255</v>
      </c>
      <c r="MU31" s="336">
        <v>5675534</v>
      </c>
      <c r="MV31" s="336">
        <v>0</v>
      </c>
      <c r="MW31" s="336">
        <v>77859</v>
      </c>
      <c r="MX31" s="336">
        <v>0</v>
      </c>
      <c r="MY31" s="336">
        <v>0</v>
      </c>
      <c r="MZ31" s="336">
        <v>177677</v>
      </c>
      <c r="NA31" s="336">
        <v>0</v>
      </c>
      <c r="NB31" s="336">
        <v>0</v>
      </c>
      <c r="NC31" s="336">
        <v>3015903</v>
      </c>
      <c r="ND31" s="336">
        <v>5882283</v>
      </c>
      <c r="NE31" s="336">
        <v>0</v>
      </c>
      <c r="NF31" s="336">
        <v>0</v>
      </c>
      <c r="NG31" s="336">
        <v>0</v>
      </c>
      <c r="NH31" s="336">
        <v>0</v>
      </c>
      <c r="NI31" s="336">
        <v>1033338</v>
      </c>
      <c r="NJ31" s="336">
        <v>0</v>
      </c>
      <c r="NK31" s="336">
        <v>0</v>
      </c>
      <c r="NL31" s="336">
        <v>3607</v>
      </c>
      <c r="NM31" s="336">
        <v>5119567</v>
      </c>
      <c r="NN31" s="336">
        <v>0</v>
      </c>
      <c r="NO31" s="336">
        <v>5725050</v>
      </c>
      <c r="NP31" s="336">
        <v>0</v>
      </c>
      <c r="NQ31" s="336">
        <v>0</v>
      </c>
      <c r="NR31" s="336">
        <v>0</v>
      </c>
      <c r="NS31" s="336">
        <v>0</v>
      </c>
      <c r="NT31" s="336">
        <v>0</v>
      </c>
      <c r="NU31" s="336">
        <v>0</v>
      </c>
      <c r="NV31" s="336">
        <v>0</v>
      </c>
      <c r="NW31" s="336">
        <v>4706632</v>
      </c>
      <c r="NX31" s="336">
        <v>0</v>
      </c>
      <c r="NY31" s="336">
        <v>0</v>
      </c>
      <c r="NZ31" s="336">
        <v>0</v>
      </c>
      <c r="OA31" s="336">
        <v>0</v>
      </c>
      <c r="OB31" s="336">
        <v>0</v>
      </c>
      <c r="OC31" s="336">
        <v>0</v>
      </c>
      <c r="OD31" s="336">
        <v>0</v>
      </c>
      <c r="OE31" s="336">
        <v>714647</v>
      </c>
      <c r="OF31" s="336">
        <v>13040</v>
      </c>
      <c r="OG31" s="336">
        <v>1692770</v>
      </c>
      <c r="OH31" s="336">
        <v>0</v>
      </c>
      <c r="OI31" s="336">
        <v>0</v>
      </c>
      <c r="OJ31" s="336">
        <v>0</v>
      </c>
      <c r="OK31" s="336">
        <v>0</v>
      </c>
      <c r="OL31" s="336">
        <v>0</v>
      </c>
      <c r="OM31" s="336">
        <v>0</v>
      </c>
      <c r="ON31" s="336">
        <v>142987</v>
      </c>
      <c r="OO31" s="336">
        <v>0</v>
      </c>
      <c r="OP31" s="336">
        <v>776</v>
      </c>
      <c r="OQ31" s="336">
        <v>0</v>
      </c>
      <c r="OR31" s="336">
        <v>0</v>
      </c>
      <c r="OS31" s="336">
        <v>0</v>
      </c>
      <c r="OT31" s="336">
        <v>0</v>
      </c>
      <c r="OU31" s="336">
        <v>196</v>
      </c>
      <c r="OV31" s="336">
        <v>0</v>
      </c>
      <c r="OW31" s="336">
        <v>0</v>
      </c>
      <c r="OX31" s="336">
        <v>0</v>
      </c>
      <c r="OY31" s="336">
        <v>0</v>
      </c>
      <c r="OZ31" s="336">
        <v>0</v>
      </c>
      <c r="PA31" s="336">
        <v>0</v>
      </c>
      <c r="PB31" s="336">
        <v>4556770</v>
      </c>
      <c r="PC31" s="336">
        <v>0</v>
      </c>
      <c r="PD31" s="336">
        <v>0</v>
      </c>
      <c r="PE31" s="336">
        <v>1382185</v>
      </c>
      <c r="PF31" s="336">
        <v>12908366</v>
      </c>
      <c r="PG31" s="336">
        <v>604027</v>
      </c>
      <c r="PH31" s="336">
        <v>-12736949</v>
      </c>
      <c r="PI31" s="336">
        <v>0</v>
      </c>
      <c r="PJ31" s="336">
        <v>3905</v>
      </c>
      <c r="PK31" s="336">
        <v>14938500</v>
      </c>
      <c r="PL31" s="336">
        <v>0</v>
      </c>
      <c r="PM31" s="336">
        <v>0</v>
      </c>
      <c r="PN31" s="336">
        <v>0</v>
      </c>
      <c r="PO31" s="336">
        <v>0</v>
      </c>
      <c r="PP31" s="336">
        <v>0</v>
      </c>
      <c r="PQ31" s="336">
        <v>0</v>
      </c>
      <c r="PR31" s="336">
        <v>0</v>
      </c>
      <c r="PS31" s="336">
        <v>0</v>
      </c>
      <c r="PT31" s="336">
        <v>0</v>
      </c>
      <c r="PU31" s="336">
        <v>0</v>
      </c>
      <c r="PV31" s="336">
        <v>0</v>
      </c>
      <c r="PW31" s="336">
        <v>-11603698</v>
      </c>
      <c r="PX31" s="336">
        <v>-590125</v>
      </c>
      <c r="PY31" s="336">
        <v>-1889669</v>
      </c>
      <c r="PZ31" s="336">
        <v>590125</v>
      </c>
      <c r="QA31" s="336">
        <v>0</v>
      </c>
      <c r="QB31" s="336">
        <v>0</v>
      </c>
      <c r="QC31" s="336">
        <v>0</v>
      </c>
      <c r="QD31" s="336">
        <v>0</v>
      </c>
      <c r="QE31" s="336">
        <v>0</v>
      </c>
      <c r="QF31" s="336">
        <v>0</v>
      </c>
      <c r="QG31" s="336">
        <v>-1396242</v>
      </c>
      <c r="QH31" s="336">
        <v>1854944</v>
      </c>
      <c r="QI31" s="336">
        <v>1114910</v>
      </c>
      <c r="QJ31" s="336">
        <v>243221</v>
      </c>
      <c r="QK31" s="336">
        <v>21122</v>
      </c>
      <c r="QL31" s="336">
        <v>249772</v>
      </c>
      <c r="QM31" s="336">
        <v>0</v>
      </c>
      <c r="QN31" s="336">
        <v>0</v>
      </c>
      <c r="QO31" s="336">
        <v>0</v>
      </c>
      <c r="QP31" s="336">
        <v>0</v>
      </c>
      <c r="QQ31" s="336">
        <v>0</v>
      </c>
      <c r="QR31" s="336">
        <v>0</v>
      </c>
      <c r="QS31" s="336">
        <v>0</v>
      </c>
      <c r="QT31" s="336">
        <v>0</v>
      </c>
      <c r="QU31" s="336">
        <v>0</v>
      </c>
      <c r="QV31" s="336">
        <v>0</v>
      </c>
      <c r="QW31" s="336">
        <v>0</v>
      </c>
      <c r="QX31" s="336">
        <v>0</v>
      </c>
      <c r="QY31" s="336">
        <v>0</v>
      </c>
      <c r="QZ31" s="336">
        <v>0</v>
      </c>
      <c r="RA31" s="336">
        <v>0</v>
      </c>
      <c r="RB31" s="336">
        <v>0</v>
      </c>
      <c r="RC31" s="336">
        <v>0</v>
      </c>
      <c r="RD31" s="336">
        <v>0</v>
      </c>
      <c r="RE31" s="336">
        <v>0</v>
      </c>
      <c r="RF31" s="336">
        <v>0</v>
      </c>
      <c r="RG31" s="336">
        <v>0</v>
      </c>
      <c r="RH31" s="336">
        <v>0</v>
      </c>
      <c r="RI31" s="336">
        <v>0</v>
      </c>
      <c r="RJ31" s="336">
        <v>0</v>
      </c>
      <c r="RK31" s="336">
        <v>0</v>
      </c>
      <c r="RL31" s="336">
        <v>0</v>
      </c>
      <c r="RM31" s="336">
        <v>0</v>
      </c>
      <c r="RN31" s="336">
        <v>0</v>
      </c>
      <c r="RO31" s="336">
        <v>-14728782</v>
      </c>
      <c r="RP31" s="336">
        <v>0</v>
      </c>
      <c r="RQ31" s="336">
        <v>0</v>
      </c>
      <c r="RR31" s="336">
        <v>0</v>
      </c>
      <c r="RS31" s="336">
        <v>0</v>
      </c>
      <c r="RT31" s="336">
        <v>0</v>
      </c>
      <c r="RU31" s="336">
        <v>0</v>
      </c>
      <c r="RV31" s="336">
        <v>0</v>
      </c>
      <c r="RW31" s="336">
        <v>0</v>
      </c>
      <c r="RX31" s="336">
        <v>0</v>
      </c>
      <c r="RY31" s="336">
        <v>0</v>
      </c>
      <c r="RZ31" s="336">
        <v>0</v>
      </c>
      <c r="SA31" s="336">
        <v>0</v>
      </c>
      <c r="SB31" s="336">
        <v>0</v>
      </c>
      <c r="SC31" s="336">
        <v>0</v>
      </c>
      <c r="SD31" s="336">
        <v>0</v>
      </c>
      <c r="SE31" s="336">
        <v>0</v>
      </c>
      <c r="SF31" s="336">
        <v>0</v>
      </c>
      <c r="SG31" s="336">
        <v>0</v>
      </c>
      <c r="SH31" s="336">
        <v>0</v>
      </c>
      <c r="SI31" s="336">
        <v>0</v>
      </c>
      <c r="SJ31" s="336">
        <v>0</v>
      </c>
      <c r="SK31" s="336">
        <v>0</v>
      </c>
      <c r="SL31" s="336">
        <v>0</v>
      </c>
      <c r="SM31" s="336">
        <v>0</v>
      </c>
      <c r="SN31" s="336">
        <v>0</v>
      </c>
      <c r="SO31" s="336">
        <v>0</v>
      </c>
      <c r="SP31" s="336">
        <v>3839</v>
      </c>
      <c r="SQ31" s="336">
        <v>0</v>
      </c>
      <c r="SR31" s="336">
        <v>714647</v>
      </c>
      <c r="SS31" s="336">
        <v>13040</v>
      </c>
      <c r="ST31" s="336">
        <v>1692770</v>
      </c>
      <c r="SU31" s="336">
        <v>0</v>
      </c>
      <c r="SV31" s="336">
        <v>0</v>
      </c>
      <c r="SW31" s="336">
        <v>-4556770</v>
      </c>
      <c r="SX31" s="336">
        <v>0</v>
      </c>
      <c r="SY31" s="336">
        <v>0</v>
      </c>
      <c r="SZ31" s="336" t="s">
        <v>1420</v>
      </c>
      <c r="TA31" s="336" t="s">
        <v>1420</v>
      </c>
      <c r="TB31" s="336" t="s">
        <v>1420</v>
      </c>
      <c r="TC31" s="336">
        <v>34688</v>
      </c>
      <c r="TD31" s="336">
        <v>1696817</v>
      </c>
      <c r="TE31" s="336">
        <v>6995</v>
      </c>
      <c r="TF31" s="336">
        <v>0</v>
      </c>
      <c r="TG31" s="336">
        <v>54070</v>
      </c>
      <c r="TH31" s="336">
        <v>1292</v>
      </c>
      <c r="TI31" s="336">
        <v>434115</v>
      </c>
      <c r="TJ31" s="336">
        <v>179440</v>
      </c>
      <c r="TK31" s="336">
        <v>0</v>
      </c>
      <c r="TL31" s="336">
        <v>13040</v>
      </c>
      <c r="TM31" s="336">
        <v>0</v>
      </c>
      <c r="TN31" s="336">
        <v>0</v>
      </c>
      <c r="TO31" s="336">
        <v>25707</v>
      </c>
      <c r="TP31" s="336">
        <v>0</v>
      </c>
      <c r="TQ31" s="336">
        <v>0</v>
      </c>
      <c r="TR31" s="336">
        <v>0</v>
      </c>
      <c r="TS31" s="336">
        <v>0</v>
      </c>
      <c r="TT31" s="336">
        <v>0</v>
      </c>
      <c r="TU31" s="336">
        <v>0</v>
      </c>
      <c r="TV31" s="336">
        <v>0</v>
      </c>
      <c r="TW31" s="336">
        <v>0</v>
      </c>
      <c r="TX31" s="336">
        <v>0</v>
      </c>
      <c r="TY31" s="336">
        <v>0</v>
      </c>
      <c r="TZ31" s="336">
        <v>0</v>
      </c>
      <c r="UA31" s="336">
        <v>0</v>
      </c>
      <c r="UB31" s="336">
        <v>0</v>
      </c>
      <c r="UC31" s="336">
        <v>0</v>
      </c>
      <c r="UD31" s="336">
        <v>0</v>
      </c>
      <c r="UE31" s="336">
        <v>0</v>
      </c>
      <c r="UF31" s="336">
        <v>0</v>
      </c>
      <c r="UG31" s="336">
        <v>0</v>
      </c>
      <c r="UH31" s="336">
        <v>31465788</v>
      </c>
      <c r="UI31" s="336">
        <v>4541693</v>
      </c>
      <c r="UJ31" s="336">
        <v>1611277</v>
      </c>
      <c r="UK31" s="336">
        <v>0</v>
      </c>
      <c r="UL31" s="336">
        <v>11539470</v>
      </c>
      <c r="UM31" s="336">
        <v>22820664</v>
      </c>
      <c r="UN31" s="336">
        <v>11464325</v>
      </c>
      <c r="UO31" s="336">
        <v>9931524</v>
      </c>
      <c r="UP31" s="336">
        <v>10848224</v>
      </c>
      <c r="UQ31" s="336">
        <v>4706632</v>
      </c>
      <c r="UR31"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2420457</v>
      </c>
      <c r="US31" s="338">
        <f>SUM(Input[[#This Row],[Oth Exp E&amp;G]],Input[[#This Row],[Oth Exp Desg]],Input[[#This Row],[Oth Exp Aux]],Input[[#This Row],[Oth Exp R Exp]],Input[[#This Row],[Oth Exp Loan]],Input[[#This Row],[Oth Exp Annuity]],Input[[#This Row],[Oth Exp Unexp]],Input[[#This Row],[Oth Exp R of Ind]],Input[[#This Row],[Oth Exp Inv in P]])</f>
        <v>143959</v>
      </c>
      <c r="UT31" s="336">
        <v>24389032</v>
      </c>
      <c r="UU31" s="336">
        <v>2087727</v>
      </c>
      <c r="UV31" s="339" t="s">
        <v>1453</v>
      </c>
      <c r="UW31" s="340">
        <v>2107842038</v>
      </c>
      <c r="UX31" s="339" t="s">
        <v>1454</v>
      </c>
      <c r="UY31" s="339" t="s">
        <v>1436</v>
      </c>
      <c r="UZ31" s="340"/>
      <c r="VA31" s="339"/>
      <c r="VB31" s="341" cm="1">
        <f t="array" ref="VB31">IFERROR(_xlfn.IFS(Input[[#This Row],[Type]]="HRI",VLOOKUP(Input[[#This Row],[Institution Name]],FTSEHRI[],9,FALSE),Input[[#This Row],[Type]]="UNIV",VLOOKUP(Input[[#This Row],[Institution Name]],FTSEUNIV[],9,FALSE),OR(Input[[#This Row],[Type]]="TSTC",Input[[#This Row],[Type]]="LSC"),VLOOKUP(Input[[#This Row],[Institution Name]],FTSETSTC[],8,FALSE)),"N/A")</f>
        <v>5196.08</v>
      </c>
      <c r="VC31" s="342" t="str" cm="1">
        <f t="array" ref="VC31">IFERROR(_xlfn.IFS(Input[[#This Row],[Type]]="HRI",VLOOKUP(Input[[#This Row],[Institution Name]],FTSEHRI[],11,FALSE),Input[[#This Row],[Type]]="UNIV",VLOOKUP(Input[[#This Row],[Institution Name]],FTSEUNIV[],11,FALSE),Input[[#This Row],[Type]]="TSTC",VLOOKUP(Input[[#This Row],[Institution Name]],FTSETSTC[],10,FALSE)),"N/A")</f>
        <v>N/A</v>
      </c>
      <c r="VD31"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49203331</v>
      </c>
      <c r="VE31"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31" s="338">
        <f>SUM(Input[[#This Row],[Fed G&amp;C E&amp;G]],Input[[#This Row],[Fed G&amp;C Desg]],Input[[#This Row],[Fed G&amp;C R Exp]],Input[[#This Row],[Fed G&amp;C Loan]],Input[[#This Row],[Fed G&amp;C Annuity]],Input[[#This Row],[Fed G&amp;C Unexp]],Input[[#This Row],[Fed G&amp;C R of Ind]],Input[[#This Row],[Fed G&amp;C Inv in P]])</f>
        <v>17254439</v>
      </c>
      <c r="VG31"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16079671</v>
      </c>
      <c r="VH31"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20693657</v>
      </c>
      <c r="VI31"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18448806</v>
      </c>
      <c r="VJ31" s="338">
        <f>SUM(Input[[#This Row],[Oth Inc E&amp;G]],Input[[#This Row],[Oth Exp Desg]],Input[[#This Row],[Oth Exp R Exp]],Input[[#This Row],[Oth Exp Loan]],Input[[#This Row],[Oth Exp Annuity]],Input[[#This Row],[Oth Exp Unexp]],Input[[#This Row],[Oth Exp R of Ind]],Input[[#This Row],[Oth Exp Inv in P]])</f>
        <v>143959</v>
      </c>
      <c r="VK31" s="343">
        <f>SUM(Input[[#This Row],[Instr E&amp;G]],Input[[#This Row],[Instr Desg]],Input[[#This Row],[Instr R Exp]],Input[[#This Row],[Instr Loan]],Input[[#This Row],[Instr Annuity]],Input[[#This Row],[Instr Unexp]],Input[[#This Row],[Instr R of Ind]],Input[[#This Row],[Instr Inv in P]])</f>
        <v>31465788</v>
      </c>
      <c r="VL31" s="343">
        <f>SUM(Input[[#This Row],[Res E&amp;G]],Input[[#This Row],[Res Desg]],Input[[#This Row],[Res R Exp]],Input[[#This Row],[Res Loan]],Input[[#This Row],[Res Annuity]],Input[[#This Row],[Res Unexp]],Input[[#This Row],[Res R of Ind]],Input[[#This Row],[Res Inv in P]])</f>
        <v>4541693</v>
      </c>
      <c r="VM31" s="343">
        <f>SUM(Input[[#This Row],[Acad Sup E&amp;G]],Input[[#This Row],[Acad Sup Desg]],Input[[#This Row],[Acad Sup R Exp]],Input[[#This Row],[Acad Sup Loan]],Input[[#This Row],[Acad Sup Annuity]],Input[[#This Row],[Acad Sup Unexp]],Input[[#This Row],[Acad Sup R of Ind]],Input[[#This Row],[Acad Sup Inv in P]])</f>
        <v>11539470</v>
      </c>
      <c r="VN31" s="343">
        <f>SUM(Input[[#This Row],[Stu Svc E&amp;G]],Input[[#This Row],[Stu Svc Desg]],Input[[#This Row],[Stu Svc R Exp]],Input[[#This Row],[Stu Svc Loan]],Input[[#This Row],[Stu Svc Annuity]],Input[[#This Row],[Stu Svc Unexp]],Input[[#This Row],[Stu Svc R of Ind]],Input[[#This Row],[Stu Svc Inv in P]])</f>
        <v>22820664</v>
      </c>
      <c r="VO31" s="343">
        <f>SUM(Input[[#This Row],[Inst. Spt E&amp;G]],Input[[#This Row],[Inst. Spt Desg]],Input[[#This Row],[Inst. Spt R Exp]],Input[[#This Row],[Inst. Spt Loan]],Input[[#This Row],[Inst. Spt Annuity]],Input[[#This Row],[Inst. Spt Unexp]],Input[[#This Row],[Inst. Spt R of Ind]],Input[[#This Row],[Inst. Spt Inv in P]])</f>
        <v>11464325</v>
      </c>
      <c r="VP31" s="343">
        <f>SUM(Input[[#This Row],[M&amp;O Plnt E&amp;G]],Input[[#This Row],[M&amp;O Plnt Desg]],Input[[#This Row],[M&amp;O Plnt R Exp]],Input[[#This Row],[M&amp;O Plnt Loan]],Input[[#This Row],[M&amp;O Plnt Annuity]],Input[[#This Row],[M&amp;O Plnt Unexp]],Input[[#This Row],[M&amp;O Plnt R of Ind]],Input[[#This Row],[M&amp;O Plnt Inv in P]])</f>
        <v>9931524</v>
      </c>
      <c r="VQ31" s="343">
        <f>SUM(Input[[#This Row],[Schl &amp; Fell E&amp;G]],Input[[#This Row],[Schl &amp; Fell Desg]],Input[[#This Row],[Schl &amp; Fell R Exp]],Input[[#This Row],[Schl &amp; Fell Loan]],Input[[#This Row],[Schl &amp; Fell Annuity]],Input[[#This Row],[Schl &amp; Fell Unexp]],Input[[#This Row],[Schl &amp; Fell R of Ind]],Input[[#This Row],[Schl &amp; Fell Inv in P]])</f>
        <v>10848224</v>
      </c>
      <c r="VR31" s="343">
        <f>SUM(Input[[#This Row],[Cap Out fund E&amp;G]],Input[[#This Row],[Cap Out fund Desg]],Input[[#This Row],[Cap Out fund R Exp]],Input[[#This Row],[Cap Out fund Loan]],Input[[#This Row],[Cap Out fund Annuity]],Input[[#This Row],[Cap Out fund Unexp]],Input[[#This Row],[Cap Out fund R of Ind]],Input[[#This Row],[Cap Out fund Inv in P]])</f>
        <v>2407417</v>
      </c>
      <c r="VS31" s="343">
        <f>SUM(Input[[#This Row],[Oth Exp E&amp;G]],Input[[#This Row],[Oth Exp Desg]],Input[[#This Row],[Oth Exp R Exp]],Input[[#This Row],[Oth Exp Loan]],Input[[#This Row],[Oth Exp Annuity]],Input[[#This Row],[Oth Exp Unexp]],Input[[#This Row],[Oth Exp R of Ind]],Input[[#This Row],[Oth Exp Inv in P]],Input[[#This Row],[Oth Exp Inv in P]])</f>
        <v>144155</v>
      </c>
    </row>
    <row r="32" spans="1:591" s="344" customFormat="1" ht="27" customHeight="1" x14ac:dyDescent="0.55000000000000004">
      <c r="A32" s="339" t="s">
        <v>75</v>
      </c>
      <c r="B32" s="334" t="s">
        <v>830</v>
      </c>
      <c r="C32" s="334" t="s">
        <v>21</v>
      </c>
      <c r="D32" s="334">
        <v>220</v>
      </c>
      <c r="E32" s="334" t="s">
        <v>1622</v>
      </c>
      <c r="F32" s="335">
        <v>29269</v>
      </c>
      <c r="G32" s="336">
        <v>36841781</v>
      </c>
      <c r="H32" s="336">
        <v>0</v>
      </c>
      <c r="I32" s="336">
        <v>0</v>
      </c>
      <c r="J32" s="336">
        <v>0</v>
      </c>
      <c r="K32" s="336">
        <v>0</v>
      </c>
      <c r="L32" s="336">
        <v>0</v>
      </c>
      <c r="M32" s="336">
        <v>0</v>
      </c>
      <c r="N32" s="336">
        <v>0</v>
      </c>
      <c r="O32" s="336">
        <v>0</v>
      </c>
      <c r="P32" s="336">
        <v>1547464</v>
      </c>
      <c r="Q32" s="336">
        <v>17000</v>
      </c>
      <c r="R32" s="336">
        <v>0</v>
      </c>
      <c r="S32" s="336">
        <v>11744</v>
      </c>
      <c r="T32" s="336">
        <v>0</v>
      </c>
      <c r="U32" s="336">
        <v>0</v>
      </c>
      <c r="V32" s="336">
        <v>0</v>
      </c>
      <c r="W32" s="336">
        <v>0</v>
      </c>
      <c r="X32" s="336">
        <v>0</v>
      </c>
      <c r="Y32" s="336">
        <v>2112129</v>
      </c>
      <c r="Z32" s="336">
        <v>0</v>
      </c>
      <c r="AA32" s="336">
        <v>0</v>
      </c>
      <c r="AB32" s="336">
        <v>0</v>
      </c>
      <c r="AC32" s="336">
        <v>0</v>
      </c>
      <c r="AD32" s="336">
        <v>0</v>
      </c>
      <c r="AE32" s="336">
        <v>0</v>
      </c>
      <c r="AF32" s="336">
        <v>0</v>
      </c>
      <c r="AG32" s="336">
        <v>0</v>
      </c>
      <c r="AH32" s="336">
        <v>0</v>
      </c>
      <c r="AI32" s="336">
        <v>0</v>
      </c>
      <c r="AJ32" s="336">
        <v>0</v>
      </c>
      <c r="AK32" s="336">
        <v>0</v>
      </c>
      <c r="AL32" s="336">
        <v>0</v>
      </c>
      <c r="AM32" s="336">
        <v>0</v>
      </c>
      <c r="AN32" s="336">
        <v>0</v>
      </c>
      <c r="AO32" s="336">
        <v>0</v>
      </c>
      <c r="AP32" s="336">
        <v>0</v>
      </c>
      <c r="AQ32" s="336">
        <v>-5134558</v>
      </c>
      <c r="AR32" s="336">
        <v>0</v>
      </c>
      <c r="AS32" s="336">
        <v>0</v>
      </c>
      <c r="AT32" s="336">
        <v>0</v>
      </c>
      <c r="AU32" s="336">
        <v>0</v>
      </c>
      <c r="AV32" s="336">
        <v>0</v>
      </c>
      <c r="AW32" s="336">
        <v>0</v>
      </c>
      <c r="AX32" s="336">
        <v>0</v>
      </c>
      <c r="AY32" s="336">
        <v>0</v>
      </c>
      <c r="AZ32" s="336">
        <v>0</v>
      </c>
      <c r="BA32" s="336">
        <v>0</v>
      </c>
      <c r="BB32" s="336">
        <v>0</v>
      </c>
      <c r="BC32" s="336">
        <v>0</v>
      </c>
      <c r="BD32" s="336">
        <v>0</v>
      </c>
      <c r="BE32" s="336">
        <v>0</v>
      </c>
      <c r="BF32" s="336">
        <v>0</v>
      </c>
      <c r="BG32" s="336">
        <v>0</v>
      </c>
      <c r="BH32" s="336">
        <v>0</v>
      </c>
      <c r="BI32" s="336">
        <v>0</v>
      </c>
      <c r="BJ32" s="336">
        <v>0</v>
      </c>
      <c r="BK32" s="336">
        <v>0</v>
      </c>
      <c r="BL32" s="336">
        <v>0</v>
      </c>
      <c r="BM32" s="336">
        <v>0</v>
      </c>
      <c r="BN32" s="336">
        <v>0</v>
      </c>
      <c r="BO32" s="336">
        <v>0</v>
      </c>
      <c r="BP32" s="336">
        <v>0</v>
      </c>
      <c r="BQ32" s="336">
        <v>0</v>
      </c>
      <c r="BR32" s="336">
        <v>0</v>
      </c>
      <c r="BS32" s="336">
        <v>0</v>
      </c>
      <c r="BT32" s="336">
        <v>0</v>
      </c>
      <c r="BU32" s="336">
        <v>0</v>
      </c>
      <c r="BV32" s="336">
        <v>0</v>
      </c>
      <c r="BW32" s="336">
        <v>0</v>
      </c>
      <c r="BX32" s="336">
        <v>0</v>
      </c>
      <c r="BY32" s="336">
        <v>0</v>
      </c>
      <c r="BZ32" s="336">
        <v>0</v>
      </c>
      <c r="CA32" s="336">
        <v>2546308</v>
      </c>
      <c r="CB32" s="336">
        <v>9808044</v>
      </c>
      <c r="CC32" s="336">
        <v>0</v>
      </c>
      <c r="CD32" s="336">
        <v>0</v>
      </c>
      <c r="CE32" s="336">
        <v>0</v>
      </c>
      <c r="CF32" s="336">
        <v>0</v>
      </c>
      <c r="CG32" s="336">
        <v>0</v>
      </c>
      <c r="CH32" s="336">
        <v>0</v>
      </c>
      <c r="CI32" s="336">
        <v>0</v>
      </c>
      <c r="CJ32" s="336">
        <v>0</v>
      </c>
      <c r="CK32" s="336">
        <v>0</v>
      </c>
      <c r="CL32" s="336">
        <v>0</v>
      </c>
      <c r="CM32" s="336">
        <v>0</v>
      </c>
      <c r="CN32" s="336">
        <v>0</v>
      </c>
      <c r="CO32" s="336">
        <v>0</v>
      </c>
      <c r="CP32" s="336">
        <v>0</v>
      </c>
      <c r="CQ32" s="336">
        <v>0</v>
      </c>
      <c r="CR32" s="336">
        <v>0</v>
      </c>
      <c r="CS32" s="336">
        <v>0</v>
      </c>
      <c r="CT32" s="336">
        <v>0</v>
      </c>
      <c r="CU32" s="336">
        <v>0</v>
      </c>
      <c r="CV32" s="336">
        <v>0</v>
      </c>
      <c r="CW32" s="336">
        <v>0</v>
      </c>
      <c r="CX32" s="336">
        <v>0</v>
      </c>
      <c r="CY32" s="336">
        <v>0</v>
      </c>
      <c r="CZ32" s="336">
        <v>0</v>
      </c>
      <c r="DA32" s="336">
        <v>0</v>
      </c>
      <c r="DB32" s="336">
        <v>-155207</v>
      </c>
      <c r="DC32" s="336">
        <v>-578421</v>
      </c>
      <c r="DD32" s="336">
        <v>0</v>
      </c>
      <c r="DE32" s="336">
        <v>0</v>
      </c>
      <c r="DF32" s="336">
        <v>0</v>
      </c>
      <c r="DG32" s="336">
        <v>0</v>
      </c>
      <c r="DH32" s="336">
        <v>0</v>
      </c>
      <c r="DI32" s="336">
        <v>0</v>
      </c>
      <c r="DJ32" s="336">
        <v>0</v>
      </c>
      <c r="DK32" s="336">
        <v>0</v>
      </c>
      <c r="DL32" s="336">
        <v>0</v>
      </c>
      <c r="DM32" s="336">
        <v>0</v>
      </c>
      <c r="DN32" s="336">
        <v>0</v>
      </c>
      <c r="DO32" s="336">
        <v>0</v>
      </c>
      <c r="DP32" s="336">
        <v>0</v>
      </c>
      <c r="DQ32" s="336">
        <v>0</v>
      </c>
      <c r="DR32" s="336">
        <v>0</v>
      </c>
      <c r="DS32" s="336">
        <v>0</v>
      </c>
      <c r="DT32" s="336">
        <v>-374296</v>
      </c>
      <c r="DU32" s="336">
        <v>-1461154</v>
      </c>
      <c r="DV32" s="336">
        <v>0</v>
      </c>
      <c r="DW32" s="336">
        <v>0</v>
      </c>
      <c r="DX32" s="336">
        <v>0</v>
      </c>
      <c r="DY32" s="336">
        <v>0</v>
      </c>
      <c r="DZ32" s="336">
        <v>0</v>
      </c>
      <c r="EA32" s="336">
        <v>0</v>
      </c>
      <c r="EB32" s="336">
        <v>0</v>
      </c>
      <c r="EC32" s="336">
        <v>0</v>
      </c>
      <c r="ED32" s="336">
        <v>0</v>
      </c>
      <c r="EE32" s="336">
        <v>0</v>
      </c>
      <c r="EF32" s="336">
        <v>0</v>
      </c>
      <c r="EG32" s="336">
        <v>0</v>
      </c>
      <c r="EH32" s="336">
        <v>0</v>
      </c>
      <c r="EI32" s="336">
        <v>0</v>
      </c>
      <c r="EJ32" s="336">
        <v>0</v>
      </c>
      <c r="EK32" s="336">
        <v>0</v>
      </c>
      <c r="EL32" s="336">
        <v>0</v>
      </c>
      <c r="EM32" s="336">
        <v>0</v>
      </c>
      <c r="EN32" s="336">
        <v>0</v>
      </c>
      <c r="EO32" s="336">
        <v>0</v>
      </c>
      <c r="EP32" s="336">
        <v>0</v>
      </c>
      <c r="EQ32" s="336">
        <v>0</v>
      </c>
      <c r="ER32" s="336">
        <v>0</v>
      </c>
      <c r="ES32" s="336">
        <v>0</v>
      </c>
      <c r="ET32" s="336">
        <v>0</v>
      </c>
      <c r="EU32" s="336">
        <v>0</v>
      </c>
      <c r="EV32" s="336">
        <v>0</v>
      </c>
      <c r="EW32" s="336">
        <v>0</v>
      </c>
      <c r="EX32" s="336">
        <v>0</v>
      </c>
      <c r="EY32" s="336">
        <v>0</v>
      </c>
      <c r="EZ32" s="336">
        <v>0</v>
      </c>
      <c r="FA32" s="336">
        <v>0</v>
      </c>
      <c r="FB32" s="336">
        <v>0</v>
      </c>
      <c r="FC32" s="336">
        <v>0</v>
      </c>
      <c r="FD32" s="336">
        <v>0</v>
      </c>
      <c r="FE32" s="336">
        <v>0</v>
      </c>
      <c r="FF32" s="336">
        <v>0</v>
      </c>
      <c r="FG32" s="336">
        <v>0</v>
      </c>
      <c r="FH32" s="336">
        <v>0</v>
      </c>
      <c r="FI32" s="336">
        <v>0</v>
      </c>
      <c r="FJ32" s="336">
        <v>0</v>
      </c>
      <c r="FK32" s="336">
        <v>0</v>
      </c>
      <c r="FL32" s="336">
        <v>0</v>
      </c>
      <c r="FM32" s="336">
        <v>818</v>
      </c>
      <c r="FN32" s="336">
        <v>4055705</v>
      </c>
      <c r="FO32" s="336">
        <v>924897</v>
      </c>
      <c r="FP32" s="336">
        <v>0</v>
      </c>
      <c r="FQ32" s="336">
        <v>0</v>
      </c>
      <c r="FR32" s="336">
        <v>0</v>
      </c>
      <c r="FS32" s="336">
        <v>0</v>
      </c>
      <c r="FT32" s="336">
        <v>0</v>
      </c>
      <c r="FU32" s="336">
        <v>0</v>
      </c>
      <c r="FV32" s="336">
        <v>0</v>
      </c>
      <c r="FW32" s="336">
        <v>0</v>
      </c>
      <c r="FX32" s="336">
        <v>0</v>
      </c>
      <c r="FY32" s="336">
        <v>0</v>
      </c>
      <c r="FZ32" s="336">
        <v>0</v>
      </c>
      <c r="GA32" s="336">
        <v>0</v>
      </c>
      <c r="GB32" s="336">
        <v>0</v>
      </c>
      <c r="GC32" s="336">
        <v>0</v>
      </c>
      <c r="GD32" s="336">
        <v>0</v>
      </c>
      <c r="GE32" s="336">
        <v>0</v>
      </c>
      <c r="GF32" s="336">
        <v>0</v>
      </c>
      <c r="GG32" s="336">
        <v>0</v>
      </c>
      <c r="GH32" s="336">
        <v>0</v>
      </c>
      <c r="GI32" s="336">
        <v>0</v>
      </c>
      <c r="GJ32" s="336">
        <v>0</v>
      </c>
      <c r="GK32" s="336">
        <v>0</v>
      </c>
      <c r="GL32" s="336">
        <v>0</v>
      </c>
      <c r="GM32" s="336">
        <v>0</v>
      </c>
      <c r="GN32" s="336">
        <v>-47</v>
      </c>
      <c r="GO32" s="336">
        <v>-239251</v>
      </c>
      <c r="GP32" s="336">
        <v>-62102</v>
      </c>
      <c r="GQ32" s="336">
        <v>0</v>
      </c>
      <c r="GR32" s="336">
        <v>0</v>
      </c>
      <c r="GS32" s="336">
        <v>0</v>
      </c>
      <c r="GT32" s="336">
        <v>0</v>
      </c>
      <c r="GU32" s="336">
        <v>0</v>
      </c>
      <c r="GV32" s="336">
        <v>0</v>
      </c>
      <c r="GW32" s="336">
        <v>0</v>
      </c>
      <c r="GX32" s="336">
        <v>0</v>
      </c>
      <c r="GY32" s="336">
        <v>0</v>
      </c>
      <c r="GZ32" s="336">
        <v>0</v>
      </c>
      <c r="HA32" s="336">
        <v>0</v>
      </c>
      <c r="HB32" s="336">
        <v>0</v>
      </c>
      <c r="HC32" s="336">
        <v>0</v>
      </c>
      <c r="HD32" s="336">
        <v>0</v>
      </c>
      <c r="HE32" s="336">
        <v>0</v>
      </c>
      <c r="HF32" s="336">
        <v>-123</v>
      </c>
      <c r="HG32" s="336">
        <v>-604130</v>
      </c>
      <c r="HH32" s="336">
        <v>-130230</v>
      </c>
      <c r="HI32" s="336">
        <v>0</v>
      </c>
      <c r="HJ32" s="336">
        <v>0</v>
      </c>
      <c r="HK32" s="336">
        <v>0</v>
      </c>
      <c r="HL32" s="336">
        <v>0</v>
      </c>
      <c r="HM32" s="336">
        <v>0</v>
      </c>
      <c r="HN32" s="336">
        <v>0</v>
      </c>
      <c r="HO32" s="336">
        <v>-332</v>
      </c>
      <c r="HP32" s="336">
        <v>19995</v>
      </c>
      <c r="HQ32" s="336">
        <v>0</v>
      </c>
      <c r="HR32" s="336">
        <v>3854771</v>
      </c>
      <c r="HS32" s="336">
        <v>0</v>
      </c>
      <c r="HT32" s="336">
        <v>0</v>
      </c>
      <c r="HU32" s="336">
        <v>0</v>
      </c>
      <c r="HV32" s="336">
        <v>0</v>
      </c>
      <c r="HW32" s="336">
        <v>0</v>
      </c>
      <c r="HX32" s="336">
        <v>0</v>
      </c>
      <c r="HY32" s="336">
        <v>0</v>
      </c>
      <c r="HZ32" s="336">
        <v>0</v>
      </c>
      <c r="IA32" s="336">
        <v>0</v>
      </c>
      <c r="IB32" s="336">
        <v>0</v>
      </c>
      <c r="IC32" s="336">
        <v>0</v>
      </c>
      <c r="ID32" s="336">
        <v>0</v>
      </c>
      <c r="IE32" s="336">
        <v>0</v>
      </c>
      <c r="IF32" s="336">
        <v>0</v>
      </c>
      <c r="IG32" s="336">
        <v>0</v>
      </c>
      <c r="IH32" s="336">
        <v>0</v>
      </c>
      <c r="II32" s="336">
        <v>0</v>
      </c>
      <c r="IJ32" s="336">
        <v>0</v>
      </c>
      <c r="IK32" s="336">
        <v>0</v>
      </c>
      <c r="IL32" s="336">
        <v>0</v>
      </c>
      <c r="IM32" s="336">
        <v>0</v>
      </c>
      <c r="IN32" s="336">
        <v>0</v>
      </c>
      <c r="IO32" s="336">
        <v>0</v>
      </c>
      <c r="IP32" s="336">
        <v>173514</v>
      </c>
      <c r="IQ32" s="336">
        <v>2099884</v>
      </c>
      <c r="IR32" s="336">
        <v>119615</v>
      </c>
      <c r="IS32" s="336">
        <v>125768</v>
      </c>
      <c r="IT32" s="336">
        <v>0</v>
      </c>
      <c r="IU32" s="336">
        <v>2832</v>
      </c>
      <c r="IV32" s="336">
        <v>0</v>
      </c>
      <c r="IW32" s="336">
        <v>0</v>
      </c>
      <c r="IX32" s="336">
        <v>0</v>
      </c>
      <c r="IY32" s="336">
        <v>0</v>
      </c>
      <c r="IZ32" s="336">
        <v>0</v>
      </c>
      <c r="JA32" s="336">
        <v>0</v>
      </c>
      <c r="JB32" s="336">
        <v>0</v>
      </c>
      <c r="JC32" s="336">
        <v>0</v>
      </c>
      <c r="JD32" s="336">
        <v>0</v>
      </c>
      <c r="JE32" s="336">
        <v>0</v>
      </c>
      <c r="JF32" s="336">
        <v>0</v>
      </c>
      <c r="JG32" s="336">
        <v>0</v>
      </c>
      <c r="JH32" s="336">
        <v>0</v>
      </c>
      <c r="JI32" s="336">
        <v>7442</v>
      </c>
      <c r="JJ32" s="336">
        <v>35302</v>
      </c>
      <c r="JK32" s="336">
        <v>1406952</v>
      </c>
      <c r="JL32" s="336">
        <v>0</v>
      </c>
      <c r="JM32" s="336">
        <v>0</v>
      </c>
      <c r="JN32" s="336">
        <v>0</v>
      </c>
      <c r="JO32" s="336">
        <v>0</v>
      </c>
      <c r="JP32" s="336">
        <v>0</v>
      </c>
      <c r="JQ32" s="336">
        <v>0</v>
      </c>
      <c r="JR32" s="336">
        <v>5836060</v>
      </c>
      <c r="JS32" s="336">
        <v>0</v>
      </c>
      <c r="JT32" s="336">
        <v>9527</v>
      </c>
      <c r="JU32" s="336">
        <v>0</v>
      </c>
      <c r="JV32" s="336">
        <v>0</v>
      </c>
      <c r="JW32" s="336">
        <v>0</v>
      </c>
      <c r="JX32" s="336">
        <v>0</v>
      </c>
      <c r="JY32" s="336">
        <v>0</v>
      </c>
      <c r="JZ32" s="336">
        <v>0</v>
      </c>
      <c r="KA32" s="336">
        <v>0</v>
      </c>
      <c r="KB32" s="336">
        <v>1631200</v>
      </c>
      <c r="KC32" s="336">
        <v>0</v>
      </c>
      <c r="KD32" s="336">
        <v>0</v>
      </c>
      <c r="KE32" s="336">
        <v>0</v>
      </c>
      <c r="KF32" s="336">
        <v>0</v>
      </c>
      <c r="KG32" s="336">
        <v>0</v>
      </c>
      <c r="KH32" s="336">
        <v>0</v>
      </c>
      <c r="KI32" s="336">
        <v>0</v>
      </c>
      <c r="KJ32" s="336">
        <v>82734</v>
      </c>
      <c r="KK32" s="336">
        <v>27582</v>
      </c>
      <c r="KL32" s="336">
        <v>0</v>
      </c>
      <c r="KM32" s="336">
        <v>1180</v>
      </c>
      <c r="KN32" s="336">
        <v>275592</v>
      </c>
      <c r="KO32" s="336">
        <v>0</v>
      </c>
      <c r="KP32" s="336">
        <v>0</v>
      </c>
      <c r="KQ32" s="336">
        <v>-363784</v>
      </c>
      <c r="KR32" s="336">
        <v>15381902</v>
      </c>
      <c r="KS32" s="336">
        <v>7208223</v>
      </c>
      <c r="KT32" s="336">
        <v>0</v>
      </c>
      <c r="KU32" s="336">
        <v>147525</v>
      </c>
      <c r="KV32" s="336">
        <v>0</v>
      </c>
      <c r="KW32" s="336">
        <v>0</v>
      </c>
      <c r="KX32" s="336">
        <v>0</v>
      </c>
      <c r="KY32" s="336">
        <v>0</v>
      </c>
      <c r="KZ32" s="336">
        <v>0</v>
      </c>
      <c r="LA32" s="336">
        <v>1649</v>
      </c>
      <c r="LB32" s="336">
        <v>18699</v>
      </c>
      <c r="LC32" s="336">
        <v>0</v>
      </c>
      <c r="LD32" s="336">
        <v>37099</v>
      </c>
      <c r="LE32" s="336">
        <v>0</v>
      </c>
      <c r="LF32" s="336">
        <v>0</v>
      </c>
      <c r="LG32" s="336">
        <v>0</v>
      </c>
      <c r="LH32" s="336">
        <v>0</v>
      </c>
      <c r="LI32" s="336">
        <v>0</v>
      </c>
      <c r="LJ32" s="336">
        <v>953109</v>
      </c>
      <c r="LK32" s="336">
        <v>80867</v>
      </c>
      <c r="LL32" s="336">
        <v>0</v>
      </c>
      <c r="LM32" s="336">
        <v>44526</v>
      </c>
      <c r="LN32" s="336">
        <v>0</v>
      </c>
      <c r="LO32" s="336">
        <v>0</v>
      </c>
      <c r="LP32" s="336">
        <v>0</v>
      </c>
      <c r="LQ32" s="336">
        <v>0</v>
      </c>
      <c r="LR32" s="336">
        <v>0</v>
      </c>
      <c r="LS32" s="336">
        <v>0</v>
      </c>
      <c r="LT32" s="336">
        <v>0</v>
      </c>
      <c r="LU32" s="336">
        <v>0</v>
      </c>
      <c r="LV32" s="336">
        <v>0</v>
      </c>
      <c r="LW32" s="336">
        <v>0</v>
      </c>
      <c r="LX32" s="336">
        <v>0</v>
      </c>
      <c r="LY32" s="336">
        <v>0</v>
      </c>
      <c r="LZ32" s="336">
        <v>0</v>
      </c>
      <c r="MA32" s="336">
        <v>0</v>
      </c>
      <c r="MB32" s="336">
        <v>3650595</v>
      </c>
      <c r="MC32" s="336">
        <v>1135607</v>
      </c>
      <c r="MD32" s="336">
        <v>0</v>
      </c>
      <c r="ME32" s="336">
        <v>161924</v>
      </c>
      <c r="MF32" s="336">
        <v>0</v>
      </c>
      <c r="MG32" s="336">
        <v>0</v>
      </c>
      <c r="MH32" s="336">
        <v>0</v>
      </c>
      <c r="MI32" s="336">
        <v>0</v>
      </c>
      <c r="MJ32" s="336">
        <v>0</v>
      </c>
      <c r="MK32" s="336">
        <v>2393349</v>
      </c>
      <c r="ML32" s="336">
        <v>1514342</v>
      </c>
      <c r="MM32" s="336">
        <v>0</v>
      </c>
      <c r="MN32" s="336">
        <v>674595</v>
      </c>
      <c r="MO32" s="336">
        <v>-11983</v>
      </c>
      <c r="MP32" s="336">
        <v>0</v>
      </c>
      <c r="MQ32" s="336">
        <v>0</v>
      </c>
      <c r="MR32" s="336">
        <v>0</v>
      </c>
      <c r="MS32" s="336">
        <v>0</v>
      </c>
      <c r="MT32" s="336">
        <v>5685054</v>
      </c>
      <c r="MU32" s="336">
        <v>2966199</v>
      </c>
      <c r="MV32" s="336">
        <v>0</v>
      </c>
      <c r="MW32" s="336">
        <v>18640</v>
      </c>
      <c r="MX32" s="336">
        <v>0</v>
      </c>
      <c r="MY32" s="336">
        <v>0</v>
      </c>
      <c r="MZ32" s="336">
        <v>0</v>
      </c>
      <c r="NA32" s="336">
        <v>0</v>
      </c>
      <c r="NB32" s="336">
        <v>0</v>
      </c>
      <c r="NC32" s="336">
        <v>1454500</v>
      </c>
      <c r="ND32" s="336">
        <v>1312833</v>
      </c>
      <c r="NE32" s="336">
        <v>0</v>
      </c>
      <c r="NF32" s="336">
        <v>0</v>
      </c>
      <c r="NG32" s="336">
        <v>0</v>
      </c>
      <c r="NH32" s="336">
        <v>0</v>
      </c>
      <c r="NI32" s="336">
        <v>18887</v>
      </c>
      <c r="NJ32" s="336">
        <v>0</v>
      </c>
      <c r="NK32" s="336">
        <v>0</v>
      </c>
      <c r="NL32" s="336">
        <v>1056332</v>
      </c>
      <c r="NM32" s="336">
        <v>1293460</v>
      </c>
      <c r="NN32" s="336">
        <v>0</v>
      </c>
      <c r="NO32" s="336">
        <v>2447216</v>
      </c>
      <c r="NP32" s="336">
        <v>0</v>
      </c>
      <c r="NQ32" s="336">
        <v>0</v>
      </c>
      <c r="NR32" s="336">
        <v>0</v>
      </c>
      <c r="NS32" s="336">
        <v>0</v>
      </c>
      <c r="NT32" s="336">
        <v>0</v>
      </c>
      <c r="NU32" s="336">
        <v>0</v>
      </c>
      <c r="NV32" s="336">
        <v>0</v>
      </c>
      <c r="NW32" s="336">
        <v>4230478</v>
      </c>
      <c r="NX32" s="336">
        <v>0</v>
      </c>
      <c r="NY32" s="336">
        <v>0</v>
      </c>
      <c r="NZ32" s="336">
        <v>0</v>
      </c>
      <c r="OA32" s="336">
        <v>0</v>
      </c>
      <c r="OB32" s="336">
        <v>0</v>
      </c>
      <c r="OC32" s="336">
        <v>0</v>
      </c>
      <c r="OD32" s="336">
        <v>809666</v>
      </c>
      <c r="OE32" s="336">
        <v>859416</v>
      </c>
      <c r="OF32" s="336">
        <v>0</v>
      </c>
      <c r="OG32" s="336">
        <v>-682674</v>
      </c>
      <c r="OH32" s="336">
        <v>0</v>
      </c>
      <c r="OI32" s="336">
        <v>0</v>
      </c>
      <c r="OJ32" s="336">
        <v>0</v>
      </c>
      <c r="OK32" s="336">
        <v>0</v>
      </c>
      <c r="OL32" s="336">
        <v>0</v>
      </c>
      <c r="OM32" s="336">
        <v>0</v>
      </c>
      <c r="ON32" s="336">
        <v>155690</v>
      </c>
      <c r="OO32" s="336">
        <v>0</v>
      </c>
      <c r="OP32" s="336">
        <v>356682</v>
      </c>
      <c r="OQ32" s="336">
        <v>0</v>
      </c>
      <c r="OR32" s="336">
        <v>0</v>
      </c>
      <c r="OS32" s="336">
        <v>0</v>
      </c>
      <c r="OT32" s="336">
        <v>0</v>
      </c>
      <c r="OU32" s="336">
        <v>2229</v>
      </c>
      <c r="OV32" s="336">
        <v>0</v>
      </c>
      <c r="OW32" s="336">
        <v>0</v>
      </c>
      <c r="OX32" s="336">
        <v>0</v>
      </c>
      <c r="OY32" s="336">
        <v>0</v>
      </c>
      <c r="OZ32" s="336">
        <v>0</v>
      </c>
      <c r="PA32" s="336">
        <v>0</v>
      </c>
      <c r="PB32" s="336">
        <v>2631456</v>
      </c>
      <c r="PC32" s="336">
        <v>0</v>
      </c>
      <c r="PD32" s="336">
        <v>0</v>
      </c>
      <c r="PE32" s="336">
        <v>-551903</v>
      </c>
      <c r="PF32" s="336">
        <v>-277228</v>
      </c>
      <c r="PG32" s="336">
        <v>2233283</v>
      </c>
      <c r="PH32" s="336">
        <v>-2608534</v>
      </c>
      <c r="PI32" s="336">
        <v>34082</v>
      </c>
      <c r="PJ32" s="336">
        <v>285785</v>
      </c>
      <c r="PK32" s="336">
        <v>1579720</v>
      </c>
      <c r="PL32" s="336">
        <v>0</v>
      </c>
      <c r="PM32" s="336">
        <v>0</v>
      </c>
      <c r="PN32" s="336">
        <v>0</v>
      </c>
      <c r="PO32" s="336">
        <v>0</v>
      </c>
      <c r="PP32" s="336">
        <v>0</v>
      </c>
      <c r="PQ32" s="336">
        <v>0</v>
      </c>
      <c r="PR32" s="336">
        <v>0</v>
      </c>
      <c r="PS32" s="336">
        <v>0</v>
      </c>
      <c r="PT32" s="336">
        <v>0</v>
      </c>
      <c r="PU32" s="336">
        <v>0</v>
      </c>
      <c r="PV32" s="336">
        <v>0</v>
      </c>
      <c r="PW32" s="336">
        <v>-11594393</v>
      </c>
      <c r="PX32" s="336">
        <v>0</v>
      </c>
      <c r="PY32" s="336">
        <v>-1053900</v>
      </c>
      <c r="PZ32" s="336">
        <v>0</v>
      </c>
      <c r="QA32" s="336">
        <v>0</v>
      </c>
      <c r="QB32" s="336">
        <v>0</v>
      </c>
      <c r="QC32" s="336">
        <v>0</v>
      </c>
      <c r="QD32" s="336">
        <v>0</v>
      </c>
      <c r="QE32" s="336">
        <v>0</v>
      </c>
      <c r="QF32" s="336">
        <v>0</v>
      </c>
      <c r="QG32" s="336">
        <v>3122051</v>
      </c>
      <c r="QH32" s="336">
        <v>-3893</v>
      </c>
      <c r="QI32" s="336">
        <v>170527</v>
      </c>
      <c r="QJ32" s="336">
        <v>0</v>
      </c>
      <c r="QK32" s="336">
        <v>804114</v>
      </c>
      <c r="QL32" s="336">
        <v>0</v>
      </c>
      <c r="QM32" s="336">
        <v>0</v>
      </c>
      <c r="QN32" s="336">
        <v>0</v>
      </c>
      <c r="QO32" s="336">
        <v>0</v>
      </c>
      <c r="QP32" s="336">
        <v>0</v>
      </c>
      <c r="QQ32" s="336">
        <v>0</v>
      </c>
      <c r="QR32" s="336">
        <v>0</v>
      </c>
      <c r="QS32" s="336">
        <v>0</v>
      </c>
      <c r="QT32" s="336">
        <v>409676</v>
      </c>
      <c r="QU32" s="336">
        <v>0</v>
      </c>
      <c r="QV32" s="336">
        <v>0</v>
      </c>
      <c r="QW32" s="336">
        <v>0</v>
      </c>
      <c r="QX32" s="336">
        <v>0</v>
      </c>
      <c r="QY32" s="336">
        <v>0</v>
      </c>
      <c r="QZ32" s="336">
        <v>0</v>
      </c>
      <c r="RA32" s="336">
        <v>0</v>
      </c>
      <c r="RB32" s="336">
        <v>0</v>
      </c>
      <c r="RC32" s="336">
        <v>0</v>
      </c>
      <c r="RD32" s="336">
        <v>0</v>
      </c>
      <c r="RE32" s="336">
        <v>0</v>
      </c>
      <c r="RF32" s="336">
        <v>0</v>
      </c>
      <c r="RG32" s="336">
        <v>0</v>
      </c>
      <c r="RH32" s="336">
        <v>0</v>
      </c>
      <c r="RI32" s="336">
        <v>0</v>
      </c>
      <c r="RJ32" s="336">
        <v>0</v>
      </c>
      <c r="RK32" s="336">
        <v>0</v>
      </c>
      <c r="RL32" s="336">
        <v>0</v>
      </c>
      <c r="RM32" s="336">
        <v>0</v>
      </c>
      <c r="RN32" s="336">
        <v>0</v>
      </c>
      <c r="RO32" s="336">
        <v>-7527346</v>
      </c>
      <c r="RP32" s="336">
        <v>0</v>
      </c>
      <c r="RQ32" s="336">
        <v>0</v>
      </c>
      <c r="RR32" s="336">
        <v>0</v>
      </c>
      <c r="RS32" s="336">
        <v>0</v>
      </c>
      <c r="RT32" s="336">
        <v>0</v>
      </c>
      <c r="RU32" s="336">
        <v>0</v>
      </c>
      <c r="RV32" s="336">
        <v>0</v>
      </c>
      <c r="RW32" s="336">
        <v>0</v>
      </c>
      <c r="RX32" s="336">
        <v>0</v>
      </c>
      <c r="RY32" s="336">
        <v>0</v>
      </c>
      <c r="RZ32" s="336">
        <v>0</v>
      </c>
      <c r="SA32" s="336">
        <v>0</v>
      </c>
      <c r="SB32" s="336">
        <v>0</v>
      </c>
      <c r="SC32" s="336">
        <v>0</v>
      </c>
      <c r="SD32" s="336">
        <v>0</v>
      </c>
      <c r="SE32" s="336">
        <v>0</v>
      </c>
      <c r="SF32" s="336">
        <v>0</v>
      </c>
      <c r="SG32" s="336">
        <v>0</v>
      </c>
      <c r="SH32" s="336">
        <v>0</v>
      </c>
      <c r="SI32" s="336">
        <v>0</v>
      </c>
      <c r="SJ32" s="336">
        <v>0</v>
      </c>
      <c r="SK32" s="336">
        <v>0</v>
      </c>
      <c r="SL32" s="336">
        <v>0</v>
      </c>
      <c r="SM32" s="336">
        <v>0</v>
      </c>
      <c r="SN32" s="336">
        <v>0</v>
      </c>
      <c r="SO32" s="336">
        <v>0</v>
      </c>
      <c r="SP32" s="336">
        <v>0</v>
      </c>
      <c r="SQ32" s="336">
        <v>809666</v>
      </c>
      <c r="SR32" s="336">
        <v>859416</v>
      </c>
      <c r="SS32" s="336">
        <v>0</v>
      </c>
      <c r="ST32" s="336">
        <v>-682674</v>
      </c>
      <c r="SU32" s="336">
        <v>0</v>
      </c>
      <c r="SV32" s="336">
        <v>0</v>
      </c>
      <c r="SW32" s="336">
        <v>-2631456</v>
      </c>
      <c r="SX32" s="336">
        <v>0</v>
      </c>
      <c r="SY32" s="336">
        <v>0</v>
      </c>
      <c r="SZ32" s="336" t="s">
        <v>1420</v>
      </c>
      <c r="TA32" s="336" t="s">
        <v>1420</v>
      </c>
      <c r="TB32" s="336" t="s">
        <v>1420</v>
      </c>
      <c r="TC32" s="336">
        <v>394048</v>
      </c>
      <c r="TD32" s="336">
        <v>50257</v>
      </c>
      <c r="TE32" s="336">
        <v>0</v>
      </c>
      <c r="TF32" s="336">
        <v>0</v>
      </c>
      <c r="TG32" s="336">
        <v>23388</v>
      </c>
      <c r="TH32" s="336">
        <v>-141818</v>
      </c>
      <c r="TI32" s="336">
        <v>660533</v>
      </c>
      <c r="TJ32" s="336">
        <v>0</v>
      </c>
      <c r="TK32" s="336">
        <v>0</v>
      </c>
      <c r="TL32" s="336">
        <v>0</v>
      </c>
      <c r="TM32" s="336">
        <v>0</v>
      </c>
      <c r="TN32" s="336">
        <v>0</v>
      </c>
      <c r="TO32" s="336">
        <v>0</v>
      </c>
      <c r="TP32" s="336">
        <v>0</v>
      </c>
      <c r="TQ32" s="336">
        <v>0</v>
      </c>
      <c r="TR32" s="336">
        <v>0</v>
      </c>
      <c r="TS32" s="336">
        <v>0</v>
      </c>
      <c r="TT32" s="336">
        <v>0</v>
      </c>
      <c r="TU32" s="336">
        <v>0</v>
      </c>
      <c r="TV32" s="336">
        <v>0</v>
      </c>
      <c r="TW32" s="336">
        <v>0</v>
      </c>
      <c r="TX32" s="336">
        <v>0</v>
      </c>
      <c r="TY32" s="336">
        <v>0</v>
      </c>
      <c r="TZ32" s="336">
        <v>0</v>
      </c>
      <c r="UA32" s="336">
        <v>0</v>
      </c>
      <c r="UB32" s="336">
        <v>0</v>
      </c>
      <c r="UC32" s="336">
        <v>0</v>
      </c>
      <c r="UD32" s="336">
        <v>0</v>
      </c>
      <c r="UE32" s="336">
        <v>0</v>
      </c>
      <c r="UF32" s="336">
        <v>0</v>
      </c>
      <c r="UG32" s="336">
        <v>0</v>
      </c>
      <c r="UH32" s="336">
        <v>22737650</v>
      </c>
      <c r="UI32" s="336">
        <v>57447</v>
      </c>
      <c r="UJ32" s="336">
        <v>1078502</v>
      </c>
      <c r="UK32" s="336">
        <v>0</v>
      </c>
      <c r="UL32" s="336">
        <v>4948126</v>
      </c>
      <c r="UM32" s="336">
        <v>4570303</v>
      </c>
      <c r="UN32" s="336">
        <v>8669893</v>
      </c>
      <c r="UO32" s="336">
        <v>2786220</v>
      </c>
      <c r="UP32" s="336">
        <v>4797008</v>
      </c>
      <c r="UQ32" s="336">
        <v>4230478</v>
      </c>
      <c r="UR32"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986408</v>
      </c>
      <c r="US32" s="338">
        <f>SUM(Input[[#This Row],[Oth Exp E&amp;G]],Input[[#This Row],[Oth Exp Desg]],Input[[#This Row],[Oth Exp Aux]],Input[[#This Row],[Oth Exp R Exp]],Input[[#This Row],[Oth Exp Loan]],Input[[#This Row],[Oth Exp Annuity]],Input[[#This Row],[Oth Exp Unexp]],Input[[#This Row],[Oth Exp R of Ind]],Input[[#This Row],[Oth Exp Inv in P]])</f>
        <v>514601</v>
      </c>
      <c r="UT32" s="336">
        <v>4908495</v>
      </c>
      <c r="UU32" s="336">
        <v>4092799</v>
      </c>
      <c r="UV32" s="339" t="s">
        <v>1432</v>
      </c>
      <c r="UW32" s="340">
        <v>9798459761</v>
      </c>
      <c r="UX32" s="339" t="s">
        <v>1433</v>
      </c>
      <c r="UY32" s="339" t="s">
        <v>1449</v>
      </c>
      <c r="UZ32" s="340">
        <v>9032233110</v>
      </c>
      <c r="VA32" s="339" t="s">
        <v>1450</v>
      </c>
      <c r="VB32" s="341" cm="1">
        <f t="array" ref="VB32">IFERROR(_xlfn.IFS(Input[[#This Row],[Type]]="HRI",VLOOKUP(Input[[#This Row],[Institution Name]],FTSEHRI[],9,FALSE),Input[[#This Row],[Type]]="UNIV",VLOOKUP(Input[[#This Row],[Institution Name]],FTSEUNIV[],9,FALSE),OR(Input[[#This Row],[Type]]="TSTC",Input[[#This Row],[Type]]="LSC"),VLOOKUP(Input[[#This Row],[Institution Name]],FTSETSTC[],8,FALSE)),"N/A")</f>
        <v>1615.92</v>
      </c>
      <c r="VC32" s="342" t="str" cm="1">
        <f t="array" ref="VC32">IFERROR(_xlfn.IFS(Input[[#This Row],[Type]]="HRI",VLOOKUP(Input[[#This Row],[Institution Name]],FTSEHRI[],11,FALSE),Input[[#This Row],[Type]]="UNIV",VLOOKUP(Input[[#This Row],[Institution Name]],FTSEUNIV[],11,FALSE),Input[[#This Row],[Type]]="TSTC",VLOOKUP(Input[[#This Row],[Institution Name]],FTSETSTC[],10,FALSE)),"N/A")</f>
        <v>N/A</v>
      </c>
      <c r="VD32"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38417989</v>
      </c>
      <c r="VE32"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2112129</v>
      </c>
      <c r="VF32" s="338">
        <f>SUM(Input[[#This Row],[Fed G&amp;C E&amp;G]],Input[[#This Row],[Fed G&amp;C Desg]],Input[[#This Row],[Fed G&amp;C R Exp]],Input[[#This Row],[Fed G&amp;C Loan]],Input[[#This Row],[Fed G&amp;C Annuity]],Input[[#This Row],[Fed G&amp;C Unexp]],Input[[#This Row],[Fed G&amp;C R of Ind]],Input[[#This Row],[Fed G&amp;C Inv in P]])</f>
        <v>3874434</v>
      </c>
      <c r="VG32"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9657701</v>
      </c>
      <c r="VH32"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9785274</v>
      </c>
      <c r="VI32"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3212972</v>
      </c>
      <c r="VJ32" s="338">
        <f>SUM(Input[[#This Row],[Oth Inc E&amp;G]],Input[[#This Row],[Oth Exp Desg]],Input[[#This Row],[Oth Exp R Exp]],Input[[#This Row],[Oth Exp Loan]],Input[[#This Row],[Oth Exp Annuity]],Input[[#This Row],[Oth Exp Unexp]],Input[[#This Row],[Oth Exp R of Ind]],Input[[#This Row],[Oth Exp Inv in P]])</f>
        <v>514601</v>
      </c>
      <c r="VK32" s="343">
        <f>SUM(Input[[#This Row],[Instr E&amp;G]],Input[[#This Row],[Instr Desg]],Input[[#This Row],[Instr R Exp]],Input[[#This Row],[Instr Loan]],Input[[#This Row],[Instr Annuity]],Input[[#This Row],[Instr Unexp]],Input[[#This Row],[Instr R of Ind]],Input[[#This Row],[Instr Inv in P]])</f>
        <v>22737650</v>
      </c>
      <c r="VL32" s="343">
        <f>SUM(Input[[#This Row],[Res E&amp;G]],Input[[#This Row],[Res Desg]],Input[[#This Row],[Res R Exp]],Input[[#This Row],[Res Loan]],Input[[#This Row],[Res Annuity]],Input[[#This Row],[Res Unexp]],Input[[#This Row],[Res R of Ind]],Input[[#This Row],[Res Inv in P]])</f>
        <v>57447</v>
      </c>
      <c r="VM32" s="343">
        <f>SUM(Input[[#This Row],[Acad Sup E&amp;G]],Input[[#This Row],[Acad Sup Desg]],Input[[#This Row],[Acad Sup R Exp]],Input[[#This Row],[Acad Sup Loan]],Input[[#This Row],[Acad Sup Annuity]],Input[[#This Row],[Acad Sup Unexp]],Input[[#This Row],[Acad Sup R of Ind]],Input[[#This Row],[Acad Sup Inv in P]])</f>
        <v>4948126</v>
      </c>
      <c r="VN32" s="343">
        <f>SUM(Input[[#This Row],[Stu Svc E&amp;G]],Input[[#This Row],[Stu Svc Desg]],Input[[#This Row],[Stu Svc R Exp]],Input[[#This Row],[Stu Svc Loan]],Input[[#This Row],[Stu Svc Annuity]],Input[[#This Row],[Stu Svc Unexp]],Input[[#This Row],[Stu Svc R of Ind]],Input[[#This Row],[Stu Svc Inv in P]])</f>
        <v>4570303</v>
      </c>
      <c r="VO32" s="343">
        <f>SUM(Input[[#This Row],[Inst. Spt E&amp;G]],Input[[#This Row],[Inst. Spt Desg]],Input[[#This Row],[Inst. Spt R Exp]],Input[[#This Row],[Inst. Spt Loan]],Input[[#This Row],[Inst. Spt Annuity]],Input[[#This Row],[Inst. Spt Unexp]],Input[[#This Row],[Inst. Spt R of Ind]],Input[[#This Row],[Inst. Spt Inv in P]])</f>
        <v>8669893</v>
      </c>
      <c r="VP32" s="343">
        <f>SUM(Input[[#This Row],[M&amp;O Plnt E&amp;G]],Input[[#This Row],[M&amp;O Plnt Desg]],Input[[#This Row],[M&amp;O Plnt R Exp]],Input[[#This Row],[M&amp;O Plnt Loan]],Input[[#This Row],[M&amp;O Plnt Annuity]],Input[[#This Row],[M&amp;O Plnt Unexp]],Input[[#This Row],[M&amp;O Plnt R of Ind]],Input[[#This Row],[M&amp;O Plnt Inv in P]])</f>
        <v>2786220</v>
      </c>
      <c r="VQ32" s="343">
        <f>SUM(Input[[#This Row],[Schl &amp; Fell E&amp;G]],Input[[#This Row],[Schl &amp; Fell Desg]],Input[[#This Row],[Schl &amp; Fell R Exp]],Input[[#This Row],[Schl &amp; Fell Loan]],Input[[#This Row],[Schl &amp; Fell Annuity]],Input[[#This Row],[Schl &amp; Fell Unexp]],Input[[#This Row],[Schl &amp; Fell R of Ind]],Input[[#This Row],[Schl &amp; Fell Inv in P]])</f>
        <v>4797008</v>
      </c>
      <c r="VR32" s="343">
        <f>SUM(Input[[#This Row],[Cap Out fund E&amp;G]],Input[[#This Row],[Cap Out fund Desg]],Input[[#This Row],[Cap Out fund R Exp]],Input[[#This Row],[Cap Out fund Loan]],Input[[#This Row],[Cap Out fund Annuity]],Input[[#This Row],[Cap Out fund Unexp]],Input[[#This Row],[Cap Out fund R of Ind]],Input[[#This Row],[Cap Out fund Inv in P]])</f>
        <v>986408</v>
      </c>
      <c r="VS32" s="343">
        <f>SUM(Input[[#This Row],[Oth Exp E&amp;G]],Input[[#This Row],[Oth Exp Desg]],Input[[#This Row],[Oth Exp R Exp]],Input[[#This Row],[Oth Exp Loan]],Input[[#This Row],[Oth Exp Annuity]],Input[[#This Row],[Oth Exp Unexp]],Input[[#This Row],[Oth Exp R of Ind]],Input[[#This Row],[Oth Exp Inv in P]],Input[[#This Row],[Oth Exp Inv in P]])</f>
        <v>516830</v>
      </c>
    </row>
    <row r="33" spans="1:591" s="344" customFormat="1" ht="27" customHeight="1" x14ac:dyDescent="0.55000000000000004">
      <c r="A33" s="339" t="s">
        <v>67</v>
      </c>
      <c r="B33" s="334" t="s">
        <v>830</v>
      </c>
      <c r="C33" s="334" t="s">
        <v>21</v>
      </c>
      <c r="D33" s="334">
        <v>140</v>
      </c>
      <c r="E33" s="334" t="s">
        <v>1622</v>
      </c>
      <c r="F33" s="335">
        <v>10298</v>
      </c>
      <c r="G33" s="336">
        <v>30085240</v>
      </c>
      <c r="H33" s="336">
        <v>0</v>
      </c>
      <c r="I33" s="336">
        <v>0</v>
      </c>
      <c r="J33" s="336">
        <v>0</v>
      </c>
      <c r="K33" s="336">
        <v>0</v>
      </c>
      <c r="L33" s="336">
        <v>0</v>
      </c>
      <c r="M33" s="336">
        <v>0</v>
      </c>
      <c r="N33" s="336">
        <v>0</v>
      </c>
      <c r="O33" s="336">
        <v>0</v>
      </c>
      <c r="P33" s="336">
        <v>973540</v>
      </c>
      <c r="Q33" s="336">
        <v>10000</v>
      </c>
      <c r="R33" s="336">
        <v>0</v>
      </c>
      <c r="S33" s="336">
        <v>155213</v>
      </c>
      <c r="T33" s="336">
        <v>0</v>
      </c>
      <c r="U33" s="336">
        <v>0</v>
      </c>
      <c r="V33" s="336">
        <v>0</v>
      </c>
      <c r="W33" s="336">
        <v>0</v>
      </c>
      <c r="X33" s="336">
        <v>0</v>
      </c>
      <c r="Y33" s="336">
        <v>0</v>
      </c>
      <c r="Z33" s="336">
        <v>0</v>
      </c>
      <c r="AA33" s="336">
        <v>0</v>
      </c>
      <c r="AB33" s="336">
        <v>0</v>
      </c>
      <c r="AC33" s="336">
        <v>0</v>
      </c>
      <c r="AD33" s="336">
        <v>0</v>
      </c>
      <c r="AE33" s="336">
        <v>0</v>
      </c>
      <c r="AF33" s="336">
        <v>0</v>
      </c>
      <c r="AG33" s="336">
        <v>0</v>
      </c>
      <c r="AH33" s="336">
        <v>0</v>
      </c>
      <c r="AI33" s="336">
        <v>0</v>
      </c>
      <c r="AJ33" s="336">
        <v>0</v>
      </c>
      <c r="AK33" s="336">
        <v>0</v>
      </c>
      <c r="AL33" s="336">
        <v>0</v>
      </c>
      <c r="AM33" s="336">
        <v>0</v>
      </c>
      <c r="AN33" s="336">
        <v>0</v>
      </c>
      <c r="AO33" s="336">
        <v>0</v>
      </c>
      <c r="AP33" s="336">
        <v>0</v>
      </c>
      <c r="AQ33" s="336">
        <v>-648480</v>
      </c>
      <c r="AR33" s="336">
        <v>-617255</v>
      </c>
      <c r="AS33" s="336">
        <v>0</v>
      </c>
      <c r="AT33" s="336">
        <v>0</v>
      </c>
      <c r="AU33" s="336">
        <v>0</v>
      </c>
      <c r="AV33" s="336">
        <v>0</v>
      </c>
      <c r="AW33" s="336">
        <v>0</v>
      </c>
      <c r="AX33" s="336">
        <v>0</v>
      </c>
      <c r="AY33" s="336">
        <v>0</v>
      </c>
      <c r="AZ33" s="336">
        <v>0</v>
      </c>
      <c r="BA33" s="336">
        <v>0</v>
      </c>
      <c r="BB33" s="336">
        <v>0</v>
      </c>
      <c r="BC33" s="336">
        <v>0</v>
      </c>
      <c r="BD33" s="336">
        <v>0</v>
      </c>
      <c r="BE33" s="336">
        <v>0</v>
      </c>
      <c r="BF33" s="336">
        <v>0</v>
      </c>
      <c r="BG33" s="336">
        <v>0</v>
      </c>
      <c r="BH33" s="336">
        <v>0</v>
      </c>
      <c r="BI33" s="336">
        <v>0</v>
      </c>
      <c r="BJ33" s="336">
        <v>0</v>
      </c>
      <c r="BK33" s="336">
        <v>0</v>
      </c>
      <c r="BL33" s="336">
        <v>0</v>
      </c>
      <c r="BM33" s="336">
        <v>0</v>
      </c>
      <c r="BN33" s="336">
        <v>0</v>
      </c>
      <c r="BO33" s="336">
        <v>0</v>
      </c>
      <c r="BP33" s="336">
        <v>0</v>
      </c>
      <c r="BQ33" s="336">
        <v>0</v>
      </c>
      <c r="BR33" s="336">
        <v>0</v>
      </c>
      <c r="BS33" s="336">
        <v>0</v>
      </c>
      <c r="BT33" s="336">
        <v>0</v>
      </c>
      <c r="BU33" s="336">
        <v>0</v>
      </c>
      <c r="BV33" s="336">
        <v>0</v>
      </c>
      <c r="BW33" s="336">
        <v>0</v>
      </c>
      <c r="BX33" s="336">
        <v>0</v>
      </c>
      <c r="BY33" s="336">
        <v>0</v>
      </c>
      <c r="BZ33" s="336">
        <v>0</v>
      </c>
      <c r="CA33" s="336">
        <v>4008351</v>
      </c>
      <c r="CB33" s="336">
        <v>17464236</v>
      </c>
      <c r="CC33" s="336">
        <v>0</v>
      </c>
      <c r="CD33" s="336">
        <v>0</v>
      </c>
      <c r="CE33" s="336">
        <v>0</v>
      </c>
      <c r="CF33" s="336">
        <v>0</v>
      </c>
      <c r="CG33" s="336">
        <v>0</v>
      </c>
      <c r="CH33" s="336">
        <v>0</v>
      </c>
      <c r="CI33" s="336">
        <v>0</v>
      </c>
      <c r="CJ33" s="336">
        <v>0</v>
      </c>
      <c r="CK33" s="336">
        <v>0</v>
      </c>
      <c r="CL33" s="336">
        <v>0</v>
      </c>
      <c r="CM33" s="336">
        <v>0</v>
      </c>
      <c r="CN33" s="336">
        <v>0</v>
      </c>
      <c r="CO33" s="336">
        <v>0</v>
      </c>
      <c r="CP33" s="336">
        <v>0</v>
      </c>
      <c r="CQ33" s="336">
        <v>0</v>
      </c>
      <c r="CR33" s="336">
        <v>0</v>
      </c>
      <c r="CS33" s="336">
        <v>0</v>
      </c>
      <c r="CT33" s="336">
        <v>0</v>
      </c>
      <c r="CU33" s="336">
        <v>0</v>
      </c>
      <c r="CV33" s="336">
        <v>0</v>
      </c>
      <c r="CW33" s="336">
        <v>0</v>
      </c>
      <c r="CX33" s="336">
        <v>0</v>
      </c>
      <c r="CY33" s="336">
        <v>0</v>
      </c>
      <c r="CZ33" s="336">
        <v>0</v>
      </c>
      <c r="DA33" s="336">
        <v>0</v>
      </c>
      <c r="DB33" s="336">
        <v>-212873</v>
      </c>
      <c r="DC33" s="336">
        <v>-1116861</v>
      </c>
      <c r="DD33" s="336">
        <v>0</v>
      </c>
      <c r="DE33" s="336">
        <v>0</v>
      </c>
      <c r="DF33" s="336">
        <v>0</v>
      </c>
      <c r="DG33" s="336">
        <v>0</v>
      </c>
      <c r="DH33" s="336">
        <v>0</v>
      </c>
      <c r="DI33" s="336">
        <v>0</v>
      </c>
      <c r="DJ33" s="336">
        <v>0</v>
      </c>
      <c r="DK33" s="336">
        <v>0</v>
      </c>
      <c r="DL33" s="336">
        <v>0</v>
      </c>
      <c r="DM33" s="336">
        <v>0</v>
      </c>
      <c r="DN33" s="336">
        <v>0</v>
      </c>
      <c r="DO33" s="336">
        <v>0</v>
      </c>
      <c r="DP33" s="336">
        <v>0</v>
      </c>
      <c r="DQ33" s="336">
        <v>0</v>
      </c>
      <c r="DR33" s="336">
        <v>0</v>
      </c>
      <c r="DS33" s="336">
        <v>0</v>
      </c>
      <c r="DT33" s="336">
        <v>-501955</v>
      </c>
      <c r="DU33" s="336">
        <v>-1997617</v>
      </c>
      <c r="DV33" s="336">
        <v>0</v>
      </c>
      <c r="DW33" s="336">
        <v>0</v>
      </c>
      <c r="DX33" s="336">
        <v>0</v>
      </c>
      <c r="DY33" s="336">
        <v>0</v>
      </c>
      <c r="DZ33" s="336">
        <v>0</v>
      </c>
      <c r="EA33" s="336">
        <v>0</v>
      </c>
      <c r="EB33" s="336">
        <v>0</v>
      </c>
      <c r="EC33" s="336">
        <v>0</v>
      </c>
      <c r="ED33" s="336">
        <v>-4500</v>
      </c>
      <c r="EE33" s="336">
        <v>0</v>
      </c>
      <c r="EF33" s="336">
        <v>0</v>
      </c>
      <c r="EG33" s="336">
        <v>0</v>
      </c>
      <c r="EH33" s="336">
        <v>0</v>
      </c>
      <c r="EI33" s="336">
        <v>0</v>
      </c>
      <c r="EJ33" s="336">
        <v>0</v>
      </c>
      <c r="EK33" s="336">
        <v>0</v>
      </c>
      <c r="EL33" s="336">
        <v>0</v>
      </c>
      <c r="EM33" s="336">
        <v>0</v>
      </c>
      <c r="EN33" s="336">
        <v>0</v>
      </c>
      <c r="EO33" s="336">
        <v>0</v>
      </c>
      <c r="EP33" s="336">
        <v>0</v>
      </c>
      <c r="EQ33" s="336">
        <v>0</v>
      </c>
      <c r="ER33" s="336">
        <v>0</v>
      </c>
      <c r="ES33" s="336">
        <v>0</v>
      </c>
      <c r="ET33" s="336">
        <v>0</v>
      </c>
      <c r="EU33" s="336">
        <v>0</v>
      </c>
      <c r="EV33" s="336">
        <v>0</v>
      </c>
      <c r="EW33" s="336">
        <v>0</v>
      </c>
      <c r="EX33" s="336">
        <v>0</v>
      </c>
      <c r="EY33" s="336">
        <v>0</v>
      </c>
      <c r="EZ33" s="336">
        <v>0</v>
      </c>
      <c r="FA33" s="336">
        <v>0</v>
      </c>
      <c r="FB33" s="336">
        <v>0</v>
      </c>
      <c r="FC33" s="336">
        <v>0</v>
      </c>
      <c r="FD33" s="336">
        <v>0</v>
      </c>
      <c r="FE33" s="336">
        <v>0</v>
      </c>
      <c r="FF33" s="336">
        <v>0</v>
      </c>
      <c r="FG33" s="336">
        <v>0</v>
      </c>
      <c r="FH33" s="336">
        <v>0</v>
      </c>
      <c r="FI33" s="336">
        <v>0</v>
      </c>
      <c r="FJ33" s="336">
        <v>0</v>
      </c>
      <c r="FK33" s="336">
        <v>0</v>
      </c>
      <c r="FL33" s="336">
        <v>0</v>
      </c>
      <c r="FM33" s="336">
        <v>100362</v>
      </c>
      <c r="FN33" s="336">
        <v>10228348</v>
      </c>
      <c r="FO33" s="336">
        <v>71250</v>
      </c>
      <c r="FP33" s="336">
        <v>0</v>
      </c>
      <c r="FQ33" s="336">
        <v>0</v>
      </c>
      <c r="FR33" s="336">
        <v>0</v>
      </c>
      <c r="FS33" s="336">
        <v>0</v>
      </c>
      <c r="FT33" s="336">
        <v>0</v>
      </c>
      <c r="FU33" s="336">
        <v>0</v>
      </c>
      <c r="FV33" s="336">
        <v>0</v>
      </c>
      <c r="FW33" s="336">
        <v>0</v>
      </c>
      <c r="FX33" s="336">
        <v>0</v>
      </c>
      <c r="FY33" s="336">
        <v>0</v>
      </c>
      <c r="FZ33" s="336">
        <v>0</v>
      </c>
      <c r="GA33" s="336">
        <v>0</v>
      </c>
      <c r="GB33" s="336">
        <v>0</v>
      </c>
      <c r="GC33" s="336">
        <v>0</v>
      </c>
      <c r="GD33" s="336">
        <v>0</v>
      </c>
      <c r="GE33" s="336">
        <v>0</v>
      </c>
      <c r="GF33" s="336">
        <v>0</v>
      </c>
      <c r="GG33" s="336">
        <v>0</v>
      </c>
      <c r="GH33" s="336">
        <v>0</v>
      </c>
      <c r="GI33" s="336">
        <v>0</v>
      </c>
      <c r="GJ33" s="336">
        <v>0</v>
      </c>
      <c r="GK33" s="336">
        <v>0</v>
      </c>
      <c r="GL33" s="336">
        <v>0</v>
      </c>
      <c r="GM33" s="336">
        <v>0</v>
      </c>
      <c r="GN33" s="336">
        <v>-5812</v>
      </c>
      <c r="GO33" s="336">
        <v>-547655</v>
      </c>
      <c r="GP33" s="336">
        <v>0</v>
      </c>
      <c r="GQ33" s="336">
        <v>0</v>
      </c>
      <c r="GR33" s="336">
        <v>0</v>
      </c>
      <c r="GS33" s="336">
        <v>0</v>
      </c>
      <c r="GT33" s="336">
        <v>0</v>
      </c>
      <c r="GU33" s="336">
        <v>0</v>
      </c>
      <c r="GV33" s="336">
        <v>0</v>
      </c>
      <c r="GW33" s="336">
        <v>0</v>
      </c>
      <c r="GX33" s="336">
        <v>-2464</v>
      </c>
      <c r="GY33" s="336">
        <v>0</v>
      </c>
      <c r="GZ33" s="336">
        <v>0</v>
      </c>
      <c r="HA33" s="336">
        <v>0</v>
      </c>
      <c r="HB33" s="336">
        <v>0</v>
      </c>
      <c r="HC33" s="336">
        <v>0</v>
      </c>
      <c r="HD33" s="336">
        <v>0</v>
      </c>
      <c r="HE33" s="336">
        <v>0</v>
      </c>
      <c r="HF33" s="336">
        <v>-12086</v>
      </c>
      <c r="HG33" s="336">
        <v>-1273948</v>
      </c>
      <c r="HH33" s="336">
        <v>-12706</v>
      </c>
      <c r="HI33" s="336">
        <v>0</v>
      </c>
      <c r="HJ33" s="336">
        <v>0</v>
      </c>
      <c r="HK33" s="336">
        <v>0</v>
      </c>
      <c r="HL33" s="336">
        <v>0</v>
      </c>
      <c r="HM33" s="336">
        <v>0</v>
      </c>
      <c r="HN33" s="336">
        <v>0</v>
      </c>
      <c r="HO33" s="336">
        <v>0</v>
      </c>
      <c r="HP33" s="336">
        <v>1286544</v>
      </c>
      <c r="HQ33" s="336">
        <v>0</v>
      </c>
      <c r="HR33" s="336">
        <v>9809210</v>
      </c>
      <c r="HS33" s="336">
        <v>0</v>
      </c>
      <c r="HT33" s="336">
        <v>0</v>
      </c>
      <c r="HU33" s="336">
        <v>0</v>
      </c>
      <c r="HV33" s="336">
        <v>0</v>
      </c>
      <c r="HW33" s="336">
        <v>0</v>
      </c>
      <c r="HX33" s="336">
        <v>0</v>
      </c>
      <c r="HY33" s="336">
        <v>0</v>
      </c>
      <c r="HZ33" s="336">
        <v>0</v>
      </c>
      <c r="IA33" s="336">
        <v>0</v>
      </c>
      <c r="IB33" s="336">
        <v>0</v>
      </c>
      <c r="IC33" s="336">
        <v>0</v>
      </c>
      <c r="ID33" s="336">
        <v>0</v>
      </c>
      <c r="IE33" s="336">
        <v>0</v>
      </c>
      <c r="IF33" s="336">
        <v>0</v>
      </c>
      <c r="IG33" s="336">
        <v>0</v>
      </c>
      <c r="IH33" s="336">
        <v>0</v>
      </c>
      <c r="II33" s="336">
        <v>0</v>
      </c>
      <c r="IJ33" s="336">
        <v>0</v>
      </c>
      <c r="IK33" s="336">
        <v>0</v>
      </c>
      <c r="IL33" s="336">
        <v>0</v>
      </c>
      <c r="IM33" s="336">
        <v>0</v>
      </c>
      <c r="IN33" s="336">
        <v>0</v>
      </c>
      <c r="IO33" s="336">
        <v>0</v>
      </c>
      <c r="IP33" s="336">
        <v>505470</v>
      </c>
      <c r="IQ33" s="336">
        <v>3713422</v>
      </c>
      <c r="IR33" s="336">
        <v>0</v>
      </c>
      <c r="IS33" s="336">
        <v>1600389</v>
      </c>
      <c r="IT33" s="336">
        <v>4374</v>
      </c>
      <c r="IU33" s="336">
        <v>2310</v>
      </c>
      <c r="IV33" s="336">
        <v>0</v>
      </c>
      <c r="IW33" s="336">
        <v>0</v>
      </c>
      <c r="IX33" s="336">
        <v>0</v>
      </c>
      <c r="IY33" s="336">
        <v>0</v>
      </c>
      <c r="IZ33" s="336">
        <v>0</v>
      </c>
      <c r="JA33" s="336">
        <v>0</v>
      </c>
      <c r="JB33" s="336">
        <v>0</v>
      </c>
      <c r="JC33" s="336">
        <v>0</v>
      </c>
      <c r="JD33" s="336">
        <v>0</v>
      </c>
      <c r="JE33" s="336">
        <v>0</v>
      </c>
      <c r="JF33" s="336">
        <v>0</v>
      </c>
      <c r="JG33" s="336">
        <v>0</v>
      </c>
      <c r="JH33" s="336">
        <v>0</v>
      </c>
      <c r="JI33" s="336">
        <v>1489822</v>
      </c>
      <c r="JJ33" s="336">
        <v>0</v>
      </c>
      <c r="JK33" s="336">
        <v>9539416</v>
      </c>
      <c r="JL33" s="336">
        <v>0</v>
      </c>
      <c r="JM33" s="336">
        <v>0</v>
      </c>
      <c r="JN33" s="336">
        <v>0</v>
      </c>
      <c r="JO33" s="336">
        <v>0</v>
      </c>
      <c r="JP33" s="336">
        <v>0</v>
      </c>
      <c r="JQ33" s="336">
        <v>0</v>
      </c>
      <c r="JR33" s="336">
        <v>3213523</v>
      </c>
      <c r="JS33" s="336">
        <v>0</v>
      </c>
      <c r="JT33" s="336">
        <v>375</v>
      </c>
      <c r="JU33" s="336">
        <v>0</v>
      </c>
      <c r="JV33" s="336">
        <v>0</v>
      </c>
      <c r="JW33" s="336">
        <v>0</v>
      </c>
      <c r="JX33" s="336">
        <v>0</v>
      </c>
      <c r="JY33" s="336">
        <v>0</v>
      </c>
      <c r="JZ33" s="336">
        <v>0</v>
      </c>
      <c r="KA33" s="336">
        <v>0</v>
      </c>
      <c r="KB33" s="336">
        <v>10355097</v>
      </c>
      <c r="KC33" s="336">
        <v>0</v>
      </c>
      <c r="KD33" s="336">
        <v>0</v>
      </c>
      <c r="KE33" s="336">
        <v>0</v>
      </c>
      <c r="KF33" s="336">
        <v>0</v>
      </c>
      <c r="KG33" s="336">
        <v>0</v>
      </c>
      <c r="KH33" s="336">
        <v>0</v>
      </c>
      <c r="KI33" s="336">
        <v>3</v>
      </c>
      <c r="KJ33" s="336">
        <v>600761</v>
      </c>
      <c r="KK33" s="336">
        <v>46927</v>
      </c>
      <c r="KL33" s="336">
        <v>2138</v>
      </c>
      <c r="KM33" s="336">
        <v>4204</v>
      </c>
      <c r="KN33" s="336">
        <v>0</v>
      </c>
      <c r="KO33" s="336">
        <v>0</v>
      </c>
      <c r="KP33" s="336">
        <v>0</v>
      </c>
      <c r="KQ33" s="336">
        <v>0</v>
      </c>
      <c r="KR33" s="336">
        <v>13477064</v>
      </c>
      <c r="KS33" s="336">
        <v>9934825</v>
      </c>
      <c r="KT33" s="336">
        <v>0</v>
      </c>
      <c r="KU33" s="336">
        <v>2508338</v>
      </c>
      <c r="KV33" s="336">
        <v>0</v>
      </c>
      <c r="KW33" s="336">
        <v>0</v>
      </c>
      <c r="KX33" s="336">
        <v>0</v>
      </c>
      <c r="KY33" s="336">
        <v>0</v>
      </c>
      <c r="KZ33" s="336">
        <v>0</v>
      </c>
      <c r="LA33" s="336">
        <v>712528</v>
      </c>
      <c r="LB33" s="336">
        <v>2750293</v>
      </c>
      <c r="LC33" s="336">
        <v>0</v>
      </c>
      <c r="LD33" s="336">
        <v>10777638</v>
      </c>
      <c r="LE33" s="336">
        <v>0</v>
      </c>
      <c r="LF33" s="336">
        <v>0</v>
      </c>
      <c r="LG33" s="336">
        <v>0</v>
      </c>
      <c r="LH33" s="336">
        <v>0</v>
      </c>
      <c r="LI33" s="336">
        <v>0</v>
      </c>
      <c r="LJ33" s="336">
        <v>0</v>
      </c>
      <c r="LK33" s="336">
        <v>1541115</v>
      </c>
      <c r="LL33" s="336">
        <v>0</v>
      </c>
      <c r="LM33" s="336">
        <v>6129</v>
      </c>
      <c r="LN33" s="336">
        <v>0</v>
      </c>
      <c r="LO33" s="336">
        <v>0</v>
      </c>
      <c r="LP33" s="336">
        <v>0</v>
      </c>
      <c r="LQ33" s="336">
        <v>0</v>
      </c>
      <c r="LR33" s="336">
        <v>0</v>
      </c>
      <c r="LS33" s="336">
        <v>0</v>
      </c>
      <c r="LT33" s="336">
        <v>0</v>
      </c>
      <c r="LU33" s="336">
        <v>0</v>
      </c>
      <c r="LV33" s="336">
        <v>0</v>
      </c>
      <c r="LW33" s="336">
        <v>0</v>
      </c>
      <c r="LX33" s="336">
        <v>0</v>
      </c>
      <c r="LY33" s="336">
        <v>0</v>
      </c>
      <c r="LZ33" s="336">
        <v>0</v>
      </c>
      <c r="MA33" s="336">
        <v>0</v>
      </c>
      <c r="MB33" s="336">
        <v>3439647</v>
      </c>
      <c r="MC33" s="336">
        <v>3769168</v>
      </c>
      <c r="MD33" s="336">
        <v>0</v>
      </c>
      <c r="ME33" s="336">
        <v>73732</v>
      </c>
      <c r="MF33" s="336">
        <v>0</v>
      </c>
      <c r="MG33" s="336">
        <v>0</v>
      </c>
      <c r="MH33" s="336">
        <v>0</v>
      </c>
      <c r="MI33" s="336">
        <v>0</v>
      </c>
      <c r="MJ33" s="336">
        <v>0</v>
      </c>
      <c r="MK33" s="336">
        <v>1176354</v>
      </c>
      <c r="ML33" s="336">
        <v>2437249</v>
      </c>
      <c r="MM33" s="336">
        <v>0</v>
      </c>
      <c r="MN33" s="336">
        <v>22144</v>
      </c>
      <c r="MO33" s="336">
        <v>1744</v>
      </c>
      <c r="MP33" s="336">
        <v>0</v>
      </c>
      <c r="MQ33" s="336">
        <v>0</v>
      </c>
      <c r="MR33" s="336">
        <v>0</v>
      </c>
      <c r="MS33" s="336">
        <v>0</v>
      </c>
      <c r="MT33" s="336">
        <v>3213957</v>
      </c>
      <c r="MU33" s="336">
        <v>4056105</v>
      </c>
      <c r="MV33" s="336">
        <v>0</v>
      </c>
      <c r="MW33" s="336">
        <v>282923</v>
      </c>
      <c r="MX33" s="336">
        <v>0</v>
      </c>
      <c r="MY33" s="336">
        <v>0</v>
      </c>
      <c r="MZ33" s="336">
        <v>0</v>
      </c>
      <c r="NA33" s="336">
        <v>0</v>
      </c>
      <c r="NB33" s="336">
        <v>0</v>
      </c>
      <c r="NC33" s="336">
        <v>582</v>
      </c>
      <c r="ND33" s="336">
        <v>7832950</v>
      </c>
      <c r="NE33" s="336">
        <v>0</v>
      </c>
      <c r="NF33" s="336">
        <v>44430</v>
      </c>
      <c r="NG33" s="336">
        <v>0</v>
      </c>
      <c r="NH33" s="336">
        <v>0</v>
      </c>
      <c r="NI33" s="336">
        <v>182855</v>
      </c>
      <c r="NJ33" s="336">
        <v>0</v>
      </c>
      <c r="NK33" s="336">
        <v>0</v>
      </c>
      <c r="NL33" s="336">
        <v>232562</v>
      </c>
      <c r="NM33" s="336">
        <v>434087</v>
      </c>
      <c r="NN33" s="336">
        <v>0</v>
      </c>
      <c r="NO33" s="336">
        <v>721010</v>
      </c>
      <c r="NP33" s="336">
        <v>0</v>
      </c>
      <c r="NQ33" s="336">
        <v>0</v>
      </c>
      <c r="NR33" s="336">
        <v>0</v>
      </c>
      <c r="NS33" s="336">
        <v>0</v>
      </c>
      <c r="NT33" s="336">
        <v>0</v>
      </c>
      <c r="NU33" s="336">
        <v>0</v>
      </c>
      <c r="NV33" s="336">
        <v>0</v>
      </c>
      <c r="NW33" s="336">
        <v>6998990</v>
      </c>
      <c r="NX33" s="336">
        <v>0</v>
      </c>
      <c r="NY33" s="336">
        <v>0</v>
      </c>
      <c r="NZ33" s="336">
        <v>0</v>
      </c>
      <c r="OA33" s="336">
        <v>0</v>
      </c>
      <c r="OB33" s="336">
        <v>0</v>
      </c>
      <c r="OC33" s="336">
        <v>0</v>
      </c>
      <c r="OD33" s="336">
        <v>439527</v>
      </c>
      <c r="OE33" s="336">
        <v>287077</v>
      </c>
      <c r="OF33" s="336">
        <v>0</v>
      </c>
      <c r="OG33" s="336">
        <v>123240</v>
      </c>
      <c r="OH33" s="336">
        <v>0</v>
      </c>
      <c r="OI33" s="336">
        <v>0</v>
      </c>
      <c r="OJ33" s="336">
        <v>0</v>
      </c>
      <c r="OK33" s="336">
        <v>0</v>
      </c>
      <c r="OL33" s="336">
        <v>0</v>
      </c>
      <c r="OM33" s="336">
        <v>15868</v>
      </c>
      <c r="ON33" s="336">
        <v>252719</v>
      </c>
      <c r="OO33" s="336">
        <v>0</v>
      </c>
      <c r="OP33" s="336">
        <v>0</v>
      </c>
      <c r="OQ33" s="336">
        <v>0</v>
      </c>
      <c r="OR33" s="336">
        <v>0</v>
      </c>
      <c r="OS33" s="336">
        <v>0</v>
      </c>
      <c r="OT33" s="336">
        <v>0</v>
      </c>
      <c r="OU33" s="336">
        <v>0</v>
      </c>
      <c r="OV33" s="336">
        <v>0</v>
      </c>
      <c r="OW33" s="336">
        <v>0</v>
      </c>
      <c r="OX33" s="336">
        <v>0</v>
      </c>
      <c r="OY33" s="336">
        <v>0</v>
      </c>
      <c r="OZ33" s="336">
        <v>0</v>
      </c>
      <c r="PA33" s="336">
        <v>0</v>
      </c>
      <c r="PB33" s="336">
        <v>23599172</v>
      </c>
      <c r="PC33" s="336">
        <v>0</v>
      </c>
      <c r="PD33" s="336">
        <v>0</v>
      </c>
      <c r="PE33" s="336">
        <v>-649727</v>
      </c>
      <c r="PF33" s="336">
        <v>-1291381</v>
      </c>
      <c r="PG33" s="336">
        <v>1615368</v>
      </c>
      <c r="PH33" s="336">
        <v>-1293852</v>
      </c>
      <c r="PI33" s="336">
        <v>0</v>
      </c>
      <c r="PJ33" s="336">
        <v>-9311</v>
      </c>
      <c r="PK33" s="336">
        <v>0</v>
      </c>
      <c r="PL33" s="336">
        <v>0</v>
      </c>
      <c r="PM33" s="336">
        <v>0</v>
      </c>
      <c r="PN33" s="336">
        <v>0</v>
      </c>
      <c r="PO33" s="336">
        <v>0</v>
      </c>
      <c r="PP33" s="336">
        <v>0</v>
      </c>
      <c r="PQ33" s="336">
        <v>0</v>
      </c>
      <c r="PR33" s="336">
        <v>0</v>
      </c>
      <c r="PS33" s="336">
        <v>0</v>
      </c>
      <c r="PT33" s="336">
        <v>0</v>
      </c>
      <c r="PU33" s="336">
        <v>0</v>
      </c>
      <c r="PV33" s="336">
        <v>0</v>
      </c>
      <c r="PW33" s="336">
        <v>-10454710</v>
      </c>
      <c r="PX33" s="336">
        <v>-1988426</v>
      </c>
      <c r="PY33" s="336">
        <v>-3507663</v>
      </c>
      <c r="PZ33" s="336">
        <v>0</v>
      </c>
      <c r="QA33" s="336">
        <v>0</v>
      </c>
      <c r="QB33" s="336">
        <v>0</v>
      </c>
      <c r="QC33" s="336">
        <v>0</v>
      </c>
      <c r="QD33" s="336">
        <v>0</v>
      </c>
      <c r="QE33" s="336">
        <v>0</v>
      </c>
      <c r="QF33" s="336">
        <v>0</v>
      </c>
      <c r="QG33" s="336">
        <v>8619242</v>
      </c>
      <c r="QH33" s="336">
        <v>0</v>
      </c>
      <c r="QI33" s="336">
        <v>0</v>
      </c>
      <c r="QJ33" s="336">
        <v>0</v>
      </c>
      <c r="QK33" s="336">
        <v>342521</v>
      </c>
      <c r="QL33" s="336">
        <v>0</v>
      </c>
      <c r="QM33" s="336">
        <v>0</v>
      </c>
      <c r="QN33" s="336">
        <v>0</v>
      </c>
      <c r="QO33" s="336">
        <v>0</v>
      </c>
      <c r="QP33" s="336">
        <v>0</v>
      </c>
      <c r="QQ33" s="336">
        <v>0</v>
      </c>
      <c r="QR33" s="336">
        <v>0</v>
      </c>
      <c r="QS33" s="336">
        <v>0</v>
      </c>
      <c r="QT33" s="336">
        <v>2400</v>
      </c>
      <c r="QU33" s="336">
        <v>0</v>
      </c>
      <c r="QV33" s="336">
        <v>0</v>
      </c>
      <c r="QW33" s="336">
        <v>0</v>
      </c>
      <c r="QX33" s="336">
        <v>0</v>
      </c>
      <c r="QY33" s="336">
        <v>0</v>
      </c>
      <c r="QZ33" s="336">
        <v>0</v>
      </c>
      <c r="RA33" s="336">
        <v>0</v>
      </c>
      <c r="RB33" s="336">
        <v>0</v>
      </c>
      <c r="RC33" s="336">
        <v>0</v>
      </c>
      <c r="RD33" s="336">
        <v>0</v>
      </c>
      <c r="RE33" s="336">
        <v>0</v>
      </c>
      <c r="RF33" s="336">
        <v>0</v>
      </c>
      <c r="RG33" s="336">
        <v>0</v>
      </c>
      <c r="RH33" s="336">
        <v>0</v>
      </c>
      <c r="RI33" s="336">
        <v>0</v>
      </c>
      <c r="RJ33" s="336">
        <v>0</v>
      </c>
      <c r="RK33" s="336">
        <v>0</v>
      </c>
      <c r="RL33" s="336">
        <v>0</v>
      </c>
      <c r="RM33" s="336">
        <v>0</v>
      </c>
      <c r="RN33" s="336">
        <v>0</v>
      </c>
      <c r="RO33" s="336">
        <v>-12711208</v>
      </c>
      <c r="RP33" s="336">
        <v>0</v>
      </c>
      <c r="RQ33" s="336">
        <v>0</v>
      </c>
      <c r="RR33" s="336">
        <v>0</v>
      </c>
      <c r="RS33" s="336">
        <v>0</v>
      </c>
      <c r="RT33" s="336">
        <v>0</v>
      </c>
      <c r="RU33" s="336">
        <v>0</v>
      </c>
      <c r="RV33" s="336">
        <v>0</v>
      </c>
      <c r="RW33" s="336">
        <v>0</v>
      </c>
      <c r="RX33" s="336">
        <v>0</v>
      </c>
      <c r="RY33" s="336">
        <v>0</v>
      </c>
      <c r="RZ33" s="336">
        <v>0</v>
      </c>
      <c r="SA33" s="336">
        <v>0</v>
      </c>
      <c r="SB33" s="336">
        <v>0</v>
      </c>
      <c r="SC33" s="336">
        <v>0</v>
      </c>
      <c r="SD33" s="336">
        <v>0</v>
      </c>
      <c r="SE33" s="336">
        <v>0</v>
      </c>
      <c r="SF33" s="336">
        <v>0</v>
      </c>
      <c r="SG33" s="336">
        <v>0</v>
      </c>
      <c r="SH33" s="336">
        <v>0</v>
      </c>
      <c r="SI33" s="336">
        <v>0</v>
      </c>
      <c r="SJ33" s="336">
        <v>0</v>
      </c>
      <c r="SK33" s="336">
        <v>0</v>
      </c>
      <c r="SL33" s="336">
        <v>0</v>
      </c>
      <c r="SM33" s="336">
        <v>0</v>
      </c>
      <c r="SN33" s="336">
        <v>0</v>
      </c>
      <c r="SO33" s="336">
        <v>0</v>
      </c>
      <c r="SP33" s="336">
        <v>0</v>
      </c>
      <c r="SQ33" s="336">
        <v>439527</v>
      </c>
      <c r="SR33" s="336">
        <v>287077</v>
      </c>
      <c r="SS33" s="336">
        <v>0</v>
      </c>
      <c r="ST33" s="336">
        <v>123240</v>
      </c>
      <c r="SU33" s="336">
        <v>0</v>
      </c>
      <c r="SV33" s="336">
        <v>0</v>
      </c>
      <c r="SW33" s="336">
        <v>-23599172</v>
      </c>
      <c r="SX33" s="336">
        <v>0</v>
      </c>
      <c r="SY33" s="336">
        <v>0</v>
      </c>
      <c r="SZ33" s="336" t="s">
        <v>1420</v>
      </c>
      <c r="TA33" s="336" t="s">
        <v>1420</v>
      </c>
      <c r="TB33" s="336" t="s">
        <v>1420</v>
      </c>
      <c r="TC33" s="336">
        <v>27604</v>
      </c>
      <c r="TD33" s="336">
        <v>696669</v>
      </c>
      <c r="TE33" s="336">
        <v>-1179</v>
      </c>
      <c r="TF33" s="336">
        <v>0</v>
      </c>
      <c r="TG33" s="336">
        <v>83757</v>
      </c>
      <c r="TH33" s="336">
        <v>5806</v>
      </c>
      <c r="TI33" s="336">
        <v>9107</v>
      </c>
      <c r="TJ33" s="336">
        <v>28080</v>
      </c>
      <c r="TK33" s="336">
        <v>0</v>
      </c>
      <c r="TL33" s="336">
        <v>0</v>
      </c>
      <c r="TM33" s="336">
        <v>0</v>
      </c>
      <c r="TN33" s="336">
        <v>0</v>
      </c>
      <c r="TO33" s="336">
        <v>137889</v>
      </c>
      <c r="TP33" s="336">
        <v>0</v>
      </c>
      <c r="TQ33" s="336">
        <v>0</v>
      </c>
      <c r="TR33" s="336">
        <v>0</v>
      </c>
      <c r="TS33" s="336">
        <v>0</v>
      </c>
      <c r="TT33" s="336">
        <v>0</v>
      </c>
      <c r="TU33" s="336">
        <v>0</v>
      </c>
      <c r="TV33" s="336">
        <v>0</v>
      </c>
      <c r="TW33" s="336">
        <v>0</v>
      </c>
      <c r="TX33" s="336">
        <v>0</v>
      </c>
      <c r="TY33" s="336">
        <v>0</v>
      </c>
      <c r="TZ33" s="336">
        <v>0</v>
      </c>
      <c r="UA33" s="336">
        <v>0</v>
      </c>
      <c r="UB33" s="336">
        <v>0</v>
      </c>
      <c r="UC33" s="336">
        <v>0</v>
      </c>
      <c r="UD33" s="336">
        <v>0</v>
      </c>
      <c r="UE33" s="336">
        <v>0</v>
      </c>
      <c r="UF33" s="336">
        <v>0</v>
      </c>
      <c r="UG33" s="336">
        <v>0</v>
      </c>
      <c r="UH33" s="336">
        <v>25920227</v>
      </c>
      <c r="UI33" s="336">
        <v>14240459</v>
      </c>
      <c r="UJ33" s="336">
        <v>1547244</v>
      </c>
      <c r="UK33" s="336">
        <v>0</v>
      </c>
      <c r="UL33" s="336">
        <v>7282547</v>
      </c>
      <c r="UM33" s="336">
        <v>3637491</v>
      </c>
      <c r="UN33" s="336">
        <v>7552985</v>
      </c>
      <c r="UO33" s="336">
        <v>8060817</v>
      </c>
      <c r="UP33" s="336">
        <v>1387659</v>
      </c>
      <c r="UQ33" s="336">
        <v>6998990</v>
      </c>
      <c r="UR33"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849844</v>
      </c>
      <c r="US33" s="338">
        <f>SUM(Input[[#This Row],[Oth Exp E&amp;G]],Input[[#This Row],[Oth Exp Desg]],Input[[#This Row],[Oth Exp Aux]],Input[[#This Row],[Oth Exp R Exp]],Input[[#This Row],[Oth Exp Loan]],Input[[#This Row],[Oth Exp Annuity]],Input[[#This Row],[Oth Exp Unexp]],Input[[#This Row],[Oth Exp R of Ind]],Input[[#This Row],[Oth Exp Inv in P]])</f>
        <v>268587</v>
      </c>
      <c r="UT33" s="336">
        <v>27859168</v>
      </c>
      <c r="UU33" s="336">
        <v>8961763</v>
      </c>
      <c r="UV33" s="339" t="s">
        <v>1432</v>
      </c>
      <c r="UW33" s="340">
        <v>9798459761</v>
      </c>
      <c r="UX33" s="339" t="s">
        <v>1433</v>
      </c>
      <c r="UY33" s="339" t="s">
        <v>1436</v>
      </c>
      <c r="UZ33" s="340"/>
      <c r="VA33" s="339"/>
      <c r="VB33" s="341" cm="1">
        <f t="array" ref="VB33">IFERROR(_xlfn.IFS(Input[[#This Row],[Type]]="HRI",VLOOKUP(Input[[#This Row],[Institution Name]],FTSEHRI[],9,FALSE),Input[[#This Row],[Type]]="UNIV",VLOOKUP(Input[[#This Row],[Institution Name]],FTSEUNIV[],9,FALSE),OR(Input[[#This Row],[Type]]="TSTC",Input[[#This Row],[Type]]="LSC"),VLOOKUP(Input[[#This Row],[Institution Name]],FTSETSTC[],8,FALSE)),"N/A")</f>
        <v>1871.76</v>
      </c>
      <c r="VC33" s="342" t="str" cm="1">
        <f t="array" ref="VC33">IFERROR(_xlfn.IFS(Input[[#This Row],[Type]]="HRI",VLOOKUP(Input[[#This Row],[Institution Name]],FTSEHRI[],11,FALSE),Input[[#This Row],[Type]]="UNIV",VLOOKUP(Input[[#This Row],[Institution Name]],FTSEUNIV[],11,FALSE),Input[[#This Row],[Type]]="TSTC",VLOOKUP(Input[[#This Row],[Institution Name]],FTSETSTC[],10,FALSE)),"N/A")</f>
        <v>N/A</v>
      </c>
      <c r="VD33"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31223993</v>
      </c>
      <c r="VE33"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33" s="338">
        <f>SUM(Input[[#This Row],[Fed G&amp;C E&amp;G]],Input[[#This Row],[Fed G&amp;C Desg]],Input[[#This Row],[Fed G&amp;C R Exp]],Input[[#This Row],[Fed G&amp;C Loan]],Input[[#This Row],[Fed G&amp;C Annuity]],Input[[#This Row],[Fed G&amp;C Unexp]],Input[[#This Row],[Fed G&amp;C R of Ind]],Input[[#This Row],[Fed G&amp;C Inv in P]])</f>
        <v>11095754</v>
      </c>
      <c r="VG33"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20676207</v>
      </c>
      <c r="VH33"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17643281</v>
      </c>
      <c r="VI33"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8486745</v>
      </c>
      <c r="VJ33" s="338">
        <f>SUM(Input[[#This Row],[Oth Inc E&amp;G]],Input[[#This Row],[Oth Exp Desg]],Input[[#This Row],[Oth Exp R Exp]],Input[[#This Row],[Oth Exp Loan]],Input[[#This Row],[Oth Exp Annuity]],Input[[#This Row],[Oth Exp Unexp]],Input[[#This Row],[Oth Exp R of Ind]],Input[[#This Row],[Oth Exp Inv in P]])</f>
        <v>252722</v>
      </c>
      <c r="VK33" s="343">
        <f>SUM(Input[[#This Row],[Instr E&amp;G]],Input[[#This Row],[Instr Desg]],Input[[#This Row],[Instr R Exp]],Input[[#This Row],[Instr Loan]],Input[[#This Row],[Instr Annuity]],Input[[#This Row],[Instr Unexp]],Input[[#This Row],[Instr R of Ind]],Input[[#This Row],[Instr Inv in P]])</f>
        <v>25920227</v>
      </c>
      <c r="VL33" s="343">
        <f>SUM(Input[[#This Row],[Res E&amp;G]],Input[[#This Row],[Res Desg]],Input[[#This Row],[Res R Exp]],Input[[#This Row],[Res Loan]],Input[[#This Row],[Res Annuity]],Input[[#This Row],[Res Unexp]],Input[[#This Row],[Res R of Ind]],Input[[#This Row],[Res Inv in P]])</f>
        <v>14240459</v>
      </c>
      <c r="VM33" s="343">
        <f>SUM(Input[[#This Row],[Acad Sup E&amp;G]],Input[[#This Row],[Acad Sup Desg]],Input[[#This Row],[Acad Sup R Exp]],Input[[#This Row],[Acad Sup Loan]],Input[[#This Row],[Acad Sup Annuity]],Input[[#This Row],[Acad Sup Unexp]],Input[[#This Row],[Acad Sup R of Ind]],Input[[#This Row],[Acad Sup Inv in P]])</f>
        <v>7282547</v>
      </c>
      <c r="VN33" s="343">
        <f>SUM(Input[[#This Row],[Stu Svc E&amp;G]],Input[[#This Row],[Stu Svc Desg]],Input[[#This Row],[Stu Svc R Exp]],Input[[#This Row],[Stu Svc Loan]],Input[[#This Row],[Stu Svc Annuity]],Input[[#This Row],[Stu Svc Unexp]],Input[[#This Row],[Stu Svc R of Ind]],Input[[#This Row],[Stu Svc Inv in P]])</f>
        <v>3637491</v>
      </c>
      <c r="VO33" s="343">
        <f>SUM(Input[[#This Row],[Inst. Spt E&amp;G]],Input[[#This Row],[Inst. Spt Desg]],Input[[#This Row],[Inst. Spt R Exp]],Input[[#This Row],[Inst. Spt Loan]],Input[[#This Row],[Inst. Spt Annuity]],Input[[#This Row],[Inst. Spt Unexp]],Input[[#This Row],[Inst. Spt R of Ind]],Input[[#This Row],[Inst. Spt Inv in P]])</f>
        <v>7552985</v>
      </c>
      <c r="VP33" s="343">
        <f>SUM(Input[[#This Row],[M&amp;O Plnt E&amp;G]],Input[[#This Row],[M&amp;O Plnt Desg]],Input[[#This Row],[M&amp;O Plnt R Exp]],Input[[#This Row],[M&amp;O Plnt Loan]],Input[[#This Row],[M&amp;O Plnt Annuity]],Input[[#This Row],[M&amp;O Plnt Unexp]],Input[[#This Row],[M&amp;O Plnt R of Ind]],Input[[#This Row],[M&amp;O Plnt Inv in P]])</f>
        <v>8060817</v>
      </c>
      <c r="VQ33" s="343">
        <f>SUM(Input[[#This Row],[Schl &amp; Fell E&amp;G]],Input[[#This Row],[Schl &amp; Fell Desg]],Input[[#This Row],[Schl &amp; Fell R Exp]],Input[[#This Row],[Schl &amp; Fell Loan]],Input[[#This Row],[Schl &amp; Fell Annuity]],Input[[#This Row],[Schl &amp; Fell Unexp]],Input[[#This Row],[Schl &amp; Fell R of Ind]],Input[[#This Row],[Schl &amp; Fell Inv in P]])</f>
        <v>1387659</v>
      </c>
      <c r="VR33" s="343">
        <f>SUM(Input[[#This Row],[Cap Out fund E&amp;G]],Input[[#This Row],[Cap Out fund Desg]],Input[[#This Row],[Cap Out fund R Exp]],Input[[#This Row],[Cap Out fund Loan]],Input[[#This Row],[Cap Out fund Annuity]],Input[[#This Row],[Cap Out fund Unexp]],Input[[#This Row],[Cap Out fund R of Ind]],Input[[#This Row],[Cap Out fund Inv in P]])</f>
        <v>849844</v>
      </c>
      <c r="VS33" s="343">
        <f>SUM(Input[[#This Row],[Oth Exp E&amp;G]],Input[[#This Row],[Oth Exp Desg]],Input[[#This Row],[Oth Exp R Exp]],Input[[#This Row],[Oth Exp Loan]],Input[[#This Row],[Oth Exp Annuity]],Input[[#This Row],[Oth Exp Unexp]],Input[[#This Row],[Oth Exp R of Ind]],Input[[#This Row],[Oth Exp Inv in P]],Input[[#This Row],[Oth Exp Inv in P]])</f>
        <v>268587</v>
      </c>
    </row>
    <row r="34" spans="1:591" s="344" customFormat="1" ht="27" customHeight="1" x14ac:dyDescent="0.55000000000000004">
      <c r="A34" s="339" t="s">
        <v>711</v>
      </c>
      <c r="B34" s="334" t="s">
        <v>830</v>
      </c>
      <c r="C34" s="334" t="s">
        <v>1624</v>
      </c>
      <c r="D34" s="334" t="s">
        <v>712</v>
      </c>
      <c r="E34" s="334" t="s">
        <v>1622</v>
      </c>
      <c r="F34" s="335">
        <v>3629</v>
      </c>
      <c r="G34" s="336">
        <v>180761721</v>
      </c>
      <c r="H34" s="336">
        <v>0</v>
      </c>
      <c r="I34" s="336">
        <v>0</v>
      </c>
      <c r="J34" s="336">
        <v>0</v>
      </c>
      <c r="K34" s="336">
        <v>0</v>
      </c>
      <c r="L34" s="336">
        <v>0</v>
      </c>
      <c r="M34" s="336">
        <v>0</v>
      </c>
      <c r="N34" s="336">
        <v>0</v>
      </c>
      <c r="O34" s="336">
        <v>0</v>
      </c>
      <c r="P34" s="336">
        <v>0</v>
      </c>
      <c r="Q34" s="336">
        <v>0</v>
      </c>
      <c r="R34" s="336">
        <v>0</v>
      </c>
      <c r="S34" s="336">
        <v>100000</v>
      </c>
      <c r="T34" s="336">
        <v>0</v>
      </c>
      <c r="U34" s="336">
        <v>0</v>
      </c>
      <c r="V34" s="336">
        <v>0</v>
      </c>
      <c r="W34" s="336">
        <v>0</v>
      </c>
      <c r="X34" s="336">
        <v>0</v>
      </c>
      <c r="Y34" s="336">
        <v>0</v>
      </c>
      <c r="Z34" s="336">
        <v>0</v>
      </c>
      <c r="AA34" s="336">
        <v>0</v>
      </c>
      <c r="AB34" s="336">
        <v>0</v>
      </c>
      <c r="AC34" s="336">
        <v>0</v>
      </c>
      <c r="AD34" s="336">
        <v>0</v>
      </c>
      <c r="AE34" s="336">
        <v>0</v>
      </c>
      <c r="AF34" s="336">
        <v>0</v>
      </c>
      <c r="AG34" s="336">
        <v>0</v>
      </c>
      <c r="AH34" s="336">
        <v>0</v>
      </c>
      <c r="AI34" s="336">
        <v>659626741</v>
      </c>
      <c r="AJ34" s="336">
        <v>0</v>
      </c>
      <c r="AK34" s="336">
        <v>0</v>
      </c>
      <c r="AL34" s="336">
        <v>0</v>
      </c>
      <c r="AM34" s="336">
        <v>0</v>
      </c>
      <c r="AN34" s="336">
        <v>0</v>
      </c>
      <c r="AO34" s="336">
        <v>0</v>
      </c>
      <c r="AP34" s="336">
        <v>0</v>
      </c>
      <c r="AQ34" s="336">
        <v>0</v>
      </c>
      <c r="AR34" s="336">
        <v>0</v>
      </c>
      <c r="AS34" s="336">
        <v>0</v>
      </c>
      <c r="AT34" s="336">
        <v>0</v>
      </c>
      <c r="AU34" s="336">
        <v>0</v>
      </c>
      <c r="AV34" s="336">
        <v>0</v>
      </c>
      <c r="AW34" s="336">
        <v>0</v>
      </c>
      <c r="AX34" s="336">
        <v>0</v>
      </c>
      <c r="AY34" s="336">
        <v>0</v>
      </c>
      <c r="AZ34" s="336">
        <v>0</v>
      </c>
      <c r="BA34" s="336">
        <v>0</v>
      </c>
      <c r="BB34" s="336">
        <v>0</v>
      </c>
      <c r="BC34" s="336">
        <v>0</v>
      </c>
      <c r="BD34" s="336">
        <v>0</v>
      </c>
      <c r="BE34" s="336">
        <v>0</v>
      </c>
      <c r="BF34" s="336">
        <v>0</v>
      </c>
      <c r="BG34" s="336">
        <v>0</v>
      </c>
      <c r="BH34" s="336">
        <v>0</v>
      </c>
      <c r="BI34" s="336">
        <v>0</v>
      </c>
      <c r="BJ34" s="336">
        <v>0</v>
      </c>
      <c r="BK34" s="336">
        <v>0</v>
      </c>
      <c r="BL34" s="336">
        <v>0</v>
      </c>
      <c r="BM34" s="336">
        <v>0</v>
      </c>
      <c r="BN34" s="336">
        <v>0</v>
      </c>
      <c r="BO34" s="336">
        <v>0</v>
      </c>
      <c r="BP34" s="336">
        <v>0</v>
      </c>
      <c r="BQ34" s="336">
        <v>0</v>
      </c>
      <c r="BR34" s="336">
        <v>0</v>
      </c>
      <c r="BS34" s="336">
        <v>0</v>
      </c>
      <c r="BT34" s="336">
        <v>0</v>
      </c>
      <c r="BU34" s="336">
        <v>0</v>
      </c>
      <c r="BV34" s="336">
        <v>0</v>
      </c>
      <c r="BW34" s="336">
        <v>0</v>
      </c>
      <c r="BX34" s="336">
        <v>0</v>
      </c>
      <c r="BY34" s="336">
        <v>0</v>
      </c>
      <c r="BZ34" s="336">
        <v>0</v>
      </c>
      <c r="CA34" s="336">
        <v>0</v>
      </c>
      <c r="CB34" s="336">
        <v>0</v>
      </c>
      <c r="CC34" s="336">
        <v>0</v>
      </c>
      <c r="CD34" s="336">
        <v>0</v>
      </c>
      <c r="CE34" s="336">
        <v>0</v>
      </c>
      <c r="CF34" s="336">
        <v>0</v>
      </c>
      <c r="CG34" s="336">
        <v>0</v>
      </c>
      <c r="CH34" s="336">
        <v>0</v>
      </c>
      <c r="CI34" s="336">
        <v>0</v>
      </c>
      <c r="CJ34" s="336">
        <v>0</v>
      </c>
      <c r="CK34" s="336">
        <v>0</v>
      </c>
      <c r="CL34" s="336">
        <v>0</v>
      </c>
      <c r="CM34" s="336">
        <v>0</v>
      </c>
      <c r="CN34" s="336">
        <v>0</v>
      </c>
      <c r="CO34" s="336">
        <v>0</v>
      </c>
      <c r="CP34" s="336">
        <v>0</v>
      </c>
      <c r="CQ34" s="336">
        <v>0</v>
      </c>
      <c r="CR34" s="336">
        <v>0</v>
      </c>
      <c r="CS34" s="336">
        <v>0</v>
      </c>
      <c r="CT34" s="336">
        <v>0</v>
      </c>
      <c r="CU34" s="336">
        <v>0</v>
      </c>
      <c r="CV34" s="336">
        <v>0</v>
      </c>
      <c r="CW34" s="336">
        <v>0</v>
      </c>
      <c r="CX34" s="336">
        <v>0</v>
      </c>
      <c r="CY34" s="336">
        <v>0</v>
      </c>
      <c r="CZ34" s="336">
        <v>0</v>
      </c>
      <c r="DA34" s="336">
        <v>0</v>
      </c>
      <c r="DB34" s="336">
        <v>0</v>
      </c>
      <c r="DC34" s="336">
        <v>0</v>
      </c>
      <c r="DD34" s="336">
        <v>0</v>
      </c>
      <c r="DE34" s="336">
        <v>0</v>
      </c>
      <c r="DF34" s="336">
        <v>0</v>
      </c>
      <c r="DG34" s="336">
        <v>0</v>
      </c>
      <c r="DH34" s="336">
        <v>0</v>
      </c>
      <c r="DI34" s="336">
        <v>0</v>
      </c>
      <c r="DJ34" s="336">
        <v>0</v>
      </c>
      <c r="DK34" s="336">
        <v>0</v>
      </c>
      <c r="DL34" s="336">
        <v>0</v>
      </c>
      <c r="DM34" s="336">
        <v>0</v>
      </c>
      <c r="DN34" s="336">
        <v>0</v>
      </c>
      <c r="DO34" s="336">
        <v>0</v>
      </c>
      <c r="DP34" s="336">
        <v>0</v>
      </c>
      <c r="DQ34" s="336">
        <v>0</v>
      </c>
      <c r="DR34" s="336">
        <v>0</v>
      </c>
      <c r="DS34" s="336">
        <v>0</v>
      </c>
      <c r="DT34" s="336">
        <v>0</v>
      </c>
      <c r="DU34" s="336">
        <v>0</v>
      </c>
      <c r="DV34" s="336">
        <v>0</v>
      </c>
      <c r="DW34" s="336">
        <v>0</v>
      </c>
      <c r="DX34" s="336">
        <v>0</v>
      </c>
      <c r="DY34" s="336">
        <v>0</v>
      </c>
      <c r="DZ34" s="336">
        <v>0</v>
      </c>
      <c r="EA34" s="336">
        <v>0</v>
      </c>
      <c r="EB34" s="336">
        <v>0</v>
      </c>
      <c r="EC34" s="336">
        <v>0</v>
      </c>
      <c r="ED34" s="336">
        <v>0</v>
      </c>
      <c r="EE34" s="336">
        <v>0</v>
      </c>
      <c r="EF34" s="336">
        <v>0</v>
      </c>
      <c r="EG34" s="336">
        <v>0</v>
      </c>
      <c r="EH34" s="336">
        <v>0</v>
      </c>
      <c r="EI34" s="336">
        <v>0</v>
      </c>
      <c r="EJ34" s="336">
        <v>0</v>
      </c>
      <c r="EK34" s="336">
        <v>0</v>
      </c>
      <c r="EL34" s="336">
        <v>0</v>
      </c>
      <c r="EM34" s="336">
        <v>0</v>
      </c>
      <c r="EN34" s="336">
        <v>0</v>
      </c>
      <c r="EO34" s="336">
        <v>0</v>
      </c>
      <c r="EP34" s="336">
        <v>0</v>
      </c>
      <c r="EQ34" s="336">
        <v>0</v>
      </c>
      <c r="ER34" s="336">
        <v>0</v>
      </c>
      <c r="ES34" s="336">
        <v>0</v>
      </c>
      <c r="ET34" s="336">
        <v>0</v>
      </c>
      <c r="EU34" s="336">
        <v>0</v>
      </c>
      <c r="EV34" s="336">
        <v>0</v>
      </c>
      <c r="EW34" s="336">
        <v>0</v>
      </c>
      <c r="EX34" s="336">
        <v>0</v>
      </c>
      <c r="EY34" s="336">
        <v>0</v>
      </c>
      <c r="EZ34" s="336">
        <v>0</v>
      </c>
      <c r="FA34" s="336">
        <v>0</v>
      </c>
      <c r="FB34" s="336">
        <v>0</v>
      </c>
      <c r="FC34" s="336">
        <v>0</v>
      </c>
      <c r="FD34" s="336">
        <v>0</v>
      </c>
      <c r="FE34" s="336">
        <v>0</v>
      </c>
      <c r="FF34" s="336">
        <v>0</v>
      </c>
      <c r="FG34" s="336">
        <v>0</v>
      </c>
      <c r="FH34" s="336">
        <v>0</v>
      </c>
      <c r="FI34" s="336">
        <v>0</v>
      </c>
      <c r="FJ34" s="336">
        <v>0</v>
      </c>
      <c r="FK34" s="336">
        <v>0</v>
      </c>
      <c r="FL34" s="336">
        <v>0</v>
      </c>
      <c r="FM34" s="336">
        <v>0</v>
      </c>
      <c r="FN34" s="336">
        <v>0</v>
      </c>
      <c r="FO34" s="336">
        <v>0</v>
      </c>
      <c r="FP34" s="336">
        <v>0</v>
      </c>
      <c r="FQ34" s="336">
        <v>0</v>
      </c>
      <c r="FR34" s="336">
        <v>0</v>
      </c>
      <c r="FS34" s="336">
        <v>0</v>
      </c>
      <c r="FT34" s="336">
        <v>0</v>
      </c>
      <c r="FU34" s="336">
        <v>0</v>
      </c>
      <c r="FV34" s="336">
        <v>0</v>
      </c>
      <c r="FW34" s="336">
        <v>0</v>
      </c>
      <c r="FX34" s="336">
        <v>0</v>
      </c>
      <c r="FY34" s="336">
        <v>0</v>
      </c>
      <c r="FZ34" s="336">
        <v>0</v>
      </c>
      <c r="GA34" s="336">
        <v>0</v>
      </c>
      <c r="GB34" s="336">
        <v>0</v>
      </c>
      <c r="GC34" s="336">
        <v>0</v>
      </c>
      <c r="GD34" s="336">
        <v>0</v>
      </c>
      <c r="GE34" s="336">
        <v>0</v>
      </c>
      <c r="GF34" s="336">
        <v>0</v>
      </c>
      <c r="GG34" s="336">
        <v>0</v>
      </c>
      <c r="GH34" s="336">
        <v>0</v>
      </c>
      <c r="GI34" s="336">
        <v>0</v>
      </c>
      <c r="GJ34" s="336">
        <v>0</v>
      </c>
      <c r="GK34" s="336">
        <v>0</v>
      </c>
      <c r="GL34" s="336">
        <v>0</v>
      </c>
      <c r="GM34" s="336">
        <v>0</v>
      </c>
      <c r="GN34" s="336">
        <v>0</v>
      </c>
      <c r="GO34" s="336">
        <v>0</v>
      </c>
      <c r="GP34" s="336">
        <v>0</v>
      </c>
      <c r="GQ34" s="336">
        <v>0</v>
      </c>
      <c r="GR34" s="336">
        <v>0</v>
      </c>
      <c r="GS34" s="336">
        <v>0</v>
      </c>
      <c r="GT34" s="336">
        <v>0</v>
      </c>
      <c r="GU34" s="336">
        <v>0</v>
      </c>
      <c r="GV34" s="336">
        <v>0</v>
      </c>
      <c r="GW34" s="336">
        <v>0</v>
      </c>
      <c r="GX34" s="336">
        <v>0</v>
      </c>
      <c r="GY34" s="336">
        <v>0</v>
      </c>
      <c r="GZ34" s="336">
        <v>0</v>
      </c>
      <c r="HA34" s="336">
        <v>0</v>
      </c>
      <c r="HB34" s="336">
        <v>0</v>
      </c>
      <c r="HC34" s="336">
        <v>0</v>
      </c>
      <c r="HD34" s="336">
        <v>0</v>
      </c>
      <c r="HE34" s="336">
        <v>0</v>
      </c>
      <c r="HF34" s="336">
        <v>0</v>
      </c>
      <c r="HG34" s="336">
        <v>0</v>
      </c>
      <c r="HH34" s="336">
        <v>0</v>
      </c>
      <c r="HI34" s="336">
        <v>0</v>
      </c>
      <c r="HJ34" s="336">
        <v>0</v>
      </c>
      <c r="HK34" s="336">
        <v>0</v>
      </c>
      <c r="HL34" s="336">
        <v>0</v>
      </c>
      <c r="HM34" s="336">
        <v>0</v>
      </c>
      <c r="HN34" s="336">
        <v>0</v>
      </c>
      <c r="HO34" s="336">
        <v>0</v>
      </c>
      <c r="HP34" s="336">
        <v>20577348</v>
      </c>
      <c r="HQ34" s="336">
        <v>0</v>
      </c>
      <c r="HR34" s="336">
        <v>4467379</v>
      </c>
      <c r="HS34" s="336">
        <v>0</v>
      </c>
      <c r="HT34" s="336">
        <v>0</v>
      </c>
      <c r="HU34" s="336">
        <v>0</v>
      </c>
      <c r="HV34" s="336">
        <v>0</v>
      </c>
      <c r="HW34" s="336">
        <v>0</v>
      </c>
      <c r="HX34" s="336">
        <v>0</v>
      </c>
      <c r="HY34" s="336">
        <v>0</v>
      </c>
      <c r="HZ34" s="336">
        <v>0</v>
      </c>
      <c r="IA34" s="336">
        <v>0</v>
      </c>
      <c r="IB34" s="336">
        <v>0</v>
      </c>
      <c r="IC34" s="336">
        <v>0</v>
      </c>
      <c r="ID34" s="336">
        <v>0</v>
      </c>
      <c r="IE34" s="336">
        <v>0</v>
      </c>
      <c r="IF34" s="336">
        <v>0</v>
      </c>
      <c r="IG34" s="336">
        <v>0</v>
      </c>
      <c r="IH34" s="336">
        <v>0</v>
      </c>
      <c r="II34" s="336">
        <v>0</v>
      </c>
      <c r="IJ34" s="336">
        <v>0</v>
      </c>
      <c r="IK34" s="336">
        <v>0</v>
      </c>
      <c r="IL34" s="336">
        <v>0</v>
      </c>
      <c r="IM34" s="336">
        <v>0</v>
      </c>
      <c r="IN34" s="336">
        <v>0</v>
      </c>
      <c r="IO34" s="336">
        <v>0</v>
      </c>
      <c r="IP34" s="336">
        <v>0</v>
      </c>
      <c r="IQ34" s="336">
        <v>111527805</v>
      </c>
      <c r="IR34" s="336">
        <v>38436</v>
      </c>
      <c r="IS34" s="336">
        <v>30419</v>
      </c>
      <c r="IT34" s="336">
        <v>0</v>
      </c>
      <c r="IU34" s="336">
        <v>54384729</v>
      </c>
      <c r="IV34" s="336">
        <v>13813421</v>
      </c>
      <c r="IW34" s="336">
        <v>22295274</v>
      </c>
      <c r="IX34" s="336">
        <v>0</v>
      </c>
      <c r="IY34" s="336">
        <v>0</v>
      </c>
      <c r="IZ34" s="336">
        <v>0</v>
      </c>
      <c r="JA34" s="336">
        <v>0</v>
      </c>
      <c r="JB34" s="336">
        <v>0</v>
      </c>
      <c r="JC34" s="336">
        <v>0</v>
      </c>
      <c r="JD34" s="336">
        <v>0</v>
      </c>
      <c r="JE34" s="336">
        <v>0</v>
      </c>
      <c r="JF34" s="336">
        <v>0</v>
      </c>
      <c r="JG34" s="336">
        <v>0</v>
      </c>
      <c r="JH34" s="336">
        <v>0</v>
      </c>
      <c r="JI34" s="336">
        <v>831734</v>
      </c>
      <c r="JJ34" s="336">
        <v>0</v>
      </c>
      <c r="JK34" s="336">
        <v>195442</v>
      </c>
      <c r="JL34" s="336">
        <v>0</v>
      </c>
      <c r="JM34" s="336">
        <v>0</v>
      </c>
      <c r="JN34" s="336">
        <v>263731</v>
      </c>
      <c r="JO34" s="336">
        <v>0</v>
      </c>
      <c r="JP34" s="336">
        <v>0</v>
      </c>
      <c r="JQ34" s="336">
        <v>0</v>
      </c>
      <c r="JR34" s="336">
        <v>3363591</v>
      </c>
      <c r="JS34" s="336">
        <v>0</v>
      </c>
      <c r="JT34" s="336">
        <v>10616</v>
      </c>
      <c r="JU34" s="336">
        <v>0</v>
      </c>
      <c r="JV34" s="336">
        <v>0</v>
      </c>
      <c r="JW34" s="336">
        <v>0</v>
      </c>
      <c r="JX34" s="336">
        <v>0</v>
      </c>
      <c r="JY34" s="336">
        <v>0</v>
      </c>
      <c r="JZ34" s="336">
        <v>0</v>
      </c>
      <c r="KA34" s="336">
        <v>0</v>
      </c>
      <c r="KB34" s="336">
        <v>0</v>
      </c>
      <c r="KC34" s="336">
        <v>0</v>
      </c>
      <c r="KD34" s="336">
        <v>0</v>
      </c>
      <c r="KE34" s="336">
        <v>0</v>
      </c>
      <c r="KF34" s="336">
        <v>0</v>
      </c>
      <c r="KG34" s="336">
        <v>0</v>
      </c>
      <c r="KH34" s="336">
        <v>0</v>
      </c>
      <c r="KI34" s="336">
        <v>0</v>
      </c>
      <c r="KJ34" s="336">
        <v>11757449</v>
      </c>
      <c r="KK34" s="336">
        <v>607320</v>
      </c>
      <c r="KL34" s="336">
        <v>95767</v>
      </c>
      <c r="KM34" s="336">
        <v>0</v>
      </c>
      <c r="KN34" s="336">
        <v>250</v>
      </c>
      <c r="KO34" s="336">
        <v>2500000</v>
      </c>
      <c r="KP34" s="336">
        <v>23334452</v>
      </c>
      <c r="KQ34" s="336">
        <v>-493863</v>
      </c>
      <c r="KR34" s="336">
        <v>0</v>
      </c>
      <c r="KS34" s="336">
        <v>0</v>
      </c>
      <c r="KT34" s="336">
        <v>0</v>
      </c>
      <c r="KU34" s="336">
        <v>96921</v>
      </c>
      <c r="KV34" s="336">
        <v>0</v>
      </c>
      <c r="KW34" s="336">
        <v>0</v>
      </c>
      <c r="KX34" s="336">
        <v>0</v>
      </c>
      <c r="KY34" s="336">
        <v>0</v>
      </c>
      <c r="KZ34" s="336">
        <v>0</v>
      </c>
      <c r="LA34" s="336">
        <v>27500447</v>
      </c>
      <c r="LB34" s="336">
        <v>198645</v>
      </c>
      <c r="LC34" s="336">
        <v>0</v>
      </c>
      <c r="LD34" s="336">
        <v>2102114</v>
      </c>
      <c r="LE34" s="336">
        <v>0</v>
      </c>
      <c r="LF34" s="336">
        <v>0</v>
      </c>
      <c r="LG34" s="336">
        <v>0</v>
      </c>
      <c r="LH34" s="336">
        <v>0</v>
      </c>
      <c r="LI34" s="336">
        <v>0</v>
      </c>
      <c r="LJ34" s="336">
        <v>0</v>
      </c>
      <c r="LK34" s="336">
        <v>-692</v>
      </c>
      <c r="LL34" s="336">
        <v>0</v>
      </c>
      <c r="LM34" s="336">
        <v>2418041</v>
      </c>
      <c r="LN34" s="336">
        <v>0</v>
      </c>
      <c r="LO34" s="336">
        <v>0</v>
      </c>
      <c r="LP34" s="336">
        <v>0</v>
      </c>
      <c r="LQ34" s="336">
        <v>0</v>
      </c>
      <c r="LR34" s="336">
        <v>0</v>
      </c>
      <c r="LS34" s="336">
        <v>0</v>
      </c>
      <c r="LT34" s="336">
        <v>0</v>
      </c>
      <c r="LU34" s="336">
        <v>0</v>
      </c>
      <c r="LV34" s="336">
        <v>0</v>
      </c>
      <c r="LW34" s="336">
        <v>0</v>
      </c>
      <c r="LX34" s="336">
        <v>0</v>
      </c>
      <c r="LY34" s="336">
        <v>0</v>
      </c>
      <c r="LZ34" s="336">
        <v>0</v>
      </c>
      <c r="MA34" s="336">
        <v>0</v>
      </c>
      <c r="MB34" s="336">
        <v>0</v>
      </c>
      <c r="MC34" s="336">
        <v>0</v>
      </c>
      <c r="MD34" s="336">
        <v>0</v>
      </c>
      <c r="ME34" s="336">
        <v>0</v>
      </c>
      <c r="MF34" s="336">
        <v>0</v>
      </c>
      <c r="MG34" s="336">
        <v>0</v>
      </c>
      <c r="MH34" s="336">
        <v>0</v>
      </c>
      <c r="MI34" s="336">
        <v>0</v>
      </c>
      <c r="MJ34" s="336">
        <v>0</v>
      </c>
      <c r="MK34" s="336">
        <v>0</v>
      </c>
      <c r="ML34" s="336">
        <v>0</v>
      </c>
      <c r="MM34" s="336">
        <v>0</v>
      </c>
      <c r="MN34" s="336">
        <v>0</v>
      </c>
      <c r="MO34" s="336">
        <v>0</v>
      </c>
      <c r="MP34" s="336">
        <v>0</v>
      </c>
      <c r="MQ34" s="336">
        <v>0</v>
      </c>
      <c r="MR34" s="336">
        <v>0</v>
      </c>
      <c r="MS34" s="336">
        <v>0</v>
      </c>
      <c r="MT34" s="336">
        <v>752924</v>
      </c>
      <c r="MU34" s="336">
        <v>178823434</v>
      </c>
      <c r="MV34" s="336">
        <v>0</v>
      </c>
      <c r="MW34" s="336">
        <v>174992</v>
      </c>
      <c r="MX34" s="336">
        <v>0</v>
      </c>
      <c r="MY34" s="336">
        <v>0</v>
      </c>
      <c r="MZ34" s="336">
        <v>0</v>
      </c>
      <c r="NA34" s="336">
        <v>0</v>
      </c>
      <c r="NB34" s="336">
        <v>0</v>
      </c>
      <c r="NC34" s="336">
        <v>0</v>
      </c>
      <c r="ND34" s="336">
        <v>0</v>
      </c>
      <c r="NE34" s="336">
        <v>0</v>
      </c>
      <c r="NF34" s="336">
        <v>16864</v>
      </c>
      <c r="NG34" s="336">
        <v>0</v>
      </c>
      <c r="NH34" s="336">
        <v>0</v>
      </c>
      <c r="NI34" s="336">
        <v>1128782</v>
      </c>
      <c r="NJ34" s="336">
        <v>0</v>
      </c>
      <c r="NK34" s="336">
        <v>0</v>
      </c>
      <c r="NL34" s="336">
        <v>731526</v>
      </c>
      <c r="NM34" s="336">
        <v>0</v>
      </c>
      <c r="NN34" s="336">
        <v>0</v>
      </c>
      <c r="NO34" s="336">
        <v>21387</v>
      </c>
      <c r="NP34" s="336">
        <v>0</v>
      </c>
      <c r="NQ34" s="336">
        <v>0</v>
      </c>
      <c r="NR34" s="336">
        <v>0</v>
      </c>
      <c r="NS34" s="336">
        <v>0</v>
      </c>
      <c r="NT34" s="336">
        <v>0</v>
      </c>
      <c r="NU34" s="336">
        <v>0</v>
      </c>
      <c r="NV34" s="336">
        <v>0</v>
      </c>
      <c r="NW34" s="336">
        <v>374264</v>
      </c>
      <c r="NX34" s="336">
        <v>0</v>
      </c>
      <c r="NY34" s="336">
        <v>0</v>
      </c>
      <c r="NZ34" s="336">
        <v>0</v>
      </c>
      <c r="OA34" s="336">
        <v>0</v>
      </c>
      <c r="OB34" s="336">
        <v>0</v>
      </c>
      <c r="OC34" s="336">
        <v>0</v>
      </c>
      <c r="OD34" s="336">
        <v>162705</v>
      </c>
      <c r="OE34" s="336">
        <v>2872828</v>
      </c>
      <c r="OF34" s="336">
        <v>103220</v>
      </c>
      <c r="OG34" s="336">
        <v>0</v>
      </c>
      <c r="OH34" s="336">
        <v>0</v>
      </c>
      <c r="OI34" s="336">
        <v>0</v>
      </c>
      <c r="OJ34" s="336">
        <v>0</v>
      </c>
      <c r="OK34" s="336">
        <v>0</v>
      </c>
      <c r="OL34" s="336">
        <v>0</v>
      </c>
      <c r="OM34" s="336">
        <v>0</v>
      </c>
      <c r="ON34" s="336">
        <v>13875907</v>
      </c>
      <c r="OO34" s="336">
        <v>0</v>
      </c>
      <c r="OP34" s="336">
        <v>0</v>
      </c>
      <c r="OQ34" s="336">
        <v>0</v>
      </c>
      <c r="OR34" s="336">
        <v>887068</v>
      </c>
      <c r="OS34" s="336">
        <v>2262037</v>
      </c>
      <c r="OT34" s="336">
        <v>212323023</v>
      </c>
      <c r="OU34" s="336">
        <v>79530</v>
      </c>
      <c r="OV34" s="336">
        <v>0</v>
      </c>
      <c r="OW34" s="336">
        <v>0</v>
      </c>
      <c r="OX34" s="336">
        <v>0</v>
      </c>
      <c r="OY34" s="336">
        <v>0</v>
      </c>
      <c r="OZ34" s="336">
        <v>0</v>
      </c>
      <c r="PA34" s="336">
        <v>0</v>
      </c>
      <c r="PB34" s="336">
        <v>511311469</v>
      </c>
      <c r="PC34" s="336">
        <v>0</v>
      </c>
      <c r="PD34" s="336">
        <v>0</v>
      </c>
      <c r="PE34" s="336">
        <v>-179214464</v>
      </c>
      <c r="PF34" s="336">
        <v>-428916101</v>
      </c>
      <c r="PG34" s="336">
        <v>0</v>
      </c>
      <c r="PH34" s="336">
        <v>-134747</v>
      </c>
      <c r="PI34" s="336">
        <v>0</v>
      </c>
      <c r="PJ34" s="336">
        <v>-50005714</v>
      </c>
      <c r="PK34" s="336">
        <v>-129626172</v>
      </c>
      <c r="PL34" s="336">
        <v>480859840</v>
      </c>
      <c r="PM34" s="336">
        <v>0</v>
      </c>
      <c r="PN34" s="336">
        <v>0</v>
      </c>
      <c r="PO34" s="336">
        <v>0</v>
      </c>
      <c r="PP34" s="336">
        <v>0</v>
      </c>
      <c r="PQ34" s="336">
        <v>0</v>
      </c>
      <c r="PR34" s="336">
        <v>0</v>
      </c>
      <c r="PS34" s="336">
        <v>0</v>
      </c>
      <c r="PT34" s="336">
        <v>0</v>
      </c>
      <c r="PU34" s="336">
        <v>0</v>
      </c>
      <c r="PV34" s="336">
        <v>0</v>
      </c>
      <c r="PW34" s="336">
        <v>0</v>
      </c>
      <c r="PX34" s="336">
        <v>0</v>
      </c>
      <c r="PY34" s="336">
        <v>0</v>
      </c>
      <c r="PZ34" s="336">
        <v>0</v>
      </c>
      <c r="QA34" s="336">
        <v>0</v>
      </c>
      <c r="QB34" s="336">
        <v>0</v>
      </c>
      <c r="QC34" s="336">
        <v>0</v>
      </c>
      <c r="QD34" s="336">
        <v>277542016</v>
      </c>
      <c r="QE34" s="336">
        <v>0</v>
      </c>
      <c r="QF34" s="336">
        <v>0</v>
      </c>
      <c r="QG34" s="336">
        <v>68183704</v>
      </c>
      <c r="QH34" s="336">
        <v>0</v>
      </c>
      <c r="QI34" s="336">
        <v>65442</v>
      </c>
      <c r="QJ34" s="336">
        <v>0</v>
      </c>
      <c r="QK34" s="336">
        <v>16543765</v>
      </c>
      <c r="QL34" s="336">
        <v>0</v>
      </c>
      <c r="QM34" s="336">
        <v>0</v>
      </c>
      <c r="QN34" s="336">
        <v>0</v>
      </c>
      <c r="QO34" s="336">
        <v>0</v>
      </c>
      <c r="QP34" s="336">
        <v>0</v>
      </c>
      <c r="QQ34" s="336">
        <v>0</v>
      </c>
      <c r="QR34" s="336">
        <v>0</v>
      </c>
      <c r="QS34" s="336">
        <v>0</v>
      </c>
      <c r="QT34" s="336">
        <v>0</v>
      </c>
      <c r="QU34" s="336">
        <v>0</v>
      </c>
      <c r="QV34" s="336">
        <v>0</v>
      </c>
      <c r="QW34" s="336">
        <v>0</v>
      </c>
      <c r="QX34" s="336">
        <v>0</v>
      </c>
      <c r="QY34" s="336">
        <v>0</v>
      </c>
      <c r="QZ34" s="336">
        <v>0</v>
      </c>
      <c r="RA34" s="336">
        <v>0</v>
      </c>
      <c r="RB34" s="336">
        <v>0</v>
      </c>
      <c r="RC34" s="336">
        <v>0</v>
      </c>
      <c r="RD34" s="336">
        <v>0</v>
      </c>
      <c r="RE34" s="336">
        <v>0</v>
      </c>
      <c r="RF34" s="336">
        <v>0</v>
      </c>
      <c r="RG34" s="336">
        <v>0</v>
      </c>
      <c r="RH34" s="336">
        <v>0</v>
      </c>
      <c r="RI34" s="336">
        <v>0</v>
      </c>
      <c r="RJ34" s="336">
        <v>0</v>
      </c>
      <c r="RK34" s="336">
        <v>0</v>
      </c>
      <c r="RL34" s="336">
        <v>0</v>
      </c>
      <c r="RM34" s="336">
        <v>0</v>
      </c>
      <c r="RN34" s="336">
        <v>0</v>
      </c>
      <c r="RO34" s="336">
        <v>-21430320</v>
      </c>
      <c r="RP34" s="336">
        <v>0</v>
      </c>
      <c r="RQ34" s="336">
        <v>0</v>
      </c>
      <c r="RR34" s="336">
        <v>0</v>
      </c>
      <c r="RS34" s="336">
        <v>0</v>
      </c>
      <c r="RT34" s="336">
        <v>0</v>
      </c>
      <c r="RU34" s="336">
        <v>0</v>
      </c>
      <c r="RV34" s="336">
        <v>0</v>
      </c>
      <c r="RW34" s="336">
        <v>0</v>
      </c>
      <c r="RX34" s="336">
        <v>-226057530</v>
      </c>
      <c r="RY34" s="336">
        <v>0</v>
      </c>
      <c r="RZ34" s="336">
        <v>0</v>
      </c>
      <c r="SA34" s="336">
        <v>0</v>
      </c>
      <c r="SB34" s="336">
        <v>0</v>
      </c>
      <c r="SC34" s="336">
        <v>0</v>
      </c>
      <c r="SD34" s="336">
        <v>0</v>
      </c>
      <c r="SE34" s="336">
        <v>0</v>
      </c>
      <c r="SF34" s="336">
        <v>0</v>
      </c>
      <c r="SG34" s="336">
        <v>0</v>
      </c>
      <c r="SH34" s="336">
        <v>0</v>
      </c>
      <c r="SI34" s="336">
        <v>0</v>
      </c>
      <c r="SJ34" s="336">
        <v>0</v>
      </c>
      <c r="SK34" s="336">
        <v>0</v>
      </c>
      <c r="SL34" s="336">
        <v>0</v>
      </c>
      <c r="SM34" s="336">
        <v>0</v>
      </c>
      <c r="SN34" s="336">
        <v>0</v>
      </c>
      <c r="SO34" s="336">
        <v>0</v>
      </c>
      <c r="SP34" s="336">
        <v>0</v>
      </c>
      <c r="SQ34" s="336">
        <v>162705</v>
      </c>
      <c r="SR34" s="336">
        <v>2872828</v>
      </c>
      <c r="SS34" s="336">
        <v>103220</v>
      </c>
      <c r="ST34" s="336">
        <v>0</v>
      </c>
      <c r="SU34" s="336">
        <v>0</v>
      </c>
      <c r="SV34" s="336">
        <v>0</v>
      </c>
      <c r="SW34" s="336">
        <v>-511311469</v>
      </c>
      <c r="SX34" s="336">
        <v>0</v>
      </c>
      <c r="SY34" s="336">
        <v>0</v>
      </c>
      <c r="SZ34" s="336" t="s">
        <v>1420</v>
      </c>
      <c r="TA34" s="336" t="s">
        <v>1420</v>
      </c>
      <c r="TB34" s="336" t="s">
        <v>1420</v>
      </c>
      <c r="TC34" s="336">
        <v>0</v>
      </c>
      <c r="TD34" s="336">
        <v>0</v>
      </c>
      <c r="TE34" s="336">
        <v>0</v>
      </c>
      <c r="TF34" s="336">
        <v>0</v>
      </c>
      <c r="TG34" s="336">
        <v>0</v>
      </c>
      <c r="TH34" s="336">
        <v>0</v>
      </c>
      <c r="TI34" s="336">
        <v>3035533</v>
      </c>
      <c r="TJ34" s="336">
        <v>0</v>
      </c>
      <c r="TK34" s="336">
        <v>0</v>
      </c>
      <c r="TL34" s="336">
        <v>103220</v>
      </c>
      <c r="TM34" s="336">
        <v>0</v>
      </c>
      <c r="TN34" s="336">
        <v>0</v>
      </c>
      <c r="TO34" s="336">
        <v>2002364</v>
      </c>
      <c r="TP34" s="336">
        <v>0</v>
      </c>
      <c r="TQ34" s="336">
        <v>0</v>
      </c>
      <c r="TR34" s="336">
        <v>0</v>
      </c>
      <c r="TS34" s="336">
        <v>0</v>
      </c>
      <c r="TT34" s="336">
        <v>0</v>
      </c>
      <c r="TU34" s="336">
        <v>0</v>
      </c>
      <c r="TV34" s="336">
        <v>0</v>
      </c>
      <c r="TW34" s="336">
        <v>0</v>
      </c>
      <c r="TX34" s="336">
        <v>26400000</v>
      </c>
      <c r="TY34" s="336">
        <v>0</v>
      </c>
      <c r="TZ34" s="336">
        <v>0</v>
      </c>
      <c r="UA34" s="336">
        <v>0</v>
      </c>
      <c r="UB34" s="336">
        <v>0</v>
      </c>
      <c r="UC34" s="336">
        <v>750000</v>
      </c>
      <c r="UD34" s="336">
        <v>0</v>
      </c>
      <c r="UE34" s="336">
        <v>731526</v>
      </c>
      <c r="UF34" s="336">
        <v>0</v>
      </c>
      <c r="UG34" s="336">
        <v>0</v>
      </c>
      <c r="UH34" s="336">
        <v>96921</v>
      </c>
      <c r="UI34" s="336">
        <v>29801206</v>
      </c>
      <c r="UJ34" s="336">
        <v>2417349</v>
      </c>
      <c r="UK34" s="336">
        <v>0</v>
      </c>
      <c r="UL34" s="336">
        <v>0</v>
      </c>
      <c r="UM34" s="336">
        <v>0</v>
      </c>
      <c r="UN34" s="336">
        <v>179751350</v>
      </c>
      <c r="UO34" s="336">
        <v>1145646</v>
      </c>
      <c r="UP34" s="336">
        <v>752913</v>
      </c>
      <c r="UQ34" s="336">
        <v>374264</v>
      </c>
      <c r="UR34"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3138753</v>
      </c>
      <c r="US34" s="338">
        <f>SUM(Input[[#This Row],[Oth Exp E&amp;G]],Input[[#This Row],[Oth Exp Desg]],Input[[#This Row],[Oth Exp Aux]],Input[[#This Row],[Oth Exp R Exp]],Input[[#This Row],[Oth Exp Loan]],Input[[#This Row],[Oth Exp Annuity]],Input[[#This Row],[Oth Exp Unexp]],Input[[#This Row],[Oth Exp R of Ind]],Input[[#This Row],[Oth Exp Inv in P]])</f>
        <v>229427565</v>
      </c>
      <c r="UT34" s="336">
        <v>1144999922</v>
      </c>
      <c r="UU34" s="336">
        <v>84792911</v>
      </c>
      <c r="UV34" s="339" t="s">
        <v>1432</v>
      </c>
      <c r="UW34" s="340">
        <v>9798459761</v>
      </c>
      <c r="UX34" s="339" t="s">
        <v>1433</v>
      </c>
      <c r="UY34" s="339" t="s">
        <v>1600</v>
      </c>
      <c r="UZ34" s="340">
        <v>9794586090</v>
      </c>
      <c r="VA34" s="339" t="s">
        <v>1594</v>
      </c>
      <c r="VB34" s="341" t="str" cm="1">
        <f t="array" ref="VB34">IFERROR(_xlfn.IFS(Input[[#This Row],[Type]]="HRI",VLOOKUP(Input[[#This Row],[Institution Name]],FTSEHRI[],9,FALSE),Input[[#This Row],[Type]]="UNIV",VLOOKUP(Input[[#This Row],[Institution Name]],FTSEUNIV[],9,FALSE),OR(Input[[#This Row],[Type]]="TSTC",Input[[#This Row],[Type]]="LSC"),VLOOKUP(Input[[#This Row],[Institution Name]],FTSETSTC[],8,FALSE)),"N/A")</f>
        <v>N/A</v>
      </c>
      <c r="VC34" s="342" t="str" cm="1">
        <f t="array" ref="VC34">IFERROR(_xlfn.IFS(Input[[#This Row],[Type]]="HRI",VLOOKUP(Input[[#This Row],[Institution Name]],FTSEHRI[],11,FALSE),Input[[#This Row],[Type]]="UNIV",VLOOKUP(Input[[#This Row],[Institution Name]],FTSEUNIV[],11,FALSE),Input[[#This Row],[Type]]="TSTC",VLOOKUP(Input[[#This Row],[Institution Name]],FTSETSTC[],10,FALSE)),"N/A")</f>
        <v>N/A</v>
      </c>
      <c r="VD34"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180861721</v>
      </c>
      <c r="VE34"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659626741</v>
      </c>
      <c r="VF34" s="338">
        <f>SUM(Input[[#This Row],[Fed G&amp;C E&amp;G]],Input[[#This Row],[Fed G&amp;C Desg]],Input[[#This Row],[Fed G&amp;C R Exp]],Input[[#This Row],[Fed G&amp;C Loan]],Input[[#This Row],[Fed G&amp;C Annuity]],Input[[#This Row],[Fed G&amp;C Unexp]],Input[[#This Row],[Fed G&amp;C R of Ind]],Input[[#This Row],[Fed G&amp;C Inv in P]])</f>
        <v>25044727</v>
      </c>
      <c r="VG34"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243910817</v>
      </c>
      <c r="VH34"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0</v>
      </c>
      <c r="VI34"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J34" s="338">
        <f>SUM(Input[[#This Row],[Oth Inc E&amp;G]],Input[[#This Row],[Oth Exp Desg]],Input[[#This Row],[Oth Exp R Exp]],Input[[#This Row],[Oth Exp Loan]],Input[[#This Row],[Oth Exp Annuity]],Input[[#This Row],[Oth Exp Unexp]],Input[[#This Row],[Oth Exp R of Ind]],Input[[#This Row],[Oth Exp Inv in P]])</f>
        <v>229427565</v>
      </c>
      <c r="VK34" s="343">
        <f>SUM(Input[[#This Row],[Instr E&amp;G]],Input[[#This Row],[Instr Desg]],Input[[#This Row],[Instr R Exp]],Input[[#This Row],[Instr Loan]],Input[[#This Row],[Instr Annuity]],Input[[#This Row],[Instr Unexp]],Input[[#This Row],[Instr R of Ind]],Input[[#This Row],[Instr Inv in P]])</f>
        <v>96921</v>
      </c>
      <c r="VL34" s="343">
        <f>SUM(Input[[#This Row],[Res E&amp;G]],Input[[#This Row],[Res Desg]],Input[[#This Row],[Res R Exp]],Input[[#This Row],[Res Loan]],Input[[#This Row],[Res Annuity]],Input[[#This Row],[Res Unexp]],Input[[#This Row],[Res R of Ind]],Input[[#This Row],[Res Inv in P]])</f>
        <v>29801206</v>
      </c>
      <c r="VM34" s="343">
        <f>SUM(Input[[#This Row],[Acad Sup E&amp;G]],Input[[#This Row],[Acad Sup Desg]],Input[[#This Row],[Acad Sup R Exp]],Input[[#This Row],[Acad Sup Loan]],Input[[#This Row],[Acad Sup Annuity]],Input[[#This Row],[Acad Sup Unexp]],Input[[#This Row],[Acad Sup R of Ind]],Input[[#This Row],[Acad Sup Inv in P]])</f>
        <v>0</v>
      </c>
      <c r="VN34" s="343">
        <f>SUM(Input[[#This Row],[Stu Svc E&amp;G]],Input[[#This Row],[Stu Svc Desg]],Input[[#This Row],[Stu Svc R Exp]],Input[[#This Row],[Stu Svc Loan]],Input[[#This Row],[Stu Svc Annuity]],Input[[#This Row],[Stu Svc Unexp]],Input[[#This Row],[Stu Svc R of Ind]],Input[[#This Row],[Stu Svc Inv in P]])</f>
        <v>0</v>
      </c>
      <c r="VO34" s="343">
        <f>SUM(Input[[#This Row],[Inst. Spt E&amp;G]],Input[[#This Row],[Inst. Spt Desg]],Input[[#This Row],[Inst. Spt R Exp]],Input[[#This Row],[Inst. Spt Loan]],Input[[#This Row],[Inst. Spt Annuity]],Input[[#This Row],[Inst. Spt Unexp]],Input[[#This Row],[Inst. Spt R of Ind]],Input[[#This Row],[Inst. Spt Inv in P]])</f>
        <v>179751350</v>
      </c>
      <c r="VP34" s="343">
        <f>SUM(Input[[#This Row],[M&amp;O Plnt E&amp;G]],Input[[#This Row],[M&amp;O Plnt Desg]],Input[[#This Row],[M&amp;O Plnt R Exp]],Input[[#This Row],[M&amp;O Plnt Loan]],Input[[#This Row],[M&amp;O Plnt Annuity]],Input[[#This Row],[M&amp;O Plnt Unexp]],Input[[#This Row],[M&amp;O Plnt R of Ind]],Input[[#This Row],[M&amp;O Plnt Inv in P]])</f>
        <v>1145646</v>
      </c>
      <c r="VQ34" s="343">
        <f>SUM(Input[[#This Row],[Schl &amp; Fell E&amp;G]],Input[[#This Row],[Schl &amp; Fell Desg]],Input[[#This Row],[Schl &amp; Fell R Exp]],Input[[#This Row],[Schl &amp; Fell Loan]],Input[[#This Row],[Schl &amp; Fell Annuity]],Input[[#This Row],[Schl &amp; Fell Unexp]],Input[[#This Row],[Schl &amp; Fell R of Ind]],Input[[#This Row],[Schl &amp; Fell Inv in P]])</f>
        <v>752913</v>
      </c>
      <c r="VR34" s="343">
        <f>SUM(Input[[#This Row],[Cap Out fund E&amp;G]],Input[[#This Row],[Cap Out fund Desg]],Input[[#This Row],[Cap Out fund R Exp]],Input[[#This Row],[Cap Out fund Loan]],Input[[#This Row],[Cap Out fund Annuity]],Input[[#This Row],[Cap Out fund Unexp]],Input[[#This Row],[Cap Out fund R of Ind]],Input[[#This Row],[Cap Out fund Inv in P]])</f>
        <v>3035533</v>
      </c>
      <c r="VS34" s="343">
        <f>SUM(Input[[#This Row],[Oth Exp E&amp;G]],Input[[#This Row],[Oth Exp Desg]],Input[[#This Row],[Oth Exp R Exp]],Input[[#This Row],[Oth Exp Loan]],Input[[#This Row],[Oth Exp Annuity]],Input[[#This Row],[Oth Exp Unexp]],Input[[#This Row],[Oth Exp R of Ind]],Input[[#This Row],[Oth Exp Inv in P]],Input[[#This Row],[Oth Exp Inv in P]])</f>
        <v>229507095</v>
      </c>
    </row>
    <row r="35" spans="1:591" s="344" customFormat="1" ht="27" customHeight="1" x14ac:dyDescent="0.55000000000000004">
      <c r="A35" s="339" t="s">
        <v>45</v>
      </c>
      <c r="B35" s="334" t="s">
        <v>830</v>
      </c>
      <c r="C35" s="334" t="s">
        <v>14</v>
      </c>
      <c r="D35" s="334">
        <v>450</v>
      </c>
      <c r="E35" s="334" t="s">
        <v>1623</v>
      </c>
      <c r="F35" s="335">
        <v>89</v>
      </c>
      <c r="G35" s="336">
        <v>242836688</v>
      </c>
      <c r="H35" s="336">
        <v>0</v>
      </c>
      <c r="I35" s="336">
        <v>0</v>
      </c>
      <c r="J35" s="336">
        <v>0</v>
      </c>
      <c r="K35" s="336">
        <v>0</v>
      </c>
      <c r="L35" s="336">
        <v>0</v>
      </c>
      <c r="M35" s="336">
        <v>0</v>
      </c>
      <c r="N35" s="336">
        <v>0</v>
      </c>
      <c r="O35" s="336">
        <v>0</v>
      </c>
      <c r="P35" s="336">
        <v>820745</v>
      </c>
      <c r="Q35" s="336">
        <v>1086294</v>
      </c>
      <c r="R35" s="336">
        <v>0</v>
      </c>
      <c r="S35" s="336">
        <v>6119277</v>
      </c>
      <c r="T35" s="336">
        <v>0</v>
      </c>
      <c r="U35" s="336">
        <v>0</v>
      </c>
      <c r="V35" s="336">
        <v>0</v>
      </c>
      <c r="W35" s="336">
        <v>0</v>
      </c>
      <c r="X35" s="336">
        <v>0</v>
      </c>
      <c r="Y35" s="336">
        <v>0</v>
      </c>
      <c r="Z35" s="336">
        <v>0</v>
      </c>
      <c r="AA35" s="336">
        <v>0</v>
      </c>
      <c r="AB35" s="336">
        <v>0</v>
      </c>
      <c r="AC35" s="336">
        <v>0</v>
      </c>
      <c r="AD35" s="336">
        <v>0</v>
      </c>
      <c r="AE35" s="336">
        <v>0</v>
      </c>
      <c r="AF35" s="336">
        <v>0</v>
      </c>
      <c r="AG35" s="336">
        <v>0</v>
      </c>
      <c r="AH35" s="336">
        <v>0</v>
      </c>
      <c r="AI35" s="336">
        <v>25314550</v>
      </c>
      <c r="AJ35" s="336">
        <v>0</v>
      </c>
      <c r="AK35" s="336">
        <v>0</v>
      </c>
      <c r="AL35" s="336">
        <v>0</v>
      </c>
      <c r="AM35" s="336">
        <v>0</v>
      </c>
      <c r="AN35" s="336">
        <v>0</v>
      </c>
      <c r="AO35" s="336">
        <v>0</v>
      </c>
      <c r="AP35" s="336">
        <v>0</v>
      </c>
      <c r="AQ35" s="336">
        <v>-3603626</v>
      </c>
      <c r="AR35" s="336">
        <v>0</v>
      </c>
      <c r="AS35" s="336">
        <v>0</v>
      </c>
      <c r="AT35" s="336">
        <v>0</v>
      </c>
      <c r="AU35" s="336">
        <v>0</v>
      </c>
      <c r="AV35" s="336">
        <v>0</v>
      </c>
      <c r="AW35" s="336">
        <v>0</v>
      </c>
      <c r="AX35" s="336">
        <v>0</v>
      </c>
      <c r="AY35" s="336">
        <v>0</v>
      </c>
      <c r="AZ35" s="336">
        <v>0</v>
      </c>
      <c r="BA35" s="336">
        <v>0</v>
      </c>
      <c r="BB35" s="336">
        <v>0</v>
      </c>
      <c r="BC35" s="336">
        <v>0</v>
      </c>
      <c r="BD35" s="336">
        <v>0</v>
      </c>
      <c r="BE35" s="336">
        <v>0</v>
      </c>
      <c r="BF35" s="336">
        <v>0</v>
      </c>
      <c r="BG35" s="336">
        <v>0</v>
      </c>
      <c r="BH35" s="336">
        <v>0</v>
      </c>
      <c r="BI35" s="336">
        <v>0</v>
      </c>
      <c r="BJ35" s="336">
        <v>0</v>
      </c>
      <c r="BK35" s="336">
        <v>0</v>
      </c>
      <c r="BL35" s="336">
        <v>0</v>
      </c>
      <c r="BM35" s="336">
        <v>0</v>
      </c>
      <c r="BN35" s="336">
        <v>0</v>
      </c>
      <c r="BO35" s="336">
        <v>0</v>
      </c>
      <c r="BP35" s="336">
        <v>0</v>
      </c>
      <c r="BQ35" s="336">
        <v>0</v>
      </c>
      <c r="BR35" s="336">
        <v>0</v>
      </c>
      <c r="BS35" s="336">
        <v>0</v>
      </c>
      <c r="BT35" s="336">
        <v>0</v>
      </c>
      <c r="BU35" s="336">
        <v>0</v>
      </c>
      <c r="BV35" s="336">
        <v>0</v>
      </c>
      <c r="BW35" s="336">
        <v>0</v>
      </c>
      <c r="BX35" s="336">
        <v>0</v>
      </c>
      <c r="BY35" s="336">
        <v>0</v>
      </c>
      <c r="BZ35" s="336">
        <v>0</v>
      </c>
      <c r="CA35" s="336">
        <v>22094881</v>
      </c>
      <c r="CB35" s="336">
        <v>24098757</v>
      </c>
      <c r="CC35" s="336">
        <v>0</v>
      </c>
      <c r="CD35" s="336">
        <v>0</v>
      </c>
      <c r="CE35" s="336">
        <v>0</v>
      </c>
      <c r="CF35" s="336">
        <v>0</v>
      </c>
      <c r="CG35" s="336">
        <v>0</v>
      </c>
      <c r="CH35" s="336">
        <v>0</v>
      </c>
      <c r="CI35" s="336">
        <v>0</v>
      </c>
      <c r="CJ35" s="336">
        <v>0</v>
      </c>
      <c r="CK35" s="336">
        <v>0</v>
      </c>
      <c r="CL35" s="336">
        <v>0</v>
      </c>
      <c r="CM35" s="336">
        <v>0</v>
      </c>
      <c r="CN35" s="336">
        <v>0</v>
      </c>
      <c r="CO35" s="336">
        <v>0</v>
      </c>
      <c r="CP35" s="336">
        <v>0</v>
      </c>
      <c r="CQ35" s="336">
        <v>0</v>
      </c>
      <c r="CR35" s="336">
        <v>0</v>
      </c>
      <c r="CS35" s="336">
        <v>0</v>
      </c>
      <c r="CT35" s="336">
        <v>0</v>
      </c>
      <c r="CU35" s="336">
        <v>0</v>
      </c>
      <c r="CV35" s="336">
        <v>0</v>
      </c>
      <c r="CW35" s="336">
        <v>0</v>
      </c>
      <c r="CX35" s="336">
        <v>0</v>
      </c>
      <c r="CY35" s="336">
        <v>0</v>
      </c>
      <c r="CZ35" s="336">
        <v>0</v>
      </c>
      <c r="DA35" s="336">
        <v>0</v>
      </c>
      <c r="DB35" s="336">
        <v>-345831</v>
      </c>
      <c r="DC35" s="336">
        <v>-955338</v>
      </c>
      <c r="DD35" s="336">
        <v>0</v>
      </c>
      <c r="DE35" s="336">
        <v>0</v>
      </c>
      <c r="DF35" s="336">
        <v>0</v>
      </c>
      <c r="DG35" s="336">
        <v>0</v>
      </c>
      <c r="DH35" s="336">
        <v>0</v>
      </c>
      <c r="DI35" s="336">
        <v>0</v>
      </c>
      <c r="DJ35" s="336">
        <v>0</v>
      </c>
      <c r="DK35" s="336">
        <v>0</v>
      </c>
      <c r="DL35" s="336">
        <v>0</v>
      </c>
      <c r="DM35" s="336">
        <v>0</v>
      </c>
      <c r="DN35" s="336">
        <v>0</v>
      </c>
      <c r="DO35" s="336">
        <v>0</v>
      </c>
      <c r="DP35" s="336">
        <v>0</v>
      </c>
      <c r="DQ35" s="336">
        <v>0</v>
      </c>
      <c r="DR35" s="336">
        <v>0</v>
      </c>
      <c r="DS35" s="336">
        <v>0</v>
      </c>
      <c r="DT35" s="336">
        <v>-1835336</v>
      </c>
      <c r="DU35" s="336">
        <v>-1423649</v>
      </c>
      <c r="DV35" s="336">
        <v>0</v>
      </c>
      <c r="DW35" s="336">
        <v>0</v>
      </c>
      <c r="DX35" s="336">
        <v>0</v>
      </c>
      <c r="DY35" s="336">
        <v>0</v>
      </c>
      <c r="DZ35" s="336">
        <v>0</v>
      </c>
      <c r="EA35" s="336">
        <v>0</v>
      </c>
      <c r="EB35" s="336">
        <v>0</v>
      </c>
      <c r="EC35" s="336">
        <v>0</v>
      </c>
      <c r="ED35" s="336">
        <v>0</v>
      </c>
      <c r="EE35" s="336">
        <v>0</v>
      </c>
      <c r="EF35" s="336">
        <v>0</v>
      </c>
      <c r="EG35" s="336">
        <v>0</v>
      </c>
      <c r="EH35" s="336">
        <v>0</v>
      </c>
      <c r="EI35" s="336">
        <v>0</v>
      </c>
      <c r="EJ35" s="336">
        <v>0</v>
      </c>
      <c r="EK35" s="336">
        <v>0</v>
      </c>
      <c r="EL35" s="336">
        <v>0</v>
      </c>
      <c r="EM35" s="336">
        <v>0</v>
      </c>
      <c r="EN35" s="336">
        <v>0</v>
      </c>
      <c r="EO35" s="336">
        <v>0</v>
      </c>
      <c r="EP35" s="336">
        <v>0</v>
      </c>
      <c r="EQ35" s="336">
        <v>0</v>
      </c>
      <c r="ER35" s="336">
        <v>0</v>
      </c>
      <c r="ES35" s="336">
        <v>0</v>
      </c>
      <c r="ET35" s="336">
        <v>0</v>
      </c>
      <c r="EU35" s="336">
        <v>0</v>
      </c>
      <c r="EV35" s="336">
        <v>0</v>
      </c>
      <c r="EW35" s="336">
        <v>0</v>
      </c>
      <c r="EX35" s="336">
        <v>0</v>
      </c>
      <c r="EY35" s="336">
        <v>0</v>
      </c>
      <c r="EZ35" s="336">
        <v>0</v>
      </c>
      <c r="FA35" s="336">
        <v>0</v>
      </c>
      <c r="FB35" s="336">
        <v>0</v>
      </c>
      <c r="FC35" s="336">
        <v>0</v>
      </c>
      <c r="FD35" s="336">
        <v>0</v>
      </c>
      <c r="FE35" s="336">
        <v>0</v>
      </c>
      <c r="FF35" s="336">
        <v>0</v>
      </c>
      <c r="FG35" s="336">
        <v>0</v>
      </c>
      <c r="FH35" s="336">
        <v>0</v>
      </c>
      <c r="FI35" s="336">
        <v>0</v>
      </c>
      <c r="FJ35" s="336">
        <v>0</v>
      </c>
      <c r="FK35" s="336">
        <v>0</v>
      </c>
      <c r="FL35" s="336">
        <v>0</v>
      </c>
      <c r="FM35" s="336">
        <v>74621</v>
      </c>
      <c r="FN35" s="336">
        <v>16451582</v>
      </c>
      <c r="FO35" s="336">
        <v>1690967</v>
      </c>
      <c r="FP35" s="336">
        <v>0</v>
      </c>
      <c r="FQ35" s="336">
        <v>0</v>
      </c>
      <c r="FR35" s="336">
        <v>0</v>
      </c>
      <c r="FS35" s="336">
        <v>0</v>
      </c>
      <c r="FT35" s="336">
        <v>0</v>
      </c>
      <c r="FU35" s="336">
        <v>0</v>
      </c>
      <c r="FV35" s="336">
        <v>0</v>
      </c>
      <c r="FW35" s="336">
        <v>0</v>
      </c>
      <c r="FX35" s="336">
        <v>0</v>
      </c>
      <c r="FY35" s="336">
        <v>0</v>
      </c>
      <c r="FZ35" s="336">
        <v>0</v>
      </c>
      <c r="GA35" s="336">
        <v>0</v>
      </c>
      <c r="GB35" s="336">
        <v>0</v>
      </c>
      <c r="GC35" s="336">
        <v>0</v>
      </c>
      <c r="GD35" s="336">
        <v>0</v>
      </c>
      <c r="GE35" s="336">
        <v>0</v>
      </c>
      <c r="GF35" s="336">
        <v>0</v>
      </c>
      <c r="GG35" s="336">
        <v>0</v>
      </c>
      <c r="GH35" s="336">
        <v>0</v>
      </c>
      <c r="GI35" s="336">
        <v>0</v>
      </c>
      <c r="GJ35" s="336">
        <v>0</v>
      </c>
      <c r="GK35" s="336">
        <v>0</v>
      </c>
      <c r="GL35" s="336">
        <v>0</v>
      </c>
      <c r="GM35" s="336">
        <v>0</v>
      </c>
      <c r="GN35" s="336">
        <v>-660</v>
      </c>
      <c r="GO35" s="336">
        <v>-323168</v>
      </c>
      <c r="GP35" s="336">
        <v>-46919</v>
      </c>
      <c r="GQ35" s="336">
        <v>0</v>
      </c>
      <c r="GR35" s="336">
        <v>0</v>
      </c>
      <c r="GS35" s="336">
        <v>0</v>
      </c>
      <c r="GT35" s="336">
        <v>0</v>
      </c>
      <c r="GU35" s="336">
        <v>0</v>
      </c>
      <c r="GV35" s="336">
        <v>0</v>
      </c>
      <c r="GW35" s="336">
        <v>0</v>
      </c>
      <c r="GX35" s="336">
        <v>0</v>
      </c>
      <c r="GY35" s="336">
        <v>0</v>
      </c>
      <c r="GZ35" s="336">
        <v>0</v>
      </c>
      <c r="HA35" s="336">
        <v>0</v>
      </c>
      <c r="HB35" s="336">
        <v>0</v>
      </c>
      <c r="HC35" s="336">
        <v>0</v>
      </c>
      <c r="HD35" s="336">
        <v>0</v>
      </c>
      <c r="HE35" s="336">
        <v>0</v>
      </c>
      <c r="HF35" s="336">
        <v>-6706</v>
      </c>
      <c r="HG35" s="336">
        <v>-1300903</v>
      </c>
      <c r="HH35" s="336">
        <v>-120010</v>
      </c>
      <c r="HI35" s="336">
        <v>0</v>
      </c>
      <c r="HJ35" s="336">
        <v>0</v>
      </c>
      <c r="HK35" s="336">
        <v>0</v>
      </c>
      <c r="HL35" s="336">
        <v>0</v>
      </c>
      <c r="HM35" s="336">
        <v>0</v>
      </c>
      <c r="HN35" s="336">
        <v>0</v>
      </c>
      <c r="HO35" s="336">
        <v>0</v>
      </c>
      <c r="HP35" s="336">
        <v>15173533</v>
      </c>
      <c r="HQ35" s="336">
        <v>0</v>
      </c>
      <c r="HR35" s="336">
        <v>48215375</v>
      </c>
      <c r="HS35" s="336">
        <v>0</v>
      </c>
      <c r="HT35" s="336">
        <v>0</v>
      </c>
      <c r="HU35" s="336">
        <v>0</v>
      </c>
      <c r="HV35" s="336">
        <v>0</v>
      </c>
      <c r="HW35" s="336">
        <v>0</v>
      </c>
      <c r="HX35" s="336">
        <v>0</v>
      </c>
      <c r="HY35" s="336">
        <v>0</v>
      </c>
      <c r="HZ35" s="336">
        <v>0</v>
      </c>
      <c r="IA35" s="336">
        <v>0</v>
      </c>
      <c r="IB35" s="336">
        <v>0</v>
      </c>
      <c r="IC35" s="336">
        <v>0</v>
      </c>
      <c r="ID35" s="336">
        <v>0</v>
      </c>
      <c r="IE35" s="336">
        <v>0</v>
      </c>
      <c r="IF35" s="336">
        <v>0</v>
      </c>
      <c r="IG35" s="336">
        <v>0</v>
      </c>
      <c r="IH35" s="336">
        <v>0</v>
      </c>
      <c r="II35" s="336">
        <v>0</v>
      </c>
      <c r="IJ35" s="336">
        <v>0</v>
      </c>
      <c r="IK35" s="336">
        <v>0</v>
      </c>
      <c r="IL35" s="336">
        <v>0</v>
      </c>
      <c r="IM35" s="336">
        <v>0</v>
      </c>
      <c r="IN35" s="336">
        <v>0</v>
      </c>
      <c r="IO35" s="336">
        <v>0</v>
      </c>
      <c r="IP35" s="336">
        <v>3919950</v>
      </c>
      <c r="IQ35" s="336">
        <v>16848783</v>
      </c>
      <c r="IR35" s="336">
        <v>0</v>
      </c>
      <c r="IS35" s="336">
        <v>299338</v>
      </c>
      <c r="IT35" s="336">
        <v>34331</v>
      </c>
      <c r="IU35" s="336">
        <v>-117166</v>
      </c>
      <c r="IV35" s="336">
        <v>0</v>
      </c>
      <c r="IW35" s="336">
        <v>0</v>
      </c>
      <c r="IX35" s="336">
        <v>0</v>
      </c>
      <c r="IY35" s="336">
        <v>0</v>
      </c>
      <c r="IZ35" s="336">
        <v>0</v>
      </c>
      <c r="JA35" s="336">
        <v>0</v>
      </c>
      <c r="JB35" s="336">
        <v>0</v>
      </c>
      <c r="JC35" s="336">
        <v>0</v>
      </c>
      <c r="JD35" s="336">
        <v>0</v>
      </c>
      <c r="JE35" s="336">
        <v>0</v>
      </c>
      <c r="JF35" s="336">
        <v>0</v>
      </c>
      <c r="JG35" s="336">
        <v>0</v>
      </c>
      <c r="JH35" s="336">
        <v>0</v>
      </c>
      <c r="JI35" s="336">
        <v>1883352</v>
      </c>
      <c r="JJ35" s="336">
        <v>0</v>
      </c>
      <c r="JK35" s="336">
        <v>17271493</v>
      </c>
      <c r="JL35" s="336">
        <v>0</v>
      </c>
      <c r="JM35" s="336">
        <v>0</v>
      </c>
      <c r="JN35" s="336">
        <v>0</v>
      </c>
      <c r="JO35" s="336">
        <v>0</v>
      </c>
      <c r="JP35" s="336">
        <v>0</v>
      </c>
      <c r="JQ35" s="336">
        <v>7558065</v>
      </c>
      <c r="JR35" s="336">
        <v>57072408</v>
      </c>
      <c r="JS35" s="336">
        <v>0</v>
      </c>
      <c r="JT35" s="336">
        <v>26193</v>
      </c>
      <c r="JU35" s="336">
        <v>0</v>
      </c>
      <c r="JV35" s="336">
        <v>0</v>
      </c>
      <c r="JW35" s="336">
        <v>0</v>
      </c>
      <c r="JX35" s="336">
        <v>0</v>
      </c>
      <c r="JY35" s="336">
        <v>0</v>
      </c>
      <c r="JZ35" s="336">
        <v>0</v>
      </c>
      <c r="KA35" s="336">
        <v>0</v>
      </c>
      <c r="KB35" s="336">
        <v>4900223</v>
      </c>
      <c r="KC35" s="336">
        <v>0</v>
      </c>
      <c r="KD35" s="336">
        <v>0</v>
      </c>
      <c r="KE35" s="336">
        <v>0</v>
      </c>
      <c r="KF35" s="336">
        <v>0</v>
      </c>
      <c r="KG35" s="336">
        <v>0</v>
      </c>
      <c r="KH35" s="336">
        <v>0</v>
      </c>
      <c r="KI35" s="336">
        <v>0</v>
      </c>
      <c r="KJ35" s="336">
        <v>4061409</v>
      </c>
      <c r="KK35" s="336">
        <v>106399</v>
      </c>
      <c r="KL35" s="336">
        <v>979</v>
      </c>
      <c r="KM35" s="336">
        <v>136915</v>
      </c>
      <c r="KN35" s="336">
        <v>0</v>
      </c>
      <c r="KO35" s="336">
        <v>0</v>
      </c>
      <c r="KP35" s="336">
        <v>0</v>
      </c>
      <c r="KQ35" s="336">
        <v>-8792</v>
      </c>
      <c r="KR35" s="336">
        <v>93050900</v>
      </c>
      <c r="KS35" s="336">
        <v>66894983</v>
      </c>
      <c r="KT35" s="336">
        <v>0</v>
      </c>
      <c r="KU35" s="336">
        <v>2396102</v>
      </c>
      <c r="KV35" s="336">
        <v>0</v>
      </c>
      <c r="KW35" s="336">
        <v>0</v>
      </c>
      <c r="KX35" s="336">
        <v>0</v>
      </c>
      <c r="KY35" s="336">
        <v>0</v>
      </c>
      <c r="KZ35" s="336">
        <v>0</v>
      </c>
      <c r="LA35" s="336">
        <v>25011395</v>
      </c>
      <c r="LB35" s="336">
        <v>25562761</v>
      </c>
      <c r="LC35" s="336">
        <v>0</v>
      </c>
      <c r="LD35" s="336">
        <v>63562233</v>
      </c>
      <c r="LE35" s="336">
        <v>0</v>
      </c>
      <c r="LF35" s="336">
        <v>0</v>
      </c>
      <c r="LG35" s="336">
        <v>0</v>
      </c>
      <c r="LH35" s="336">
        <v>0</v>
      </c>
      <c r="LI35" s="336">
        <v>0</v>
      </c>
      <c r="LJ35" s="336">
        <v>12341702</v>
      </c>
      <c r="LK35" s="336">
        <v>4191547</v>
      </c>
      <c r="LL35" s="336">
        <v>0</v>
      </c>
      <c r="LM35" s="336">
        <v>2169661</v>
      </c>
      <c r="LN35" s="336">
        <v>0</v>
      </c>
      <c r="LO35" s="336">
        <v>0</v>
      </c>
      <c r="LP35" s="336">
        <v>0</v>
      </c>
      <c r="LQ35" s="336">
        <v>0</v>
      </c>
      <c r="LR35" s="336">
        <v>0</v>
      </c>
      <c r="LS35" s="336">
        <v>0</v>
      </c>
      <c r="LT35" s="336">
        <v>0</v>
      </c>
      <c r="LU35" s="336">
        <v>0</v>
      </c>
      <c r="LV35" s="336">
        <v>0</v>
      </c>
      <c r="LW35" s="336">
        <v>0</v>
      </c>
      <c r="LX35" s="336">
        <v>0</v>
      </c>
      <c r="LY35" s="336">
        <v>0</v>
      </c>
      <c r="LZ35" s="336">
        <v>0</v>
      </c>
      <c r="MA35" s="336">
        <v>0</v>
      </c>
      <c r="MB35" s="336">
        <v>35304997</v>
      </c>
      <c r="MC35" s="336">
        <v>9238433</v>
      </c>
      <c r="MD35" s="336">
        <v>0</v>
      </c>
      <c r="ME35" s="336">
        <v>1762999</v>
      </c>
      <c r="MF35" s="336">
        <v>0</v>
      </c>
      <c r="MG35" s="336">
        <v>0</v>
      </c>
      <c r="MH35" s="336">
        <v>0</v>
      </c>
      <c r="MI35" s="336">
        <v>0</v>
      </c>
      <c r="MJ35" s="336">
        <v>0</v>
      </c>
      <c r="MK35" s="336">
        <v>2831300</v>
      </c>
      <c r="ML35" s="336">
        <v>6548678</v>
      </c>
      <c r="MM35" s="336">
        <v>0</v>
      </c>
      <c r="MN35" s="336">
        <v>134106</v>
      </c>
      <c r="MO35" s="336">
        <v>-22304</v>
      </c>
      <c r="MP35" s="336">
        <v>0</v>
      </c>
      <c r="MQ35" s="336">
        <v>0</v>
      </c>
      <c r="MR35" s="336">
        <v>0</v>
      </c>
      <c r="MS35" s="336">
        <v>0</v>
      </c>
      <c r="MT35" s="336">
        <v>13942209</v>
      </c>
      <c r="MU35" s="336">
        <v>1390410</v>
      </c>
      <c r="MV35" s="336">
        <v>0</v>
      </c>
      <c r="MW35" s="336">
        <v>713526</v>
      </c>
      <c r="MX35" s="336">
        <v>0</v>
      </c>
      <c r="MY35" s="336">
        <v>0</v>
      </c>
      <c r="MZ35" s="336">
        <v>0</v>
      </c>
      <c r="NA35" s="336">
        <v>0</v>
      </c>
      <c r="NB35" s="336">
        <v>0</v>
      </c>
      <c r="NC35" s="336">
        <v>23986238</v>
      </c>
      <c r="ND35" s="336">
        <v>9081930</v>
      </c>
      <c r="NE35" s="336">
        <v>0</v>
      </c>
      <c r="NF35" s="336">
        <v>0</v>
      </c>
      <c r="NG35" s="336">
        <v>0</v>
      </c>
      <c r="NH35" s="336">
        <v>0</v>
      </c>
      <c r="NI35" s="336">
        <v>222833</v>
      </c>
      <c r="NJ35" s="336">
        <v>0</v>
      </c>
      <c r="NK35" s="336">
        <v>0</v>
      </c>
      <c r="NL35" s="336">
        <v>366603</v>
      </c>
      <c r="NM35" s="336">
        <v>3683463</v>
      </c>
      <c r="NN35" s="336">
        <v>0</v>
      </c>
      <c r="NO35" s="336">
        <v>598757</v>
      </c>
      <c r="NP35" s="336">
        <v>0</v>
      </c>
      <c r="NQ35" s="336">
        <v>0</v>
      </c>
      <c r="NR35" s="336">
        <v>0</v>
      </c>
      <c r="NS35" s="336">
        <v>0</v>
      </c>
      <c r="NT35" s="336">
        <v>0</v>
      </c>
      <c r="NU35" s="336">
        <v>0</v>
      </c>
      <c r="NV35" s="336">
        <v>0</v>
      </c>
      <c r="NW35" s="336">
        <v>7867804</v>
      </c>
      <c r="NX35" s="336">
        <v>0</v>
      </c>
      <c r="NY35" s="336">
        <v>0</v>
      </c>
      <c r="NZ35" s="336">
        <v>0</v>
      </c>
      <c r="OA35" s="336">
        <v>0</v>
      </c>
      <c r="OB35" s="336">
        <v>0</v>
      </c>
      <c r="OC35" s="336">
        <v>0</v>
      </c>
      <c r="OD35" s="336">
        <v>1444079</v>
      </c>
      <c r="OE35" s="336">
        <v>14358890</v>
      </c>
      <c r="OF35" s="336">
        <v>0</v>
      </c>
      <c r="OG35" s="336">
        <v>1840446</v>
      </c>
      <c r="OH35" s="336">
        <v>0</v>
      </c>
      <c r="OI35" s="336">
        <v>0</v>
      </c>
      <c r="OJ35" s="336">
        <v>0</v>
      </c>
      <c r="OK35" s="336">
        <v>0</v>
      </c>
      <c r="OL35" s="336">
        <v>0</v>
      </c>
      <c r="OM35" s="336">
        <v>194539</v>
      </c>
      <c r="ON35" s="336">
        <v>1336880</v>
      </c>
      <c r="OO35" s="336">
        <v>0</v>
      </c>
      <c r="OP35" s="336">
        <v>0</v>
      </c>
      <c r="OQ35" s="336">
        <v>0</v>
      </c>
      <c r="OR35" s="336">
        <v>0</v>
      </c>
      <c r="OS35" s="336">
        <v>0</v>
      </c>
      <c r="OT35" s="336">
        <v>0</v>
      </c>
      <c r="OU35" s="336">
        <v>81064</v>
      </c>
      <c r="OV35" s="336">
        <v>0</v>
      </c>
      <c r="OW35" s="336">
        <v>0</v>
      </c>
      <c r="OX35" s="336">
        <v>0</v>
      </c>
      <c r="OY35" s="336">
        <v>0</v>
      </c>
      <c r="OZ35" s="336">
        <v>0</v>
      </c>
      <c r="PA35" s="336">
        <v>0</v>
      </c>
      <c r="PB35" s="336">
        <v>124762</v>
      </c>
      <c r="PC35" s="336">
        <v>0</v>
      </c>
      <c r="PD35" s="336">
        <v>0</v>
      </c>
      <c r="PE35" s="336">
        <v>-1732034</v>
      </c>
      <c r="PF35" s="336">
        <v>385587</v>
      </c>
      <c r="PG35" s="336">
        <v>279314</v>
      </c>
      <c r="PH35" s="336">
        <v>-2149460</v>
      </c>
      <c r="PI35" s="336">
        <v>0</v>
      </c>
      <c r="PJ35" s="336">
        <v>-421520</v>
      </c>
      <c r="PK35" s="336">
        <v>904232</v>
      </c>
      <c r="PL35" s="336">
        <v>0</v>
      </c>
      <c r="PM35" s="336">
        <v>94022</v>
      </c>
      <c r="PN35" s="336">
        <v>0</v>
      </c>
      <c r="PO35" s="336">
        <v>0</v>
      </c>
      <c r="PP35" s="336">
        <v>0</v>
      </c>
      <c r="PQ35" s="336">
        <v>0</v>
      </c>
      <c r="PR35" s="336">
        <v>0</v>
      </c>
      <c r="PS35" s="336">
        <v>0</v>
      </c>
      <c r="PT35" s="336">
        <v>0</v>
      </c>
      <c r="PU35" s="336">
        <v>0</v>
      </c>
      <c r="PV35" s="336">
        <v>0</v>
      </c>
      <c r="PW35" s="336">
        <v>-27587174</v>
      </c>
      <c r="PX35" s="336">
        <v>-370698</v>
      </c>
      <c r="PY35" s="336">
        <v>0</v>
      </c>
      <c r="PZ35" s="336">
        <v>0</v>
      </c>
      <c r="QA35" s="336">
        <v>0</v>
      </c>
      <c r="QB35" s="336">
        <v>0</v>
      </c>
      <c r="QC35" s="336">
        <v>0</v>
      </c>
      <c r="QD35" s="336">
        <v>0</v>
      </c>
      <c r="QE35" s="336">
        <v>0</v>
      </c>
      <c r="QF35" s="336">
        <v>5292894</v>
      </c>
      <c r="QG35" s="336">
        <v>39354604</v>
      </c>
      <c r="QH35" s="336">
        <v>0</v>
      </c>
      <c r="QI35" s="336">
        <v>0</v>
      </c>
      <c r="QJ35" s="336">
        <v>0</v>
      </c>
      <c r="QK35" s="336">
        <v>6197901</v>
      </c>
      <c r="QL35" s="336">
        <v>0</v>
      </c>
      <c r="QM35" s="336">
        <v>0</v>
      </c>
      <c r="QN35" s="336">
        <v>0</v>
      </c>
      <c r="QO35" s="336">
        <v>0</v>
      </c>
      <c r="QP35" s="336">
        <v>0</v>
      </c>
      <c r="QQ35" s="336">
        <v>0</v>
      </c>
      <c r="QR35" s="336">
        <v>0</v>
      </c>
      <c r="QS35" s="336">
        <v>0</v>
      </c>
      <c r="QT35" s="336">
        <v>2703</v>
      </c>
      <c r="QU35" s="336">
        <v>0</v>
      </c>
      <c r="QV35" s="336">
        <v>0</v>
      </c>
      <c r="QW35" s="336">
        <v>0</v>
      </c>
      <c r="QX35" s="336">
        <v>0</v>
      </c>
      <c r="QY35" s="336">
        <v>0</v>
      </c>
      <c r="QZ35" s="336">
        <v>0</v>
      </c>
      <c r="RA35" s="336">
        <v>0</v>
      </c>
      <c r="RB35" s="336">
        <v>0</v>
      </c>
      <c r="RC35" s="336">
        <v>0</v>
      </c>
      <c r="RD35" s="336">
        <v>0</v>
      </c>
      <c r="RE35" s="336">
        <v>0</v>
      </c>
      <c r="RF35" s="336">
        <v>0</v>
      </c>
      <c r="RG35" s="336">
        <v>0</v>
      </c>
      <c r="RH35" s="336">
        <v>0</v>
      </c>
      <c r="RI35" s="336">
        <v>0</v>
      </c>
      <c r="RJ35" s="336">
        <v>0</v>
      </c>
      <c r="RK35" s="336">
        <v>0</v>
      </c>
      <c r="RL35" s="336">
        <v>0</v>
      </c>
      <c r="RM35" s="336">
        <v>0</v>
      </c>
      <c r="RN35" s="336">
        <v>0</v>
      </c>
      <c r="RO35" s="336">
        <v>-34936347</v>
      </c>
      <c r="RP35" s="336">
        <v>0</v>
      </c>
      <c r="RQ35" s="336">
        <v>0</v>
      </c>
      <c r="RR35" s="336">
        <v>0</v>
      </c>
      <c r="RS35" s="336">
        <v>0</v>
      </c>
      <c r="RT35" s="336">
        <v>0</v>
      </c>
      <c r="RU35" s="336">
        <v>0</v>
      </c>
      <c r="RV35" s="336">
        <v>0</v>
      </c>
      <c r="RW35" s="336">
        <v>0</v>
      </c>
      <c r="RX35" s="336">
        <v>8570870</v>
      </c>
      <c r="RY35" s="336">
        <v>0</v>
      </c>
      <c r="RZ35" s="336">
        <v>0</v>
      </c>
      <c r="SA35" s="336">
        <v>0</v>
      </c>
      <c r="SB35" s="336">
        <v>0</v>
      </c>
      <c r="SC35" s="336">
        <v>0</v>
      </c>
      <c r="SD35" s="336">
        <v>0</v>
      </c>
      <c r="SE35" s="336">
        <v>0</v>
      </c>
      <c r="SF35" s="336">
        <v>0</v>
      </c>
      <c r="SG35" s="336">
        <v>0</v>
      </c>
      <c r="SH35" s="336">
        <v>0</v>
      </c>
      <c r="SI35" s="336">
        <v>0</v>
      </c>
      <c r="SJ35" s="336">
        <v>0</v>
      </c>
      <c r="SK35" s="336">
        <v>0</v>
      </c>
      <c r="SL35" s="336">
        <v>0</v>
      </c>
      <c r="SM35" s="336">
        <v>0</v>
      </c>
      <c r="SN35" s="336">
        <v>0</v>
      </c>
      <c r="SO35" s="336">
        <v>0</v>
      </c>
      <c r="SP35" s="336">
        <v>0</v>
      </c>
      <c r="SQ35" s="336">
        <v>1444079</v>
      </c>
      <c r="SR35" s="336">
        <v>14358890</v>
      </c>
      <c r="SS35" s="336">
        <v>0</v>
      </c>
      <c r="ST35" s="336">
        <v>1840446</v>
      </c>
      <c r="SU35" s="336">
        <v>0</v>
      </c>
      <c r="SV35" s="336">
        <v>0</v>
      </c>
      <c r="SW35" s="336">
        <v>-124762</v>
      </c>
      <c r="SX35" s="336">
        <v>0</v>
      </c>
      <c r="SY35" s="336">
        <v>0</v>
      </c>
      <c r="SZ35" s="336" t="s">
        <v>1420</v>
      </c>
      <c r="TA35" s="336" t="s">
        <v>1420</v>
      </c>
      <c r="TB35" s="336" t="s">
        <v>1420</v>
      </c>
      <c r="TC35" s="336">
        <v>1825007</v>
      </c>
      <c r="TD35" s="336">
        <v>6752554</v>
      </c>
      <c r="TE35" s="336">
        <v>515282</v>
      </c>
      <c r="TF35" s="336">
        <v>0</v>
      </c>
      <c r="TG35" s="336">
        <v>255691</v>
      </c>
      <c r="TH35" s="336">
        <v>6198</v>
      </c>
      <c r="TI35" s="336">
        <v>26526</v>
      </c>
      <c r="TJ35" s="336">
        <v>8242872</v>
      </c>
      <c r="TK35" s="336">
        <v>19285</v>
      </c>
      <c r="TL35" s="336">
        <v>0</v>
      </c>
      <c r="TM35" s="336">
        <v>0</v>
      </c>
      <c r="TN35" s="336">
        <v>0</v>
      </c>
      <c r="TO35" s="336">
        <v>3246886</v>
      </c>
      <c r="TP35" s="336">
        <v>0</v>
      </c>
      <c r="TQ35" s="336">
        <v>0</v>
      </c>
      <c r="TR35" s="336">
        <v>0</v>
      </c>
      <c r="TS35" s="336">
        <v>0</v>
      </c>
      <c r="TT35" s="336">
        <v>0</v>
      </c>
      <c r="TU35" s="336">
        <v>0</v>
      </c>
      <c r="TV35" s="336">
        <v>0</v>
      </c>
      <c r="TW35" s="336">
        <v>0</v>
      </c>
      <c r="TX35" s="336">
        <v>511698</v>
      </c>
      <c r="TY35" s="336">
        <v>0</v>
      </c>
      <c r="TZ35" s="336">
        <v>0</v>
      </c>
      <c r="UA35" s="336">
        <v>0</v>
      </c>
      <c r="UB35" s="336">
        <v>0</v>
      </c>
      <c r="UC35" s="336">
        <v>0</v>
      </c>
      <c r="UD35" s="336">
        <v>0</v>
      </c>
      <c r="UE35" s="336">
        <v>0</v>
      </c>
      <c r="UF35" s="336">
        <v>0</v>
      </c>
      <c r="UG35" s="336">
        <v>0</v>
      </c>
      <c r="UH35" s="336">
        <v>162341985</v>
      </c>
      <c r="UI35" s="336">
        <v>114136389</v>
      </c>
      <c r="UJ35" s="336">
        <v>18702910</v>
      </c>
      <c r="UK35" s="336">
        <v>0</v>
      </c>
      <c r="UL35" s="336">
        <v>46306429</v>
      </c>
      <c r="UM35" s="336">
        <v>9491780</v>
      </c>
      <c r="UN35" s="336">
        <v>16046145</v>
      </c>
      <c r="UO35" s="336">
        <v>33291001</v>
      </c>
      <c r="UP35" s="336">
        <v>4648823</v>
      </c>
      <c r="UQ35" s="336">
        <v>7867804</v>
      </c>
      <c r="UR35"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17643415</v>
      </c>
      <c r="US35" s="338">
        <f>SUM(Input[[#This Row],[Oth Exp E&amp;G]],Input[[#This Row],[Oth Exp Desg]],Input[[#This Row],[Oth Exp Aux]],Input[[#This Row],[Oth Exp R Exp]],Input[[#This Row],[Oth Exp Loan]],Input[[#This Row],[Oth Exp Annuity]],Input[[#This Row],[Oth Exp Unexp]],Input[[#This Row],[Oth Exp R of Ind]],Input[[#This Row],[Oth Exp Inv in P]])</f>
        <v>1612483</v>
      </c>
      <c r="UT35" s="336">
        <v>49050497</v>
      </c>
      <c r="UU35" s="336">
        <v>50845399</v>
      </c>
      <c r="UV35" s="339" t="s">
        <v>1432</v>
      </c>
      <c r="UW35" s="340">
        <v>9798459761</v>
      </c>
      <c r="UX35" s="339" t="s">
        <v>1433</v>
      </c>
      <c r="UY35" s="339" t="s">
        <v>1540</v>
      </c>
      <c r="UZ35" s="340">
        <v>9794369228</v>
      </c>
      <c r="VA35" s="339" t="s">
        <v>1541</v>
      </c>
      <c r="VB35" s="341" cm="1">
        <f t="array" ref="VB35">IFERROR(_xlfn.IFS(Input[[#This Row],[Type]]="HRI",VLOOKUP(Input[[#This Row],[Institution Name]],FTSEHRI[],9,FALSE),Input[[#This Row],[Type]]="UNIV",VLOOKUP(Input[[#This Row],[Institution Name]],FTSEUNIV[],9,FALSE),OR(Input[[#This Row],[Type]]="TSTC",Input[[#This Row],[Type]]="LSC"),VLOOKUP(Input[[#This Row],[Institution Name]],FTSETSTC[],8,FALSE)),"N/A")</f>
        <v>3915.51</v>
      </c>
      <c r="VC35" s="342" t="str" cm="1">
        <f t="array" ref="VC35">IFERROR(_xlfn.IFS(Input[[#This Row],[Type]]="HRI",VLOOKUP(Input[[#This Row],[Institution Name]],FTSEHRI[],11,FALSE),Input[[#This Row],[Type]]="UNIV",VLOOKUP(Input[[#This Row],[Institution Name]],FTSEUNIV[],11,FALSE),Input[[#This Row],[Type]]="TSTC",VLOOKUP(Input[[#This Row],[Institution Name]],FTSETSTC[],10,FALSE)),"N/A")</f>
        <v>N/A</v>
      </c>
      <c r="VD35"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250863004</v>
      </c>
      <c r="VE35"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25314550</v>
      </c>
      <c r="VF35" s="338">
        <f>SUM(Input[[#This Row],[Fed G&amp;C E&amp;G]],Input[[#This Row],[Fed G&amp;C Desg]],Input[[#This Row],[Fed G&amp;C R Exp]],Input[[#This Row],[Fed G&amp;C Loan]],Input[[#This Row],[Fed G&amp;C Annuity]],Input[[#This Row],[Fed G&amp;C Unexp]],Input[[#This Row],[Fed G&amp;C R of Ind]],Input[[#This Row],[Fed G&amp;C Inv in P]])</f>
        <v>63388908</v>
      </c>
      <c r="VG35"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108987258</v>
      </c>
      <c r="VH35"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41633484</v>
      </c>
      <c r="VI35"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14894766</v>
      </c>
      <c r="VJ35" s="338">
        <f>SUM(Input[[#This Row],[Oth Inc E&amp;G]],Input[[#This Row],[Oth Exp Desg]],Input[[#This Row],[Oth Exp R Exp]],Input[[#This Row],[Oth Exp Loan]],Input[[#This Row],[Oth Exp Annuity]],Input[[#This Row],[Oth Exp Unexp]],Input[[#This Row],[Oth Exp R of Ind]],Input[[#This Row],[Oth Exp Inv in P]])</f>
        <v>1417944</v>
      </c>
      <c r="VK35" s="343">
        <f>SUM(Input[[#This Row],[Instr E&amp;G]],Input[[#This Row],[Instr Desg]],Input[[#This Row],[Instr R Exp]],Input[[#This Row],[Instr Loan]],Input[[#This Row],[Instr Annuity]],Input[[#This Row],[Instr Unexp]],Input[[#This Row],[Instr R of Ind]],Input[[#This Row],[Instr Inv in P]])</f>
        <v>162341985</v>
      </c>
      <c r="VL35" s="343">
        <f>SUM(Input[[#This Row],[Res E&amp;G]],Input[[#This Row],[Res Desg]],Input[[#This Row],[Res R Exp]],Input[[#This Row],[Res Loan]],Input[[#This Row],[Res Annuity]],Input[[#This Row],[Res Unexp]],Input[[#This Row],[Res R of Ind]],Input[[#This Row],[Res Inv in P]])</f>
        <v>114136389</v>
      </c>
      <c r="VM35" s="343">
        <f>SUM(Input[[#This Row],[Acad Sup E&amp;G]],Input[[#This Row],[Acad Sup Desg]],Input[[#This Row],[Acad Sup R Exp]],Input[[#This Row],[Acad Sup Loan]],Input[[#This Row],[Acad Sup Annuity]],Input[[#This Row],[Acad Sup Unexp]],Input[[#This Row],[Acad Sup R of Ind]],Input[[#This Row],[Acad Sup Inv in P]])</f>
        <v>46306429</v>
      </c>
      <c r="VN35" s="343">
        <f>SUM(Input[[#This Row],[Stu Svc E&amp;G]],Input[[#This Row],[Stu Svc Desg]],Input[[#This Row],[Stu Svc R Exp]],Input[[#This Row],[Stu Svc Loan]],Input[[#This Row],[Stu Svc Annuity]],Input[[#This Row],[Stu Svc Unexp]],Input[[#This Row],[Stu Svc R of Ind]],Input[[#This Row],[Stu Svc Inv in P]])</f>
        <v>9491780</v>
      </c>
      <c r="VO35" s="343">
        <f>SUM(Input[[#This Row],[Inst. Spt E&amp;G]],Input[[#This Row],[Inst. Spt Desg]],Input[[#This Row],[Inst. Spt R Exp]],Input[[#This Row],[Inst. Spt Loan]],Input[[#This Row],[Inst. Spt Annuity]],Input[[#This Row],[Inst. Spt Unexp]],Input[[#This Row],[Inst. Spt R of Ind]],Input[[#This Row],[Inst. Spt Inv in P]])</f>
        <v>16046145</v>
      </c>
      <c r="VP35" s="343">
        <f>SUM(Input[[#This Row],[M&amp;O Plnt E&amp;G]],Input[[#This Row],[M&amp;O Plnt Desg]],Input[[#This Row],[M&amp;O Plnt R Exp]],Input[[#This Row],[M&amp;O Plnt Loan]],Input[[#This Row],[M&amp;O Plnt Annuity]],Input[[#This Row],[M&amp;O Plnt Unexp]],Input[[#This Row],[M&amp;O Plnt R of Ind]],Input[[#This Row],[M&amp;O Plnt Inv in P]])</f>
        <v>33291001</v>
      </c>
      <c r="VQ35" s="343">
        <f>SUM(Input[[#This Row],[Schl &amp; Fell E&amp;G]],Input[[#This Row],[Schl &amp; Fell Desg]],Input[[#This Row],[Schl &amp; Fell R Exp]],Input[[#This Row],[Schl &amp; Fell Loan]],Input[[#This Row],[Schl &amp; Fell Annuity]],Input[[#This Row],[Schl &amp; Fell Unexp]],Input[[#This Row],[Schl &amp; Fell R of Ind]],Input[[#This Row],[Schl &amp; Fell Inv in P]])</f>
        <v>4648823</v>
      </c>
      <c r="VR35" s="343">
        <f>SUM(Input[[#This Row],[Cap Out fund E&amp;G]],Input[[#This Row],[Cap Out fund Desg]],Input[[#This Row],[Cap Out fund R Exp]],Input[[#This Row],[Cap Out fund Loan]],Input[[#This Row],[Cap Out fund Annuity]],Input[[#This Row],[Cap Out fund Unexp]],Input[[#This Row],[Cap Out fund R of Ind]],Input[[#This Row],[Cap Out fund Inv in P]])</f>
        <v>17643415</v>
      </c>
      <c r="VS35" s="343">
        <f>SUM(Input[[#This Row],[Oth Exp E&amp;G]],Input[[#This Row],[Oth Exp Desg]],Input[[#This Row],[Oth Exp R Exp]],Input[[#This Row],[Oth Exp Loan]],Input[[#This Row],[Oth Exp Annuity]],Input[[#This Row],[Oth Exp Unexp]],Input[[#This Row],[Oth Exp R of Ind]],Input[[#This Row],[Oth Exp Inv in P]],Input[[#This Row],[Oth Exp Inv in P]])</f>
        <v>1693547</v>
      </c>
    </row>
    <row r="36" spans="1:591" s="344" customFormat="1" ht="27" customHeight="1" x14ac:dyDescent="0.55000000000000004">
      <c r="A36" s="339" t="s">
        <v>706</v>
      </c>
      <c r="B36" s="334" t="s">
        <v>830</v>
      </c>
      <c r="C36" s="350" t="s">
        <v>1914</v>
      </c>
      <c r="D36" s="334">
        <v>630</v>
      </c>
      <c r="E36" s="334" t="s">
        <v>1622</v>
      </c>
      <c r="F36" s="335">
        <v>557</v>
      </c>
      <c r="G36" s="336">
        <v>12100510</v>
      </c>
      <c r="H36" s="336">
        <v>0</v>
      </c>
      <c r="I36" s="336">
        <v>0</v>
      </c>
      <c r="J36" s="336">
        <v>0</v>
      </c>
      <c r="K36" s="336">
        <v>0</v>
      </c>
      <c r="L36" s="336">
        <v>0</v>
      </c>
      <c r="M36" s="336">
        <v>0</v>
      </c>
      <c r="N36" s="336">
        <v>0</v>
      </c>
      <c r="O36" s="336">
        <v>0</v>
      </c>
      <c r="P36" s="336">
        <v>0</v>
      </c>
      <c r="Q36" s="336">
        <v>0</v>
      </c>
      <c r="R36" s="336">
        <v>0</v>
      </c>
      <c r="S36" s="336">
        <v>0</v>
      </c>
      <c r="T36" s="336">
        <v>0</v>
      </c>
      <c r="U36" s="336">
        <v>0</v>
      </c>
      <c r="V36" s="336">
        <v>0</v>
      </c>
      <c r="W36" s="336">
        <v>0</v>
      </c>
      <c r="X36" s="336">
        <v>0</v>
      </c>
      <c r="Y36" s="336">
        <v>0</v>
      </c>
      <c r="Z36" s="336">
        <v>0</v>
      </c>
      <c r="AA36" s="336">
        <v>0</v>
      </c>
      <c r="AB36" s="336">
        <v>0</v>
      </c>
      <c r="AC36" s="336">
        <v>0</v>
      </c>
      <c r="AD36" s="336">
        <v>0</v>
      </c>
      <c r="AE36" s="336">
        <v>0</v>
      </c>
      <c r="AF36" s="336">
        <v>0</v>
      </c>
      <c r="AG36" s="336">
        <v>0</v>
      </c>
      <c r="AH36" s="336">
        <v>0</v>
      </c>
      <c r="AI36" s="336">
        <v>0</v>
      </c>
      <c r="AJ36" s="336">
        <v>0</v>
      </c>
      <c r="AK36" s="336">
        <v>0</v>
      </c>
      <c r="AL36" s="336">
        <v>0</v>
      </c>
      <c r="AM36" s="336">
        <v>0</v>
      </c>
      <c r="AN36" s="336">
        <v>0</v>
      </c>
      <c r="AO36" s="336">
        <v>0</v>
      </c>
      <c r="AP36" s="336">
        <v>0</v>
      </c>
      <c r="AQ36" s="336">
        <v>0</v>
      </c>
      <c r="AR36" s="336">
        <v>0</v>
      </c>
      <c r="AS36" s="336">
        <v>0</v>
      </c>
      <c r="AT36" s="336">
        <v>0</v>
      </c>
      <c r="AU36" s="336">
        <v>0</v>
      </c>
      <c r="AV36" s="336">
        <v>0</v>
      </c>
      <c r="AW36" s="336">
        <v>0</v>
      </c>
      <c r="AX36" s="336">
        <v>0</v>
      </c>
      <c r="AY36" s="336">
        <v>0</v>
      </c>
      <c r="AZ36" s="336">
        <v>0</v>
      </c>
      <c r="BA36" s="336">
        <v>0</v>
      </c>
      <c r="BB36" s="336">
        <v>0</v>
      </c>
      <c r="BC36" s="336">
        <v>0</v>
      </c>
      <c r="BD36" s="336">
        <v>0</v>
      </c>
      <c r="BE36" s="336">
        <v>0</v>
      </c>
      <c r="BF36" s="336">
        <v>0</v>
      </c>
      <c r="BG36" s="336">
        <v>0</v>
      </c>
      <c r="BH36" s="336">
        <v>0</v>
      </c>
      <c r="BI36" s="336">
        <v>0</v>
      </c>
      <c r="BJ36" s="336">
        <v>0</v>
      </c>
      <c r="BK36" s="336">
        <v>0</v>
      </c>
      <c r="BL36" s="336">
        <v>0</v>
      </c>
      <c r="BM36" s="336">
        <v>0</v>
      </c>
      <c r="BN36" s="336">
        <v>0</v>
      </c>
      <c r="BO36" s="336">
        <v>0</v>
      </c>
      <c r="BP36" s="336">
        <v>0</v>
      </c>
      <c r="BQ36" s="336">
        <v>0</v>
      </c>
      <c r="BR36" s="336">
        <v>0</v>
      </c>
      <c r="BS36" s="336">
        <v>0</v>
      </c>
      <c r="BT36" s="336">
        <v>0</v>
      </c>
      <c r="BU36" s="336">
        <v>0</v>
      </c>
      <c r="BV36" s="336">
        <v>0</v>
      </c>
      <c r="BW36" s="336">
        <v>0</v>
      </c>
      <c r="BX36" s="336">
        <v>0</v>
      </c>
      <c r="BY36" s="336">
        <v>0</v>
      </c>
      <c r="BZ36" s="336">
        <v>0</v>
      </c>
      <c r="CA36" s="336">
        <v>0</v>
      </c>
      <c r="CB36" s="336">
        <v>0</v>
      </c>
      <c r="CC36" s="336">
        <v>0</v>
      </c>
      <c r="CD36" s="336">
        <v>0</v>
      </c>
      <c r="CE36" s="336">
        <v>0</v>
      </c>
      <c r="CF36" s="336">
        <v>0</v>
      </c>
      <c r="CG36" s="336">
        <v>0</v>
      </c>
      <c r="CH36" s="336">
        <v>0</v>
      </c>
      <c r="CI36" s="336">
        <v>0</v>
      </c>
      <c r="CJ36" s="336">
        <v>0</v>
      </c>
      <c r="CK36" s="336">
        <v>0</v>
      </c>
      <c r="CL36" s="336">
        <v>0</v>
      </c>
      <c r="CM36" s="336">
        <v>0</v>
      </c>
      <c r="CN36" s="336">
        <v>0</v>
      </c>
      <c r="CO36" s="336">
        <v>0</v>
      </c>
      <c r="CP36" s="336">
        <v>0</v>
      </c>
      <c r="CQ36" s="336">
        <v>0</v>
      </c>
      <c r="CR36" s="336">
        <v>0</v>
      </c>
      <c r="CS36" s="336">
        <v>0</v>
      </c>
      <c r="CT36" s="336">
        <v>0</v>
      </c>
      <c r="CU36" s="336">
        <v>0</v>
      </c>
      <c r="CV36" s="336">
        <v>0</v>
      </c>
      <c r="CW36" s="336">
        <v>0</v>
      </c>
      <c r="CX36" s="336">
        <v>0</v>
      </c>
      <c r="CY36" s="336">
        <v>0</v>
      </c>
      <c r="CZ36" s="336">
        <v>0</v>
      </c>
      <c r="DA36" s="336">
        <v>0</v>
      </c>
      <c r="DB36" s="336">
        <v>0</v>
      </c>
      <c r="DC36" s="336">
        <v>0</v>
      </c>
      <c r="DD36" s="336">
        <v>0</v>
      </c>
      <c r="DE36" s="336">
        <v>0</v>
      </c>
      <c r="DF36" s="336">
        <v>0</v>
      </c>
      <c r="DG36" s="336">
        <v>0</v>
      </c>
      <c r="DH36" s="336">
        <v>0</v>
      </c>
      <c r="DI36" s="336">
        <v>0</v>
      </c>
      <c r="DJ36" s="336">
        <v>0</v>
      </c>
      <c r="DK36" s="336">
        <v>0</v>
      </c>
      <c r="DL36" s="336">
        <v>0</v>
      </c>
      <c r="DM36" s="336">
        <v>0</v>
      </c>
      <c r="DN36" s="336">
        <v>0</v>
      </c>
      <c r="DO36" s="336">
        <v>0</v>
      </c>
      <c r="DP36" s="336">
        <v>0</v>
      </c>
      <c r="DQ36" s="336">
        <v>0</v>
      </c>
      <c r="DR36" s="336">
        <v>0</v>
      </c>
      <c r="DS36" s="336">
        <v>0</v>
      </c>
      <c r="DT36" s="336">
        <v>0</v>
      </c>
      <c r="DU36" s="336">
        <v>0</v>
      </c>
      <c r="DV36" s="336">
        <v>0</v>
      </c>
      <c r="DW36" s="336">
        <v>0</v>
      </c>
      <c r="DX36" s="336">
        <v>0</v>
      </c>
      <c r="DY36" s="336">
        <v>0</v>
      </c>
      <c r="DZ36" s="336">
        <v>0</v>
      </c>
      <c r="EA36" s="336">
        <v>0</v>
      </c>
      <c r="EB36" s="336">
        <v>0</v>
      </c>
      <c r="EC36" s="336">
        <v>0</v>
      </c>
      <c r="ED36" s="336">
        <v>0</v>
      </c>
      <c r="EE36" s="336">
        <v>0</v>
      </c>
      <c r="EF36" s="336">
        <v>0</v>
      </c>
      <c r="EG36" s="336">
        <v>0</v>
      </c>
      <c r="EH36" s="336">
        <v>0</v>
      </c>
      <c r="EI36" s="336">
        <v>0</v>
      </c>
      <c r="EJ36" s="336">
        <v>0</v>
      </c>
      <c r="EK36" s="336">
        <v>0</v>
      </c>
      <c r="EL36" s="336">
        <v>0</v>
      </c>
      <c r="EM36" s="336">
        <v>0</v>
      </c>
      <c r="EN36" s="336">
        <v>0</v>
      </c>
      <c r="EO36" s="336">
        <v>0</v>
      </c>
      <c r="EP36" s="336">
        <v>0</v>
      </c>
      <c r="EQ36" s="336">
        <v>0</v>
      </c>
      <c r="ER36" s="336">
        <v>0</v>
      </c>
      <c r="ES36" s="336">
        <v>0</v>
      </c>
      <c r="ET36" s="336">
        <v>0</v>
      </c>
      <c r="EU36" s="336">
        <v>0</v>
      </c>
      <c r="EV36" s="336">
        <v>0</v>
      </c>
      <c r="EW36" s="336">
        <v>0</v>
      </c>
      <c r="EX36" s="336">
        <v>0</v>
      </c>
      <c r="EY36" s="336">
        <v>0</v>
      </c>
      <c r="EZ36" s="336">
        <v>0</v>
      </c>
      <c r="FA36" s="336">
        <v>0</v>
      </c>
      <c r="FB36" s="336">
        <v>0</v>
      </c>
      <c r="FC36" s="336">
        <v>0</v>
      </c>
      <c r="FD36" s="336">
        <v>0</v>
      </c>
      <c r="FE36" s="336">
        <v>0</v>
      </c>
      <c r="FF36" s="336">
        <v>0</v>
      </c>
      <c r="FG36" s="336">
        <v>0</v>
      </c>
      <c r="FH36" s="336">
        <v>0</v>
      </c>
      <c r="FI36" s="336">
        <v>0</v>
      </c>
      <c r="FJ36" s="336">
        <v>0</v>
      </c>
      <c r="FK36" s="336">
        <v>0</v>
      </c>
      <c r="FL36" s="336">
        <v>0</v>
      </c>
      <c r="FM36" s="336">
        <v>0</v>
      </c>
      <c r="FN36" s="336">
        <v>0</v>
      </c>
      <c r="FO36" s="336">
        <v>0</v>
      </c>
      <c r="FP36" s="336">
        <v>0</v>
      </c>
      <c r="FQ36" s="336">
        <v>0</v>
      </c>
      <c r="FR36" s="336">
        <v>0</v>
      </c>
      <c r="FS36" s="336">
        <v>0</v>
      </c>
      <c r="FT36" s="336">
        <v>0</v>
      </c>
      <c r="FU36" s="336">
        <v>0</v>
      </c>
      <c r="FV36" s="336">
        <v>0</v>
      </c>
      <c r="FW36" s="336">
        <v>0</v>
      </c>
      <c r="FX36" s="336">
        <v>0</v>
      </c>
      <c r="FY36" s="336">
        <v>0</v>
      </c>
      <c r="FZ36" s="336">
        <v>0</v>
      </c>
      <c r="GA36" s="336">
        <v>0</v>
      </c>
      <c r="GB36" s="336">
        <v>0</v>
      </c>
      <c r="GC36" s="336">
        <v>0</v>
      </c>
      <c r="GD36" s="336">
        <v>0</v>
      </c>
      <c r="GE36" s="336">
        <v>0</v>
      </c>
      <c r="GF36" s="336">
        <v>0</v>
      </c>
      <c r="GG36" s="336">
        <v>0</v>
      </c>
      <c r="GH36" s="336">
        <v>0</v>
      </c>
      <c r="GI36" s="336">
        <v>0</v>
      </c>
      <c r="GJ36" s="336">
        <v>0</v>
      </c>
      <c r="GK36" s="336">
        <v>0</v>
      </c>
      <c r="GL36" s="336">
        <v>0</v>
      </c>
      <c r="GM36" s="336">
        <v>0</v>
      </c>
      <c r="GN36" s="336">
        <v>0</v>
      </c>
      <c r="GO36" s="336">
        <v>0</v>
      </c>
      <c r="GP36" s="336">
        <v>0</v>
      </c>
      <c r="GQ36" s="336">
        <v>0</v>
      </c>
      <c r="GR36" s="336">
        <v>0</v>
      </c>
      <c r="GS36" s="336">
        <v>0</v>
      </c>
      <c r="GT36" s="336">
        <v>0</v>
      </c>
      <c r="GU36" s="336">
        <v>0</v>
      </c>
      <c r="GV36" s="336">
        <v>0</v>
      </c>
      <c r="GW36" s="336">
        <v>0</v>
      </c>
      <c r="GX36" s="336">
        <v>0</v>
      </c>
      <c r="GY36" s="336">
        <v>0</v>
      </c>
      <c r="GZ36" s="336">
        <v>0</v>
      </c>
      <c r="HA36" s="336">
        <v>0</v>
      </c>
      <c r="HB36" s="336">
        <v>0</v>
      </c>
      <c r="HC36" s="336">
        <v>0</v>
      </c>
      <c r="HD36" s="336">
        <v>0</v>
      </c>
      <c r="HE36" s="336">
        <v>0</v>
      </c>
      <c r="HF36" s="336">
        <v>0</v>
      </c>
      <c r="HG36" s="336">
        <v>0</v>
      </c>
      <c r="HH36" s="336">
        <v>0</v>
      </c>
      <c r="HI36" s="336">
        <v>0</v>
      </c>
      <c r="HJ36" s="336">
        <v>0</v>
      </c>
      <c r="HK36" s="336">
        <v>0</v>
      </c>
      <c r="HL36" s="336">
        <v>0</v>
      </c>
      <c r="HM36" s="336">
        <v>0</v>
      </c>
      <c r="HN36" s="336">
        <v>0</v>
      </c>
      <c r="HO36" s="336">
        <v>0</v>
      </c>
      <c r="HP36" s="336">
        <v>213554</v>
      </c>
      <c r="HQ36" s="336">
        <v>0</v>
      </c>
      <c r="HR36" s="336">
        <v>1100766</v>
      </c>
      <c r="HS36" s="336">
        <v>0</v>
      </c>
      <c r="HT36" s="336">
        <v>0</v>
      </c>
      <c r="HU36" s="336">
        <v>0</v>
      </c>
      <c r="HV36" s="336">
        <v>0</v>
      </c>
      <c r="HW36" s="336">
        <v>0</v>
      </c>
      <c r="HX36" s="336">
        <v>0</v>
      </c>
      <c r="HY36" s="336">
        <v>0</v>
      </c>
      <c r="HZ36" s="336">
        <v>0</v>
      </c>
      <c r="IA36" s="336">
        <v>0</v>
      </c>
      <c r="IB36" s="336">
        <v>0</v>
      </c>
      <c r="IC36" s="336">
        <v>0</v>
      </c>
      <c r="ID36" s="336">
        <v>0</v>
      </c>
      <c r="IE36" s="336">
        <v>0</v>
      </c>
      <c r="IF36" s="336">
        <v>0</v>
      </c>
      <c r="IG36" s="336">
        <v>0</v>
      </c>
      <c r="IH36" s="336">
        <v>0</v>
      </c>
      <c r="II36" s="336">
        <v>0</v>
      </c>
      <c r="IJ36" s="336">
        <v>0</v>
      </c>
      <c r="IK36" s="336">
        <v>0</v>
      </c>
      <c r="IL36" s="336">
        <v>0</v>
      </c>
      <c r="IM36" s="336">
        <v>0</v>
      </c>
      <c r="IN36" s="336">
        <v>0</v>
      </c>
      <c r="IO36" s="336">
        <v>0</v>
      </c>
      <c r="IP36" s="336">
        <v>581760</v>
      </c>
      <c r="IQ36" s="336">
        <v>0</v>
      </c>
      <c r="IR36" s="336">
        <v>0</v>
      </c>
      <c r="IS36" s="336">
        <v>0</v>
      </c>
      <c r="IT36" s="336">
        <v>0</v>
      </c>
      <c r="IU36" s="336">
        <v>0</v>
      </c>
      <c r="IV36" s="336">
        <v>0</v>
      </c>
      <c r="IW36" s="336">
        <v>0</v>
      </c>
      <c r="IX36" s="336">
        <v>0</v>
      </c>
      <c r="IY36" s="336">
        <v>0</v>
      </c>
      <c r="IZ36" s="336">
        <v>0</v>
      </c>
      <c r="JA36" s="336">
        <v>0</v>
      </c>
      <c r="JB36" s="336">
        <v>0</v>
      </c>
      <c r="JC36" s="336">
        <v>0</v>
      </c>
      <c r="JD36" s="336">
        <v>0</v>
      </c>
      <c r="JE36" s="336">
        <v>0</v>
      </c>
      <c r="JF36" s="336">
        <v>0</v>
      </c>
      <c r="JG36" s="336">
        <v>0</v>
      </c>
      <c r="JH36" s="336">
        <v>0</v>
      </c>
      <c r="JI36" s="336">
        <v>213580</v>
      </c>
      <c r="JJ36" s="336">
        <v>0</v>
      </c>
      <c r="JK36" s="336">
        <v>0</v>
      </c>
      <c r="JL36" s="336">
        <v>0</v>
      </c>
      <c r="JM36" s="336">
        <v>0</v>
      </c>
      <c r="JN36" s="336">
        <v>0</v>
      </c>
      <c r="JO36" s="336">
        <v>0</v>
      </c>
      <c r="JP36" s="336">
        <v>0</v>
      </c>
      <c r="JQ36" s="336">
        <v>17311438</v>
      </c>
      <c r="JR36" s="336">
        <v>25503</v>
      </c>
      <c r="JS36" s="336">
        <v>0</v>
      </c>
      <c r="JT36" s="336">
        <v>0</v>
      </c>
      <c r="JU36" s="336">
        <v>0</v>
      </c>
      <c r="JV36" s="336">
        <v>0</v>
      </c>
      <c r="JW36" s="336">
        <v>0</v>
      </c>
      <c r="JX36" s="336">
        <v>0</v>
      </c>
      <c r="JY36" s="336">
        <v>0</v>
      </c>
      <c r="JZ36" s="336">
        <v>0</v>
      </c>
      <c r="KA36" s="336">
        <v>0</v>
      </c>
      <c r="KB36" s="336">
        <v>0</v>
      </c>
      <c r="KC36" s="336">
        <v>0</v>
      </c>
      <c r="KD36" s="336">
        <v>0</v>
      </c>
      <c r="KE36" s="336">
        <v>0</v>
      </c>
      <c r="KF36" s="336">
        <v>0</v>
      </c>
      <c r="KG36" s="336">
        <v>0</v>
      </c>
      <c r="KH36" s="336">
        <v>0</v>
      </c>
      <c r="KI36" s="336">
        <v>0</v>
      </c>
      <c r="KJ36" s="336">
        <v>36652</v>
      </c>
      <c r="KK36" s="336">
        <v>0</v>
      </c>
      <c r="KL36" s="336">
        <v>0</v>
      </c>
      <c r="KM36" s="336">
        <v>0</v>
      </c>
      <c r="KN36" s="336">
        <v>0</v>
      </c>
      <c r="KO36" s="336">
        <v>0</v>
      </c>
      <c r="KP36" s="336">
        <v>0</v>
      </c>
      <c r="KQ36" s="336">
        <v>0</v>
      </c>
      <c r="KR36" s="336">
        <v>0</v>
      </c>
      <c r="KS36" s="336">
        <v>0</v>
      </c>
      <c r="KT36" s="336">
        <v>0</v>
      </c>
      <c r="KU36" s="336">
        <v>0</v>
      </c>
      <c r="KV36" s="336">
        <v>0</v>
      </c>
      <c r="KW36" s="336">
        <v>0</v>
      </c>
      <c r="KX36" s="336">
        <v>0</v>
      </c>
      <c r="KY36" s="336">
        <v>0</v>
      </c>
      <c r="KZ36" s="336">
        <v>0</v>
      </c>
      <c r="LA36" s="336">
        <v>0</v>
      </c>
      <c r="LB36" s="336">
        <v>0</v>
      </c>
      <c r="LC36" s="336">
        <v>0</v>
      </c>
      <c r="LD36" s="336">
        <v>810549</v>
      </c>
      <c r="LE36" s="336">
        <v>0</v>
      </c>
      <c r="LF36" s="336">
        <v>0</v>
      </c>
      <c r="LG36" s="336">
        <v>0</v>
      </c>
      <c r="LH36" s="336">
        <v>0</v>
      </c>
      <c r="LI36" s="336">
        <v>0</v>
      </c>
      <c r="LJ36" s="336">
        <v>23287937</v>
      </c>
      <c r="LK36" s="336">
        <v>309459</v>
      </c>
      <c r="LL36" s="336">
        <v>0</v>
      </c>
      <c r="LM36" s="336">
        <v>0</v>
      </c>
      <c r="LN36" s="336">
        <v>0</v>
      </c>
      <c r="LO36" s="336">
        <v>0</v>
      </c>
      <c r="LP36" s="336">
        <v>0</v>
      </c>
      <c r="LQ36" s="336">
        <v>0</v>
      </c>
      <c r="LR36" s="336">
        <v>0</v>
      </c>
      <c r="LS36" s="336">
        <v>0</v>
      </c>
      <c r="LT36" s="336">
        <v>0</v>
      </c>
      <c r="LU36" s="336">
        <v>0</v>
      </c>
      <c r="LV36" s="336">
        <v>0</v>
      </c>
      <c r="LW36" s="336">
        <v>0</v>
      </c>
      <c r="LX36" s="336">
        <v>0</v>
      </c>
      <c r="LY36" s="336">
        <v>0</v>
      </c>
      <c r="LZ36" s="336">
        <v>0</v>
      </c>
      <c r="MA36" s="336">
        <v>0</v>
      </c>
      <c r="MB36" s="336">
        <v>0</v>
      </c>
      <c r="MC36" s="336">
        <v>0</v>
      </c>
      <c r="MD36" s="336">
        <v>0</v>
      </c>
      <c r="ME36" s="336">
        <v>0</v>
      </c>
      <c r="MF36" s="336">
        <v>0</v>
      </c>
      <c r="MG36" s="336">
        <v>0</v>
      </c>
      <c r="MH36" s="336">
        <v>0</v>
      </c>
      <c r="MI36" s="336">
        <v>0</v>
      </c>
      <c r="MJ36" s="336">
        <v>0</v>
      </c>
      <c r="MK36" s="336">
        <v>0</v>
      </c>
      <c r="ML36" s="336">
        <v>0</v>
      </c>
      <c r="MM36" s="336">
        <v>0</v>
      </c>
      <c r="MN36" s="336">
        <v>0</v>
      </c>
      <c r="MO36" s="336">
        <v>0</v>
      </c>
      <c r="MP36" s="336">
        <v>0</v>
      </c>
      <c r="MQ36" s="336">
        <v>0</v>
      </c>
      <c r="MR36" s="336">
        <v>0</v>
      </c>
      <c r="MS36" s="336">
        <v>0</v>
      </c>
      <c r="MT36" s="336">
        <v>1778073</v>
      </c>
      <c r="MU36" s="336">
        <v>71472</v>
      </c>
      <c r="MV36" s="336">
        <v>0</v>
      </c>
      <c r="MW36" s="336">
        <v>0</v>
      </c>
      <c r="MX36" s="336">
        <v>0</v>
      </c>
      <c r="MY36" s="336">
        <v>0</v>
      </c>
      <c r="MZ36" s="336">
        <v>0</v>
      </c>
      <c r="NA36" s="336">
        <v>0</v>
      </c>
      <c r="NB36" s="336">
        <v>0</v>
      </c>
      <c r="NC36" s="336">
        <v>0</v>
      </c>
      <c r="ND36" s="336">
        <v>0</v>
      </c>
      <c r="NE36" s="336">
        <v>0</v>
      </c>
      <c r="NF36" s="336">
        <v>0</v>
      </c>
      <c r="NG36" s="336">
        <v>0</v>
      </c>
      <c r="NH36" s="336">
        <v>0</v>
      </c>
      <c r="NI36" s="336">
        <v>0</v>
      </c>
      <c r="NJ36" s="336">
        <v>0</v>
      </c>
      <c r="NK36" s="336">
        <v>0</v>
      </c>
      <c r="NL36" s="336">
        <v>0</v>
      </c>
      <c r="NM36" s="336">
        <v>0</v>
      </c>
      <c r="NN36" s="336">
        <v>0</v>
      </c>
      <c r="NO36" s="336">
        <v>0</v>
      </c>
      <c r="NP36" s="336">
        <v>0</v>
      </c>
      <c r="NQ36" s="336">
        <v>0</v>
      </c>
      <c r="NR36" s="336">
        <v>0</v>
      </c>
      <c r="NS36" s="336">
        <v>0</v>
      </c>
      <c r="NT36" s="336">
        <v>0</v>
      </c>
      <c r="NU36" s="336">
        <v>0</v>
      </c>
      <c r="NV36" s="336">
        <v>0</v>
      </c>
      <c r="NW36" s="336">
        <v>0</v>
      </c>
      <c r="NX36" s="336">
        <v>0</v>
      </c>
      <c r="NY36" s="336">
        <v>0</v>
      </c>
      <c r="NZ36" s="336">
        <v>0</v>
      </c>
      <c r="OA36" s="336">
        <v>0</v>
      </c>
      <c r="OB36" s="336">
        <v>0</v>
      </c>
      <c r="OC36" s="336">
        <v>0</v>
      </c>
      <c r="OD36" s="336">
        <v>1179493</v>
      </c>
      <c r="OE36" s="336">
        <v>6591</v>
      </c>
      <c r="OF36" s="336">
        <v>0</v>
      </c>
      <c r="OG36" s="336">
        <v>289612</v>
      </c>
      <c r="OH36" s="336">
        <v>0</v>
      </c>
      <c r="OI36" s="336">
        <v>0</v>
      </c>
      <c r="OJ36" s="336">
        <v>0</v>
      </c>
      <c r="OK36" s="336">
        <v>0</v>
      </c>
      <c r="OL36" s="336">
        <v>0</v>
      </c>
      <c r="OM36" s="336">
        <v>0</v>
      </c>
      <c r="ON36" s="336">
        <v>0</v>
      </c>
      <c r="OO36" s="336">
        <v>0</v>
      </c>
      <c r="OP36" s="336">
        <v>0</v>
      </c>
      <c r="OQ36" s="336">
        <v>0</v>
      </c>
      <c r="OR36" s="336">
        <v>0</v>
      </c>
      <c r="OS36" s="336">
        <v>0</v>
      </c>
      <c r="OT36" s="336">
        <v>0</v>
      </c>
      <c r="OU36" s="336">
        <v>11609</v>
      </c>
      <c r="OV36" s="336">
        <v>0</v>
      </c>
      <c r="OW36" s="336">
        <v>0</v>
      </c>
      <c r="OX36" s="336">
        <v>0</v>
      </c>
      <c r="OY36" s="336">
        <v>0</v>
      </c>
      <c r="OZ36" s="336">
        <v>0</v>
      </c>
      <c r="PA36" s="336">
        <v>0</v>
      </c>
      <c r="PB36" s="336">
        <v>0</v>
      </c>
      <c r="PC36" s="336">
        <v>0</v>
      </c>
      <c r="PD36" s="336">
        <v>0</v>
      </c>
      <c r="PE36" s="336">
        <v>0</v>
      </c>
      <c r="PF36" s="336">
        <v>1300000</v>
      </c>
      <c r="PG36" s="336">
        <v>0</v>
      </c>
      <c r="PH36" s="336">
        <v>0</v>
      </c>
      <c r="PI36" s="336">
        <v>0</v>
      </c>
      <c r="PJ36" s="336">
        <v>0</v>
      </c>
      <c r="PK36" s="336">
        <v>0</v>
      </c>
      <c r="PL36" s="336">
        <v>0</v>
      </c>
      <c r="PM36" s="336">
        <v>0</v>
      </c>
      <c r="PN36" s="336">
        <v>0</v>
      </c>
      <c r="PO36" s="336">
        <v>0</v>
      </c>
      <c r="PP36" s="336">
        <v>0</v>
      </c>
      <c r="PQ36" s="336">
        <v>0</v>
      </c>
      <c r="PR36" s="336">
        <v>0</v>
      </c>
      <c r="PS36" s="336">
        <v>0</v>
      </c>
      <c r="PT36" s="336">
        <v>0</v>
      </c>
      <c r="PU36" s="336">
        <v>0</v>
      </c>
      <c r="PV36" s="336">
        <v>0</v>
      </c>
      <c r="PW36" s="336">
        <v>-3170150</v>
      </c>
      <c r="PX36" s="336">
        <v>0</v>
      </c>
      <c r="PY36" s="336">
        <v>0</v>
      </c>
      <c r="PZ36" s="336">
        <v>0</v>
      </c>
      <c r="QA36" s="336">
        <v>0</v>
      </c>
      <c r="QB36" s="336">
        <v>0</v>
      </c>
      <c r="QC36" s="336">
        <v>0</v>
      </c>
      <c r="QD36" s="336">
        <v>0</v>
      </c>
      <c r="QE36" s="336">
        <v>0</v>
      </c>
      <c r="QF36" s="336">
        <v>0</v>
      </c>
      <c r="QG36" s="336">
        <v>0</v>
      </c>
      <c r="QH36" s="336">
        <v>0</v>
      </c>
      <c r="QI36" s="336">
        <v>0</v>
      </c>
      <c r="QJ36" s="336">
        <v>0</v>
      </c>
      <c r="QK36" s="336">
        <v>0</v>
      </c>
      <c r="QL36" s="336">
        <v>0</v>
      </c>
      <c r="QM36" s="336">
        <v>0</v>
      </c>
      <c r="QN36" s="336">
        <v>0</v>
      </c>
      <c r="QO36" s="336">
        <v>0</v>
      </c>
      <c r="QP36" s="336">
        <v>0</v>
      </c>
      <c r="QQ36" s="336">
        <v>0</v>
      </c>
      <c r="QR36" s="336">
        <v>0</v>
      </c>
      <c r="QS36" s="336">
        <v>0</v>
      </c>
      <c r="QT36" s="336">
        <v>0</v>
      </c>
      <c r="QU36" s="336">
        <v>0</v>
      </c>
      <c r="QV36" s="336">
        <v>0</v>
      </c>
      <c r="QW36" s="336">
        <v>0</v>
      </c>
      <c r="QX36" s="336">
        <v>0</v>
      </c>
      <c r="QY36" s="336">
        <v>0</v>
      </c>
      <c r="QZ36" s="336">
        <v>0</v>
      </c>
      <c r="RA36" s="336">
        <v>0</v>
      </c>
      <c r="RB36" s="336">
        <v>0</v>
      </c>
      <c r="RC36" s="336">
        <v>0</v>
      </c>
      <c r="RD36" s="336">
        <v>0</v>
      </c>
      <c r="RE36" s="336">
        <v>0</v>
      </c>
      <c r="RF36" s="336">
        <v>0</v>
      </c>
      <c r="RG36" s="336">
        <v>0</v>
      </c>
      <c r="RH36" s="336">
        <v>0</v>
      </c>
      <c r="RI36" s="336">
        <v>0</v>
      </c>
      <c r="RJ36" s="336">
        <v>0</v>
      </c>
      <c r="RK36" s="336">
        <v>0</v>
      </c>
      <c r="RL36" s="336">
        <v>0</v>
      </c>
      <c r="RM36" s="336">
        <v>0</v>
      </c>
      <c r="RN36" s="336">
        <v>0</v>
      </c>
      <c r="RO36" s="336">
        <v>-4826498</v>
      </c>
      <c r="RP36" s="336">
        <v>0</v>
      </c>
      <c r="RQ36" s="336">
        <v>0</v>
      </c>
      <c r="RR36" s="336">
        <v>0</v>
      </c>
      <c r="RS36" s="336">
        <v>0</v>
      </c>
      <c r="RT36" s="336">
        <v>0</v>
      </c>
      <c r="RU36" s="336">
        <v>0</v>
      </c>
      <c r="RV36" s="336">
        <v>0</v>
      </c>
      <c r="RW36" s="336">
        <v>0</v>
      </c>
      <c r="RX36" s="336">
        <v>0</v>
      </c>
      <c r="RY36" s="336">
        <v>0</v>
      </c>
      <c r="RZ36" s="336">
        <v>0</v>
      </c>
      <c r="SA36" s="336">
        <v>0</v>
      </c>
      <c r="SB36" s="336">
        <v>0</v>
      </c>
      <c r="SC36" s="336">
        <v>0</v>
      </c>
      <c r="SD36" s="336">
        <v>0</v>
      </c>
      <c r="SE36" s="336">
        <v>0</v>
      </c>
      <c r="SF36" s="336">
        <v>0</v>
      </c>
      <c r="SG36" s="336">
        <v>0</v>
      </c>
      <c r="SH36" s="336">
        <v>0</v>
      </c>
      <c r="SI36" s="336">
        <v>0</v>
      </c>
      <c r="SJ36" s="336">
        <v>0</v>
      </c>
      <c r="SK36" s="336">
        <v>0</v>
      </c>
      <c r="SL36" s="336">
        <v>0</v>
      </c>
      <c r="SM36" s="336">
        <v>0</v>
      </c>
      <c r="SN36" s="336">
        <v>0</v>
      </c>
      <c r="SO36" s="336">
        <v>0</v>
      </c>
      <c r="SP36" s="336">
        <v>0</v>
      </c>
      <c r="SQ36" s="336">
        <v>1179493</v>
      </c>
      <c r="SR36" s="336">
        <v>6591</v>
      </c>
      <c r="SS36" s="336">
        <v>0</v>
      </c>
      <c r="ST36" s="336">
        <v>289612</v>
      </c>
      <c r="SU36" s="336">
        <v>0</v>
      </c>
      <c r="SV36" s="336">
        <v>0</v>
      </c>
      <c r="SW36" s="336">
        <v>0</v>
      </c>
      <c r="SX36" s="336">
        <v>0</v>
      </c>
      <c r="SY36" s="336">
        <v>0</v>
      </c>
      <c r="SZ36" s="336" t="s">
        <v>1420</v>
      </c>
      <c r="TA36" s="336" t="s">
        <v>1420</v>
      </c>
      <c r="TB36" s="336" t="s">
        <v>1420</v>
      </c>
      <c r="TC36" s="336">
        <v>0</v>
      </c>
      <c r="TD36" s="336">
        <v>289612</v>
      </c>
      <c r="TE36" s="336">
        <v>1179493</v>
      </c>
      <c r="TF36" s="336">
        <v>0</v>
      </c>
      <c r="TG36" s="336">
        <v>0</v>
      </c>
      <c r="TH36" s="336">
        <v>0</v>
      </c>
      <c r="TI36" s="336">
        <v>6591</v>
      </c>
      <c r="TJ36" s="336">
        <v>0</v>
      </c>
      <c r="TK36" s="336">
        <v>0</v>
      </c>
      <c r="TL36" s="336">
        <v>0</v>
      </c>
      <c r="TM36" s="336">
        <v>0</v>
      </c>
      <c r="TN36" s="336">
        <v>0</v>
      </c>
      <c r="TO36" s="336">
        <v>0</v>
      </c>
      <c r="TP36" s="336">
        <v>0</v>
      </c>
      <c r="TQ36" s="336">
        <v>0</v>
      </c>
      <c r="TR36" s="336">
        <v>0</v>
      </c>
      <c r="TS36" s="336">
        <v>0</v>
      </c>
      <c r="TT36" s="336">
        <v>0</v>
      </c>
      <c r="TU36" s="336">
        <v>0</v>
      </c>
      <c r="TV36" s="336">
        <v>0</v>
      </c>
      <c r="TW36" s="336">
        <v>0</v>
      </c>
      <c r="TX36" s="336">
        <v>0</v>
      </c>
      <c r="TY36" s="336">
        <v>0</v>
      </c>
      <c r="TZ36" s="336">
        <v>0</v>
      </c>
      <c r="UA36" s="336">
        <v>0</v>
      </c>
      <c r="UB36" s="336">
        <v>0</v>
      </c>
      <c r="UC36" s="336">
        <v>0</v>
      </c>
      <c r="UD36" s="336">
        <v>0</v>
      </c>
      <c r="UE36" s="336">
        <v>0</v>
      </c>
      <c r="UF36" s="336">
        <v>0</v>
      </c>
      <c r="UG36" s="336">
        <v>0</v>
      </c>
      <c r="UH36" s="336">
        <v>0</v>
      </c>
      <c r="UI36" s="336">
        <v>810549</v>
      </c>
      <c r="UJ36" s="336">
        <v>23597396</v>
      </c>
      <c r="UK36" s="336">
        <v>0</v>
      </c>
      <c r="UL36" s="336">
        <v>0</v>
      </c>
      <c r="UM36" s="336">
        <v>0</v>
      </c>
      <c r="UN36" s="336">
        <v>1849545</v>
      </c>
      <c r="UO36" s="336">
        <v>0</v>
      </c>
      <c r="UP36" s="336">
        <v>0</v>
      </c>
      <c r="UQ36" s="336">
        <v>0</v>
      </c>
      <c r="UR36"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1475696</v>
      </c>
      <c r="US36" s="338">
        <f>SUM(Input[[#This Row],[Oth Exp E&amp;G]],Input[[#This Row],[Oth Exp Desg]],Input[[#This Row],[Oth Exp Aux]],Input[[#This Row],[Oth Exp R Exp]],Input[[#This Row],[Oth Exp Loan]],Input[[#This Row],[Oth Exp Annuity]],Input[[#This Row],[Oth Exp Unexp]],Input[[#This Row],[Oth Exp R of Ind]],Input[[#This Row],[Oth Exp Inv in P]])</f>
        <v>11609</v>
      </c>
      <c r="UT36" s="336">
        <v>1968818</v>
      </c>
      <c r="UU36" s="336">
        <v>0</v>
      </c>
      <c r="UV36" s="339" t="s">
        <v>1432</v>
      </c>
      <c r="UW36" s="340">
        <v>9798459761</v>
      </c>
      <c r="UX36" s="339" t="s">
        <v>1433</v>
      </c>
      <c r="UY36" s="339" t="s">
        <v>1589</v>
      </c>
      <c r="UZ36" s="340">
        <v>9793215529</v>
      </c>
      <c r="VA36" s="339" t="s">
        <v>1590</v>
      </c>
      <c r="VB36" s="341" t="str" cm="1">
        <f t="array" ref="VB36">IFERROR(_xlfn.IFS(Input[[#This Row],[Type]]="HRI",VLOOKUP(Input[[#This Row],[Institution Name]],FTSEHRI[],9,FALSE),Input[[#This Row],[Type]]="UNIV",VLOOKUP(Input[[#This Row],[Institution Name]],FTSEUNIV[],9,FALSE),OR(Input[[#This Row],[Type]]="TSTC",Input[[#This Row],[Type]]="LSC"),VLOOKUP(Input[[#This Row],[Institution Name]],FTSETSTC[],8,FALSE)),"N/A")</f>
        <v>N/A</v>
      </c>
      <c r="VC36" s="342" t="str" cm="1">
        <f t="array" ref="VC36">IFERROR(_xlfn.IFS(Input[[#This Row],[Type]]="HRI",VLOOKUP(Input[[#This Row],[Institution Name]],FTSEHRI[],11,FALSE),Input[[#This Row],[Type]]="UNIV",VLOOKUP(Input[[#This Row],[Institution Name]],FTSEUNIV[],11,FALSE),Input[[#This Row],[Type]]="TSTC",VLOOKUP(Input[[#This Row],[Institution Name]],FTSETSTC[],10,FALSE)),"N/A")</f>
        <v>N/A</v>
      </c>
      <c r="VD36"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12100510</v>
      </c>
      <c r="VE36"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36" s="338">
        <f>SUM(Input[[#This Row],[Fed G&amp;C E&amp;G]],Input[[#This Row],[Fed G&amp;C Desg]],Input[[#This Row],[Fed G&amp;C R Exp]],Input[[#This Row],[Fed G&amp;C Loan]],Input[[#This Row],[Fed G&amp;C Annuity]],Input[[#This Row],[Fed G&amp;C Unexp]],Input[[#This Row],[Fed G&amp;C R of Ind]],Input[[#This Row],[Fed G&amp;C Inv in P]])</f>
        <v>1314320</v>
      </c>
      <c r="VG36"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18168933</v>
      </c>
      <c r="VH36"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0</v>
      </c>
      <c r="VI36"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J36" s="338">
        <f>SUM(Input[[#This Row],[Oth Inc E&amp;G]],Input[[#This Row],[Oth Exp Desg]],Input[[#This Row],[Oth Exp R Exp]],Input[[#This Row],[Oth Exp Loan]],Input[[#This Row],[Oth Exp Annuity]],Input[[#This Row],[Oth Exp Unexp]],Input[[#This Row],[Oth Exp R of Ind]],Input[[#This Row],[Oth Exp Inv in P]])</f>
        <v>11609</v>
      </c>
      <c r="VK36" s="343">
        <f>SUM(Input[[#This Row],[Instr E&amp;G]],Input[[#This Row],[Instr Desg]],Input[[#This Row],[Instr R Exp]],Input[[#This Row],[Instr Loan]],Input[[#This Row],[Instr Annuity]],Input[[#This Row],[Instr Unexp]],Input[[#This Row],[Instr R of Ind]],Input[[#This Row],[Instr Inv in P]])</f>
        <v>0</v>
      </c>
      <c r="VL36" s="343">
        <f>SUM(Input[[#This Row],[Res E&amp;G]],Input[[#This Row],[Res Desg]],Input[[#This Row],[Res R Exp]],Input[[#This Row],[Res Loan]],Input[[#This Row],[Res Annuity]],Input[[#This Row],[Res Unexp]],Input[[#This Row],[Res R of Ind]],Input[[#This Row],[Res Inv in P]])</f>
        <v>810549</v>
      </c>
      <c r="VM36" s="343">
        <f>SUM(Input[[#This Row],[Acad Sup E&amp;G]],Input[[#This Row],[Acad Sup Desg]],Input[[#This Row],[Acad Sup R Exp]],Input[[#This Row],[Acad Sup Loan]],Input[[#This Row],[Acad Sup Annuity]],Input[[#This Row],[Acad Sup Unexp]],Input[[#This Row],[Acad Sup R of Ind]],Input[[#This Row],[Acad Sup Inv in P]])</f>
        <v>0</v>
      </c>
      <c r="VN36" s="343">
        <f>SUM(Input[[#This Row],[Stu Svc E&amp;G]],Input[[#This Row],[Stu Svc Desg]],Input[[#This Row],[Stu Svc R Exp]],Input[[#This Row],[Stu Svc Loan]],Input[[#This Row],[Stu Svc Annuity]],Input[[#This Row],[Stu Svc Unexp]],Input[[#This Row],[Stu Svc R of Ind]],Input[[#This Row],[Stu Svc Inv in P]])</f>
        <v>0</v>
      </c>
      <c r="VO36" s="343">
        <f>SUM(Input[[#This Row],[Inst. Spt E&amp;G]],Input[[#This Row],[Inst. Spt Desg]],Input[[#This Row],[Inst. Spt R Exp]],Input[[#This Row],[Inst. Spt Loan]],Input[[#This Row],[Inst. Spt Annuity]],Input[[#This Row],[Inst. Spt Unexp]],Input[[#This Row],[Inst. Spt R of Ind]],Input[[#This Row],[Inst. Spt Inv in P]])</f>
        <v>1849545</v>
      </c>
      <c r="VP36" s="343">
        <f>SUM(Input[[#This Row],[M&amp;O Plnt E&amp;G]],Input[[#This Row],[M&amp;O Plnt Desg]],Input[[#This Row],[M&amp;O Plnt R Exp]],Input[[#This Row],[M&amp;O Plnt Loan]],Input[[#This Row],[M&amp;O Plnt Annuity]],Input[[#This Row],[M&amp;O Plnt Unexp]],Input[[#This Row],[M&amp;O Plnt R of Ind]],Input[[#This Row],[M&amp;O Plnt Inv in P]])</f>
        <v>0</v>
      </c>
      <c r="VQ36" s="343">
        <f>SUM(Input[[#This Row],[Schl &amp; Fell E&amp;G]],Input[[#This Row],[Schl &amp; Fell Desg]],Input[[#This Row],[Schl &amp; Fell R Exp]],Input[[#This Row],[Schl &amp; Fell Loan]],Input[[#This Row],[Schl &amp; Fell Annuity]],Input[[#This Row],[Schl &amp; Fell Unexp]],Input[[#This Row],[Schl &amp; Fell R of Ind]],Input[[#This Row],[Schl &amp; Fell Inv in P]])</f>
        <v>0</v>
      </c>
      <c r="VR36" s="343">
        <f>SUM(Input[[#This Row],[Cap Out fund E&amp;G]],Input[[#This Row],[Cap Out fund Desg]],Input[[#This Row],[Cap Out fund R Exp]],Input[[#This Row],[Cap Out fund Loan]],Input[[#This Row],[Cap Out fund Annuity]],Input[[#This Row],[Cap Out fund Unexp]],Input[[#This Row],[Cap Out fund R of Ind]],Input[[#This Row],[Cap Out fund Inv in P]])</f>
        <v>1475696</v>
      </c>
      <c r="VS36" s="343">
        <f>SUM(Input[[#This Row],[Oth Exp E&amp;G]],Input[[#This Row],[Oth Exp Desg]],Input[[#This Row],[Oth Exp R Exp]],Input[[#This Row],[Oth Exp Loan]],Input[[#This Row],[Oth Exp Annuity]],Input[[#This Row],[Oth Exp Unexp]],Input[[#This Row],[Oth Exp R of Ind]],Input[[#This Row],[Oth Exp Inv in P]],Input[[#This Row],[Oth Exp Inv in P]])</f>
        <v>23218</v>
      </c>
    </row>
    <row r="37" spans="1:591" s="344" customFormat="1" ht="27" customHeight="1" x14ac:dyDescent="0.55000000000000004">
      <c r="A37" s="339" t="s">
        <v>707</v>
      </c>
      <c r="B37" s="334" t="s">
        <v>830</v>
      </c>
      <c r="C37" s="350" t="s">
        <v>1914</v>
      </c>
      <c r="D37" s="334">
        <v>640</v>
      </c>
      <c r="E37" s="334" t="s">
        <v>1622</v>
      </c>
      <c r="F37" s="335">
        <v>575</v>
      </c>
      <c r="G37" s="336">
        <v>29472002</v>
      </c>
      <c r="H37" s="336">
        <v>0</v>
      </c>
      <c r="I37" s="336">
        <v>0</v>
      </c>
      <c r="J37" s="336">
        <v>0</v>
      </c>
      <c r="K37" s="336">
        <v>0</v>
      </c>
      <c r="L37" s="336">
        <v>0</v>
      </c>
      <c r="M37" s="336">
        <v>0</v>
      </c>
      <c r="N37" s="336">
        <v>0</v>
      </c>
      <c r="O37" s="336">
        <v>0</v>
      </c>
      <c r="P37" s="336">
        <v>0</v>
      </c>
      <c r="Q37" s="336">
        <v>0</v>
      </c>
      <c r="R37" s="336">
        <v>0</v>
      </c>
      <c r="S37" s="336">
        <v>0</v>
      </c>
      <c r="T37" s="336">
        <v>0</v>
      </c>
      <c r="U37" s="336">
        <v>0</v>
      </c>
      <c r="V37" s="336">
        <v>0</v>
      </c>
      <c r="W37" s="336">
        <v>0</v>
      </c>
      <c r="X37" s="336">
        <v>0</v>
      </c>
      <c r="Y37" s="336">
        <v>0</v>
      </c>
      <c r="Z37" s="336">
        <v>0</v>
      </c>
      <c r="AA37" s="336">
        <v>0</v>
      </c>
      <c r="AB37" s="336">
        <v>0</v>
      </c>
      <c r="AC37" s="336">
        <v>0</v>
      </c>
      <c r="AD37" s="336">
        <v>0</v>
      </c>
      <c r="AE37" s="336">
        <v>0</v>
      </c>
      <c r="AF37" s="336">
        <v>0</v>
      </c>
      <c r="AG37" s="336">
        <v>0</v>
      </c>
      <c r="AH37" s="336">
        <v>0</v>
      </c>
      <c r="AI37" s="336">
        <v>0</v>
      </c>
      <c r="AJ37" s="336">
        <v>0</v>
      </c>
      <c r="AK37" s="336">
        <v>0</v>
      </c>
      <c r="AL37" s="336">
        <v>0</v>
      </c>
      <c r="AM37" s="336">
        <v>0</v>
      </c>
      <c r="AN37" s="336">
        <v>0</v>
      </c>
      <c r="AO37" s="336">
        <v>0</v>
      </c>
      <c r="AP37" s="336">
        <v>0</v>
      </c>
      <c r="AQ37" s="336">
        <v>0</v>
      </c>
      <c r="AR37" s="336">
        <v>0</v>
      </c>
      <c r="AS37" s="336">
        <v>0</v>
      </c>
      <c r="AT37" s="336">
        <v>0</v>
      </c>
      <c r="AU37" s="336">
        <v>0</v>
      </c>
      <c r="AV37" s="336">
        <v>0</v>
      </c>
      <c r="AW37" s="336">
        <v>0</v>
      </c>
      <c r="AX37" s="336">
        <v>0</v>
      </c>
      <c r="AY37" s="336">
        <v>0</v>
      </c>
      <c r="AZ37" s="336">
        <v>0</v>
      </c>
      <c r="BA37" s="336">
        <v>0</v>
      </c>
      <c r="BB37" s="336">
        <v>0</v>
      </c>
      <c r="BC37" s="336">
        <v>0</v>
      </c>
      <c r="BD37" s="336">
        <v>0</v>
      </c>
      <c r="BE37" s="336">
        <v>0</v>
      </c>
      <c r="BF37" s="336">
        <v>0</v>
      </c>
      <c r="BG37" s="336">
        <v>0</v>
      </c>
      <c r="BH37" s="336">
        <v>0</v>
      </c>
      <c r="BI37" s="336">
        <v>0</v>
      </c>
      <c r="BJ37" s="336">
        <v>0</v>
      </c>
      <c r="BK37" s="336">
        <v>0</v>
      </c>
      <c r="BL37" s="336">
        <v>0</v>
      </c>
      <c r="BM37" s="336">
        <v>0</v>
      </c>
      <c r="BN37" s="336">
        <v>0</v>
      </c>
      <c r="BO37" s="336">
        <v>0</v>
      </c>
      <c r="BP37" s="336">
        <v>0</v>
      </c>
      <c r="BQ37" s="336">
        <v>0</v>
      </c>
      <c r="BR37" s="336">
        <v>0</v>
      </c>
      <c r="BS37" s="336">
        <v>0</v>
      </c>
      <c r="BT37" s="336">
        <v>0</v>
      </c>
      <c r="BU37" s="336">
        <v>0</v>
      </c>
      <c r="BV37" s="336">
        <v>0</v>
      </c>
      <c r="BW37" s="336">
        <v>0</v>
      </c>
      <c r="BX37" s="336">
        <v>0</v>
      </c>
      <c r="BY37" s="336">
        <v>0</v>
      </c>
      <c r="BZ37" s="336">
        <v>0</v>
      </c>
      <c r="CA37" s="336">
        <v>0</v>
      </c>
      <c r="CB37" s="336">
        <v>0</v>
      </c>
      <c r="CC37" s="336">
        <v>0</v>
      </c>
      <c r="CD37" s="336">
        <v>0</v>
      </c>
      <c r="CE37" s="336">
        <v>0</v>
      </c>
      <c r="CF37" s="336">
        <v>0</v>
      </c>
      <c r="CG37" s="336">
        <v>0</v>
      </c>
      <c r="CH37" s="336">
        <v>0</v>
      </c>
      <c r="CI37" s="336">
        <v>0</v>
      </c>
      <c r="CJ37" s="336">
        <v>0</v>
      </c>
      <c r="CK37" s="336">
        <v>0</v>
      </c>
      <c r="CL37" s="336">
        <v>0</v>
      </c>
      <c r="CM37" s="336">
        <v>0</v>
      </c>
      <c r="CN37" s="336">
        <v>0</v>
      </c>
      <c r="CO37" s="336">
        <v>0</v>
      </c>
      <c r="CP37" s="336">
        <v>0</v>
      </c>
      <c r="CQ37" s="336">
        <v>0</v>
      </c>
      <c r="CR37" s="336">
        <v>0</v>
      </c>
      <c r="CS37" s="336">
        <v>0</v>
      </c>
      <c r="CT37" s="336">
        <v>0</v>
      </c>
      <c r="CU37" s="336">
        <v>0</v>
      </c>
      <c r="CV37" s="336">
        <v>0</v>
      </c>
      <c r="CW37" s="336">
        <v>0</v>
      </c>
      <c r="CX37" s="336">
        <v>0</v>
      </c>
      <c r="CY37" s="336">
        <v>0</v>
      </c>
      <c r="CZ37" s="336">
        <v>0</v>
      </c>
      <c r="DA37" s="336">
        <v>0</v>
      </c>
      <c r="DB37" s="336">
        <v>0</v>
      </c>
      <c r="DC37" s="336">
        <v>0</v>
      </c>
      <c r="DD37" s="336">
        <v>0</v>
      </c>
      <c r="DE37" s="336">
        <v>0</v>
      </c>
      <c r="DF37" s="336">
        <v>0</v>
      </c>
      <c r="DG37" s="336">
        <v>0</v>
      </c>
      <c r="DH37" s="336">
        <v>0</v>
      </c>
      <c r="DI37" s="336">
        <v>0</v>
      </c>
      <c r="DJ37" s="336">
        <v>0</v>
      </c>
      <c r="DK37" s="336">
        <v>0</v>
      </c>
      <c r="DL37" s="336">
        <v>0</v>
      </c>
      <c r="DM37" s="336">
        <v>0</v>
      </c>
      <c r="DN37" s="336">
        <v>0</v>
      </c>
      <c r="DO37" s="336">
        <v>0</v>
      </c>
      <c r="DP37" s="336">
        <v>0</v>
      </c>
      <c r="DQ37" s="336">
        <v>0</v>
      </c>
      <c r="DR37" s="336">
        <v>0</v>
      </c>
      <c r="DS37" s="336">
        <v>0</v>
      </c>
      <c r="DT37" s="336">
        <v>0</v>
      </c>
      <c r="DU37" s="336">
        <v>0</v>
      </c>
      <c r="DV37" s="336">
        <v>0</v>
      </c>
      <c r="DW37" s="336">
        <v>0</v>
      </c>
      <c r="DX37" s="336">
        <v>0</v>
      </c>
      <c r="DY37" s="336">
        <v>0</v>
      </c>
      <c r="DZ37" s="336">
        <v>0</v>
      </c>
      <c r="EA37" s="336">
        <v>0</v>
      </c>
      <c r="EB37" s="336">
        <v>0</v>
      </c>
      <c r="EC37" s="336">
        <v>0</v>
      </c>
      <c r="ED37" s="336">
        <v>0</v>
      </c>
      <c r="EE37" s="336">
        <v>0</v>
      </c>
      <c r="EF37" s="336">
        <v>0</v>
      </c>
      <c r="EG37" s="336">
        <v>0</v>
      </c>
      <c r="EH37" s="336">
        <v>0</v>
      </c>
      <c r="EI37" s="336">
        <v>0</v>
      </c>
      <c r="EJ37" s="336">
        <v>0</v>
      </c>
      <c r="EK37" s="336">
        <v>0</v>
      </c>
      <c r="EL37" s="336">
        <v>0</v>
      </c>
      <c r="EM37" s="336">
        <v>0</v>
      </c>
      <c r="EN37" s="336">
        <v>0</v>
      </c>
      <c r="EO37" s="336">
        <v>0</v>
      </c>
      <c r="EP37" s="336">
        <v>0</v>
      </c>
      <c r="EQ37" s="336">
        <v>0</v>
      </c>
      <c r="ER37" s="336">
        <v>0</v>
      </c>
      <c r="ES37" s="336">
        <v>0</v>
      </c>
      <c r="ET37" s="336">
        <v>0</v>
      </c>
      <c r="EU37" s="336">
        <v>0</v>
      </c>
      <c r="EV37" s="336">
        <v>0</v>
      </c>
      <c r="EW37" s="336">
        <v>0</v>
      </c>
      <c r="EX37" s="336">
        <v>0</v>
      </c>
      <c r="EY37" s="336">
        <v>0</v>
      </c>
      <c r="EZ37" s="336">
        <v>0</v>
      </c>
      <c r="FA37" s="336">
        <v>0</v>
      </c>
      <c r="FB37" s="336">
        <v>0</v>
      </c>
      <c r="FC37" s="336">
        <v>0</v>
      </c>
      <c r="FD37" s="336">
        <v>0</v>
      </c>
      <c r="FE37" s="336">
        <v>0</v>
      </c>
      <c r="FF37" s="336">
        <v>0</v>
      </c>
      <c r="FG37" s="336">
        <v>0</v>
      </c>
      <c r="FH37" s="336">
        <v>0</v>
      </c>
      <c r="FI37" s="336">
        <v>0</v>
      </c>
      <c r="FJ37" s="336">
        <v>0</v>
      </c>
      <c r="FK37" s="336">
        <v>0</v>
      </c>
      <c r="FL37" s="336">
        <v>0</v>
      </c>
      <c r="FM37" s="336">
        <v>0</v>
      </c>
      <c r="FN37" s="336">
        <v>0</v>
      </c>
      <c r="FO37" s="336">
        <v>0</v>
      </c>
      <c r="FP37" s="336">
        <v>0</v>
      </c>
      <c r="FQ37" s="336">
        <v>0</v>
      </c>
      <c r="FR37" s="336">
        <v>0</v>
      </c>
      <c r="FS37" s="336">
        <v>0</v>
      </c>
      <c r="FT37" s="336">
        <v>0</v>
      </c>
      <c r="FU37" s="336">
        <v>0</v>
      </c>
      <c r="FV37" s="336">
        <v>0</v>
      </c>
      <c r="FW37" s="336">
        <v>0</v>
      </c>
      <c r="FX37" s="336">
        <v>0</v>
      </c>
      <c r="FY37" s="336">
        <v>0</v>
      </c>
      <c r="FZ37" s="336">
        <v>0</v>
      </c>
      <c r="GA37" s="336">
        <v>0</v>
      </c>
      <c r="GB37" s="336">
        <v>0</v>
      </c>
      <c r="GC37" s="336">
        <v>0</v>
      </c>
      <c r="GD37" s="336">
        <v>0</v>
      </c>
      <c r="GE37" s="336">
        <v>0</v>
      </c>
      <c r="GF37" s="336">
        <v>0</v>
      </c>
      <c r="GG37" s="336">
        <v>0</v>
      </c>
      <c r="GH37" s="336">
        <v>0</v>
      </c>
      <c r="GI37" s="336">
        <v>0</v>
      </c>
      <c r="GJ37" s="336">
        <v>0</v>
      </c>
      <c r="GK37" s="336">
        <v>0</v>
      </c>
      <c r="GL37" s="336">
        <v>0</v>
      </c>
      <c r="GM37" s="336">
        <v>0</v>
      </c>
      <c r="GN37" s="336">
        <v>0</v>
      </c>
      <c r="GO37" s="336">
        <v>0</v>
      </c>
      <c r="GP37" s="336">
        <v>0</v>
      </c>
      <c r="GQ37" s="336">
        <v>0</v>
      </c>
      <c r="GR37" s="336">
        <v>0</v>
      </c>
      <c r="GS37" s="336">
        <v>0</v>
      </c>
      <c r="GT37" s="336">
        <v>0</v>
      </c>
      <c r="GU37" s="336">
        <v>0</v>
      </c>
      <c r="GV37" s="336">
        <v>0</v>
      </c>
      <c r="GW37" s="336">
        <v>0</v>
      </c>
      <c r="GX37" s="336">
        <v>0</v>
      </c>
      <c r="GY37" s="336">
        <v>0</v>
      </c>
      <c r="GZ37" s="336">
        <v>0</v>
      </c>
      <c r="HA37" s="336">
        <v>0</v>
      </c>
      <c r="HB37" s="336">
        <v>0</v>
      </c>
      <c r="HC37" s="336">
        <v>0</v>
      </c>
      <c r="HD37" s="336">
        <v>0</v>
      </c>
      <c r="HE37" s="336">
        <v>0</v>
      </c>
      <c r="HF37" s="336">
        <v>0</v>
      </c>
      <c r="HG37" s="336">
        <v>0</v>
      </c>
      <c r="HH37" s="336">
        <v>0</v>
      </c>
      <c r="HI37" s="336">
        <v>0</v>
      </c>
      <c r="HJ37" s="336">
        <v>0</v>
      </c>
      <c r="HK37" s="336">
        <v>0</v>
      </c>
      <c r="HL37" s="336">
        <v>0</v>
      </c>
      <c r="HM37" s="336">
        <v>0</v>
      </c>
      <c r="HN37" s="336">
        <v>0</v>
      </c>
      <c r="HO37" s="336">
        <v>0</v>
      </c>
      <c r="HP37" s="336">
        <v>12637637</v>
      </c>
      <c r="HQ37" s="336">
        <v>0</v>
      </c>
      <c r="HR37" s="336">
        <v>550051039</v>
      </c>
      <c r="HS37" s="336">
        <v>0</v>
      </c>
      <c r="HT37" s="336">
        <v>0</v>
      </c>
      <c r="HU37" s="336">
        <v>0</v>
      </c>
      <c r="HV37" s="336">
        <v>0</v>
      </c>
      <c r="HW37" s="336">
        <v>0</v>
      </c>
      <c r="HX37" s="336">
        <v>0</v>
      </c>
      <c r="HY37" s="336">
        <v>0</v>
      </c>
      <c r="HZ37" s="336">
        <v>0</v>
      </c>
      <c r="IA37" s="336">
        <v>0</v>
      </c>
      <c r="IB37" s="336">
        <v>0</v>
      </c>
      <c r="IC37" s="336">
        <v>0</v>
      </c>
      <c r="ID37" s="336">
        <v>0</v>
      </c>
      <c r="IE37" s="336">
        <v>0</v>
      </c>
      <c r="IF37" s="336">
        <v>0</v>
      </c>
      <c r="IG37" s="336">
        <v>0</v>
      </c>
      <c r="IH37" s="336">
        <v>0</v>
      </c>
      <c r="II37" s="336">
        <v>0</v>
      </c>
      <c r="IJ37" s="336">
        <v>0</v>
      </c>
      <c r="IK37" s="336">
        <v>0</v>
      </c>
      <c r="IL37" s="336">
        <v>0</v>
      </c>
      <c r="IM37" s="336">
        <v>0</v>
      </c>
      <c r="IN37" s="336">
        <v>0</v>
      </c>
      <c r="IO37" s="336">
        <v>0</v>
      </c>
      <c r="IP37" s="336">
        <v>0</v>
      </c>
      <c r="IQ37" s="336">
        <v>2452055</v>
      </c>
      <c r="IR37" s="336">
        <v>0</v>
      </c>
      <c r="IS37" s="336">
        <v>1029</v>
      </c>
      <c r="IT37" s="336">
        <v>0</v>
      </c>
      <c r="IU37" s="336">
        <v>0</v>
      </c>
      <c r="IV37" s="336">
        <v>0</v>
      </c>
      <c r="IW37" s="336">
        <v>0</v>
      </c>
      <c r="IX37" s="336">
        <v>0</v>
      </c>
      <c r="IY37" s="336">
        <v>372527728</v>
      </c>
      <c r="IZ37" s="336">
        <v>0</v>
      </c>
      <c r="JA37" s="336">
        <v>0</v>
      </c>
      <c r="JB37" s="336">
        <v>0</v>
      </c>
      <c r="JC37" s="336">
        <v>0</v>
      </c>
      <c r="JD37" s="336">
        <v>0</v>
      </c>
      <c r="JE37" s="336">
        <v>0</v>
      </c>
      <c r="JF37" s="336">
        <v>0</v>
      </c>
      <c r="JG37" s="336">
        <v>0</v>
      </c>
      <c r="JH37" s="336">
        <v>0</v>
      </c>
      <c r="JI37" s="336">
        <v>0</v>
      </c>
      <c r="JJ37" s="336">
        <v>0</v>
      </c>
      <c r="JK37" s="336">
        <v>0</v>
      </c>
      <c r="JL37" s="336">
        <v>0</v>
      </c>
      <c r="JM37" s="336">
        <v>0</v>
      </c>
      <c r="JN37" s="336">
        <v>0</v>
      </c>
      <c r="JO37" s="336">
        <v>0</v>
      </c>
      <c r="JP37" s="336">
        <v>0</v>
      </c>
      <c r="JQ37" s="336">
        <v>0</v>
      </c>
      <c r="JR37" s="336">
        <v>1570604</v>
      </c>
      <c r="JS37" s="336">
        <v>0</v>
      </c>
      <c r="JT37" s="336">
        <v>0</v>
      </c>
      <c r="JU37" s="336">
        <v>0</v>
      </c>
      <c r="JV37" s="336">
        <v>0</v>
      </c>
      <c r="JW37" s="336">
        <v>0</v>
      </c>
      <c r="JX37" s="336">
        <v>0</v>
      </c>
      <c r="JY37" s="336">
        <v>0</v>
      </c>
      <c r="JZ37" s="336">
        <v>0</v>
      </c>
      <c r="KA37" s="336">
        <v>0</v>
      </c>
      <c r="KB37" s="336">
        <v>0</v>
      </c>
      <c r="KC37" s="336">
        <v>0</v>
      </c>
      <c r="KD37" s="336">
        <v>0</v>
      </c>
      <c r="KE37" s="336">
        <v>0</v>
      </c>
      <c r="KF37" s="336">
        <v>0</v>
      </c>
      <c r="KG37" s="336">
        <v>0</v>
      </c>
      <c r="KH37" s="336">
        <v>0</v>
      </c>
      <c r="KI37" s="336">
        <v>47402192</v>
      </c>
      <c r="KJ37" s="336">
        <v>119359</v>
      </c>
      <c r="KK37" s="336">
        <v>0</v>
      </c>
      <c r="KL37" s="336">
        <v>-36345</v>
      </c>
      <c r="KM37" s="336">
        <v>0</v>
      </c>
      <c r="KN37" s="336">
        <v>0</v>
      </c>
      <c r="KO37" s="336">
        <v>0</v>
      </c>
      <c r="KP37" s="336">
        <v>0</v>
      </c>
      <c r="KQ37" s="336">
        <v>0</v>
      </c>
      <c r="KR37" s="336">
        <v>0</v>
      </c>
      <c r="KS37" s="336">
        <v>0</v>
      </c>
      <c r="KT37" s="336">
        <v>0</v>
      </c>
      <c r="KU37" s="336">
        <v>0</v>
      </c>
      <c r="KV37" s="336">
        <v>0</v>
      </c>
      <c r="KW37" s="336">
        <v>0</v>
      </c>
      <c r="KX37" s="336">
        <v>0</v>
      </c>
      <c r="KY37" s="336">
        <v>0</v>
      </c>
      <c r="KZ37" s="336">
        <v>0</v>
      </c>
      <c r="LA37" s="336">
        <v>0</v>
      </c>
      <c r="LB37" s="336">
        <v>0</v>
      </c>
      <c r="LC37" s="336">
        <v>0</v>
      </c>
      <c r="LD37" s="336">
        <v>0</v>
      </c>
      <c r="LE37" s="336">
        <v>0</v>
      </c>
      <c r="LF37" s="336">
        <v>0</v>
      </c>
      <c r="LG37" s="336">
        <v>0</v>
      </c>
      <c r="LH37" s="336">
        <v>0</v>
      </c>
      <c r="LI37" s="336">
        <v>0</v>
      </c>
      <c r="LJ37" s="336">
        <v>446302193</v>
      </c>
      <c r="LK37" s="336">
        <v>10481829</v>
      </c>
      <c r="LL37" s="336">
        <v>0</v>
      </c>
      <c r="LM37" s="336">
        <v>637466139</v>
      </c>
      <c r="LN37" s="336">
        <v>0</v>
      </c>
      <c r="LO37" s="336">
        <v>0</v>
      </c>
      <c r="LP37" s="336">
        <v>0</v>
      </c>
      <c r="LQ37" s="336">
        <v>0</v>
      </c>
      <c r="LR37" s="336">
        <v>0</v>
      </c>
      <c r="LS37" s="336">
        <v>0</v>
      </c>
      <c r="LT37" s="336">
        <v>0</v>
      </c>
      <c r="LU37" s="336">
        <v>0</v>
      </c>
      <c r="LV37" s="336">
        <v>0</v>
      </c>
      <c r="LW37" s="336">
        <v>0</v>
      </c>
      <c r="LX37" s="336">
        <v>0</v>
      </c>
      <c r="LY37" s="336">
        <v>0</v>
      </c>
      <c r="LZ37" s="336">
        <v>0</v>
      </c>
      <c r="MA37" s="336">
        <v>0</v>
      </c>
      <c r="MB37" s="336">
        <v>0</v>
      </c>
      <c r="MC37" s="336">
        <v>0</v>
      </c>
      <c r="MD37" s="336">
        <v>0</v>
      </c>
      <c r="ME37" s="336">
        <v>0</v>
      </c>
      <c r="MF37" s="336">
        <v>0</v>
      </c>
      <c r="MG37" s="336">
        <v>0</v>
      </c>
      <c r="MH37" s="336">
        <v>0</v>
      </c>
      <c r="MI37" s="336">
        <v>0</v>
      </c>
      <c r="MJ37" s="336">
        <v>0</v>
      </c>
      <c r="MK37" s="336">
        <v>0</v>
      </c>
      <c r="ML37" s="336">
        <v>0</v>
      </c>
      <c r="MM37" s="336">
        <v>0</v>
      </c>
      <c r="MN37" s="336">
        <v>0</v>
      </c>
      <c r="MO37" s="336">
        <v>0</v>
      </c>
      <c r="MP37" s="336">
        <v>0</v>
      </c>
      <c r="MQ37" s="336">
        <v>0</v>
      </c>
      <c r="MR37" s="336">
        <v>0</v>
      </c>
      <c r="MS37" s="336">
        <v>0</v>
      </c>
      <c r="MT37" s="336">
        <v>0</v>
      </c>
      <c r="MU37" s="336">
        <v>0</v>
      </c>
      <c r="MV37" s="336">
        <v>0</v>
      </c>
      <c r="MW37" s="336">
        <v>0</v>
      </c>
      <c r="MX37" s="336">
        <v>0</v>
      </c>
      <c r="MY37" s="336">
        <v>0</v>
      </c>
      <c r="MZ37" s="336">
        <v>0</v>
      </c>
      <c r="NA37" s="336">
        <v>0</v>
      </c>
      <c r="NB37" s="336">
        <v>0</v>
      </c>
      <c r="NC37" s="336">
        <v>0</v>
      </c>
      <c r="ND37" s="336">
        <v>0</v>
      </c>
      <c r="NE37" s="336">
        <v>0</v>
      </c>
      <c r="NF37" s="336">
        <v>0</v>
      </c>
      <c r="NG37" s="336">
        <v>0</v>
      </c>
      <c r="NH37" s="336">
        <v>0</v>
      </c>
      <c r="NI37" s="336">
        <v>756</v>
      </c>
      <c r="NJ37" s="336">
        <v>0</v>
      </c>
      <c r="NK37" s="336">
        <v>0</v>
      </c>
      <c r="NL37" s="336">
        <v>0</v>
      </c>
      <c r="NM37" s="336">
        <v>0</v>
      </c>
      <c r="NN37" s="336">
        <v>0</v>
      </c>
      <c r="NO37" s="336">
        <v>0</v>
      </c>
      <c r="NP37" s="336">
        <v>0</v>
      </c>
      <c r="NQ37" s="336">
        <v>0</v>
      </c>
      <c r="NR37" s="336">
        <v>0</v>
      </c>
      <c r="NS37" s="336">
        <v>0</v>
      </c>
      <c r="NT37" s="336">
        <v>0</v>
      </c>
      <c r="NU37" s="336">
        <v>0</v>
      </c>
      <c r="NV37" s="336">
        <v>0</v>
      </c>
      <c r="NW37" s="336">
        <v>0</v>
      </c>
      <c r="NX37" s="336">
        <v>0</v>
      </c>
      <c r="NY37" s="336">
        <v>0</v>
      </c>
      <c r="NZ37" s="336">
        <v>0</v>
      </c>
      <c r="OA37" s="336">
        <v>0</v>
      </c>
      <c r="OB37" s="336">
        <v>0</v>
      </c>
      <c r="OC37" s="336">
        <v>0</v>
      </c>
      <c r="OD37" s="336">
        <v>6807967</v>
      </c>
      <c r="OE37" s="336">
        <v>674754</v>
      </c>
      <c r="OF37" s="336">
        <v>0</v>
      </c>
      <c r="OG37" s="336">
        <v>3481600</v>
      </c>
      <c r="OH37" s="336">
        <v>0</v>
      </c>
      <c r="OI37" s="336">
        <v>0</v>
      </c>
      <c r="OJ37" s="336">
        <v>0</v>
      </c>
      <c r="OK37" s="336">
        <v>0</v>
      </c>
      <c r="OL37" s="336">
        <v>0</v>
      </c>
      <c r="OM37" s="336">
        <v>76046</v>
      </c>
      <c r="ON37" s="336">
        <v>0</v>
      </c>
      <c r="OO37" s="336">
        <v>0</v>
      </c>
      <c r="OP37" s="336">
        <v>18920</v>
      </c>
      <c r="OQ37" s="336">
        <v>0</v>
      </c>
      <c r="OR37" s="336">
        <v>0</v>
      </c>
      <c r="OS37" s="336">
        <v>0</v>
      </c>
      <c r="OT37" s="336">
        <v>0</v>
      </c>
      <c r="OU37" s="336">
        <v>3693</v>
      </c>
      <c r="OV37" s="336">
        <v>0</v>
      </c>
      <c r="OW37" s="336">
        <v>0</v>
      </c>
      <c r="OX37" s="336">
        <v>0</v>
      </c>
      <c r="OY37" s="336">
        <v>0</v>
      </c>
      <c r="OZ37" s="336">
        <v>0</v>
      </c>
      <c r="PA37" s="336">
        <v>0</v>
      </c>
      <c r="PB37" s="336">
        <v>54506437</v>
      </c>
      <c r="PC37" s="336">
        <v>0</v>
      </c>
      <c r="PD37" s="336">
        <v>0</v>
      </c>
      <c r="PE37" s="336">
        <v>-2432932</v>
      </c>
      <c r="PF37" s="336">
        <v>-36378183</v>
      </c>
      <c r="PG37" s="336">
        <v>0</v>
      </c>
      <c r="PH37" s="336">
        <v>-27224888</v>
      </c>
      <c r="PI37" s="336">
        <v>0</v>
      </c>
      <c r="PJ37" s="336">
        <v>0</v>
      </c>
      <c r="PK37" s="336">
        <v>28894215</v>
      </c>
      <c r="PL37" s="336">
        <v>0</v>
      </c>
      <c r="PM37" s="336">
        <v>15150</v>
      </c>
      <c r="PN37" s="336">
        <v>0</v>
      </c>
      <c r="PO37" s="336">
        <v>0</v>
      </c>
      <c r="PP37" s="336">
        <v>0</v>
      </c>
      <c r="PQ37" s="336">
        <v>0</v>
      </c>
      <c r="PR37" s="336">
        <v>0</v>
      </c>
      <c r="PS37" s="336">
        <v>0</v>
      </c>
      <c r="PT37" s="336">
        <v>0</v>
      </c>
      <c r="PU37" s="336">
        <v>0</v>
      </c>
      <c r="PV37" s="336">
        <v>0</v>
      </c>
      <c r="PW37" s="336">
        <v>0</v>
      </c>
      <c r="PX37" s="336">
        <v>0</v>
      </c>
      <c r="PY37" s="336">
        <v>0</v>
      </c>
      <c r="PZ37" s="336">
        <v>0</v>
      </c>
      <c r="QA37" s="336">
        <v>0</v>
      </c>
      <c r="QB37" s="336">
        <v>0</v>
      </c>
      <c r="QC37" s="336">
        <v>0</v>
      </c>
      <c r="QD37" s="336">
        <v>0</v>
      </c>
      <c r="QE37" s="336">
        <v>0</v>
      </c>
      <c r="QF37" s="336">
        <v>0</v>
      </c>
      <c r="QG37" s="336">
        <v>0</v>
      </c>
      <c r="QH37" s="336">
        <v>0</v>
      </c>
      <c r="QI37" s="336">
        <v>0</v>
      </c>
      <c r="QJ37" s="336">
        <v>0</v>
      </c>
      <c r="QK37" s="336">
        <v>0</v>
      </c>
      <c r="QL37" s="336">
        <v>0</v>
      </c>
      <c r="QM37" s="336">
        <v>0</v>
      </c>
      <c r="QN37" s="336">
        <v>0</v>
      </c>
      <c r="QO37" s="336">
        <v>0</v>
      </c>
      <c r="QP37" s="336">
        <v>0</v>
      </c>
      <c r="QQ37" s="336">
        <v>0</v>
      </c>
      <c r="QR37" s="336">
        <v>0</v>
      </c>
      <c r="QS37" s="336">
        <v>0</v>
      </c>
      <c r="QT37" s="336">
        <v>0</v>
      </c>
      <c r="QU37" s="336">
        <v>0</v>
      </c>
      <c r="QV37" s="336">
        <v>0</v>
      </c>
      <c r="QW37" s="336">
        <v>0</v>
      </c>
      <c r="QX37" s="336">
        <v>0</v>
      </c>
      <c r="QY37" s="336">
        <v>0</v>
      </c>
      <c r="QZ37" s="336">
        <v>0</v>
      </c>
      <c r="RA37" s="336">
        <v>0</v>
      </c>
      <c r="RB37" s="336">
        <v>0</v>
      </c>
      <c r="RC37" s="336">
        <v>0</v>
      </c>
      <c r="RD37" s="336">
        <v>0</v>
      </c>
      <c r="RE37" s="336">
        <v>0</v>
      </c>
      <c r="RF37" s="336">
        <v>0</v>
      </c>
      <c r="RG37" s="336">
        <v>0</v>
      </c>
      <c r="RH37" s="336">
        <v>0</v>
      </c>
      <c r="RI37" s="336">
        <v>0</v>
      </c>
      <c r="RJ37" s="336">
        <v>0</v>
      </c>
      <c r="RK37" s="336">
        <v>0</v>
      </c>
      <c r="RL37" s="336">
        <v>0</v>
      </c>
      <c r="RM37" s="336">
        <v>0</v>
      </c>
      <c r="RN37" s="336">
        <v>0</v>
      </c>
      <c r="RO37" s="336">
        <v>-7832134</v>
      </c>
      <c r="RP37" s="336">
        <v>0</v>
      </c>
      <c r="RQ37" s="336">
        <v>0</v>
      </c>
      <c r="RR37" s="336">
        <v>0</v>
      </c>
      <c r="RS37" s="336">
        <v>0</v>
      </c>
      <c r="RT37" s="336">
        <v>0</v>
      </c>
      <c r="RU37" s="336">
        <v>0</v>
      </c>
      <c r="RV37" s="336">
        <v>0</v>
      </c>
      <c r="RW37" s="336">
        <v>0</v>
      </c>
      <c r="RX37" s="336">
        <v>0</v>
      </c>
      <c r="RY37" s="336">
        <v>0</v>
      </c>
      <c r="RZ37" s="336">
        <v>0</v>
      </c>
      <c r="SA37" s="336">
        <v>0</v>
      </c>
      <c r="SB37" s="336">
        <v>0</v>
      </c>
      <c r="SC37" s="336">
        <v>0</v>
      </c>
      <c r="SD37" s="336">
        <v>0</v>
      </c>
      <c r="SE37" s="336">
        <v>0</v>
      </c>
      <c r="SF37" s="336">
        <v>0</v>
      </c>
      <c r="SG37" s="336">
        <v>0</v>
      </c>
      <c r="SH37" s="336">
        <v>0</v>
      </c>
      <c r="SI37" s="336">
        <v>0</v>
      </c>
      <c r="SJ37" s="336">
        <v>0</v>
      </c>
      <c r="SK37" s="336">
        <v>0</v>
      </c>
      <c r="SL37" s="336">
        <v>0</v>
      </c>
      <c r="SM37" s="336">
        <v>0</v>
      </c>
      <c r="SN37" s="336">
        <v>0</v>
      </c>
      <c r="SO37" s="336">
        <v>0</v>
      </c>
      <c r="SP37" s="336">
        <v>0</v>
      </c>
      <c r="SQ37" s="336">
        <v>6807967</v>
      </c>
      <c r="SR37" s="336">
        <v>674754</v>
      </c>
      <c r="SS37" s="336">
        <v>0</v>
      </c>
      <c r="ST37" s="336">
        <v>3481600</v>
      </c>
      <c r="SU37" s="336">
        <v>0</v>
      </c>
      <c r="SV37" s="336">
        <v>0</v>
      </c>
      <c r="SW37" s="336">
        <v>-54506437</v>
      </c>
      <c r="SX37" s="336">
        <v>0</v>
      </c>
      <c r="SY37" s="336">
        <v>0</v>
      </c>
      <c r="SZ37" s="336" t="s">
        <v>1420</v>
      </c>
      <c r="TA37" s="336" t="s">
        <v>1420</v>
      </c>
      <c r="TB37" s="336" t="s">
        <v>1420</v>
      </c>
      <c r="TC37" s="336">
        <v>0</v>
      </c>
      <c r="TD37" s="336">
        <v>0</v>
      </c>
      <c r="TE37" s="336">
        <v>10964321</v>
      </c>
      <c r="TF37" s="336">
        <v>0</v>
      </c>
      <c r="TG37" s="336">
        <v>0</v>
      </c>
      <c r="TH37" s="336">
        <v>0</v>
      </c>
      <c r="TI37" s="336">
        <v>0</v>
      </c>
      <c r="TJ37" s="336">
        <v>0</v>
      </c>
      <c r="TK37" s="336">
        <v>0</v>
      </c>
      <c r="TL37" s="336">
        <v>0</v>
      </c>
      <c r="TM37" s="336">
        <v>0</v>
      </c>
      <c r="TN37" s="336">
        <v>0</v>
      </c>
      <c r="TO37" s="336">
        <v>0</v>
      </c>
      <c r="TP37" s="336">
        <v>156203933</v>
      </c>
      <c r="TQ37" s="336">
        <v>0</v>
      </c>
      <c r="TR37" s="336">
        <v>0</v>
      </c>
      <c r="TS37" s="336">
        <v>0</v>
      </c>
      <c r="TT37" s="336">
        <v>0</v>
      </c>
      <c r="TU37" s="336">
        <v>0</v>
      </c>
      <c r="TV37" s="336">
        <v>0</v>
      </c>
      <c r="TW37" s="336">
        <v>0</v>
      </c>
      <c r="TX37" s="336">
        <v>0</v>
      </c>
      <c r="TY37" s="336">
        <v>23944642</v>
      </c>
      <c r="TZ37" s="336">
        <v>0</v>
      </c>
      <c r="UA37" s="336">
        <v>0</v>
      </c>
      <c r="UB37" s="336">
        <v>0</v>
      </c>
      <c r="UC37" s="336">
        <v>0</v>
      </c>
      <c r="UD37" s="336">
        <v>0</v>
      </c>
      <c r="UE37" s="336">
        <v>0</v>
      </c>
      <c r="UF37" s="336">
        <v>0</v>
      </c>
      <c r="UG37" s="336">
        <v>0</v>
      </c>
      <c r="UH37" s="336">
        <v>0</v>
      </c>
      <c r="UI37" s="336">
        <v>0</v>
      </c>
      <c r="UJ37" s="336">
        <v>1094250161</v>
      </c>
      <c r="UK37" s="336">
        <v>0</v>
      </c>
      <c r="UL37" s="336">
        <v>0</v>
      </c>
      <c r="UM37" s="336">
        <v>0</v>
      </c>
      <c r="UN37" s="336">
        <v>0</v>
      </c>
      <c r="UO37" s="336">
        <v>756</v>
      </c>
      <c r="UP37" s="336">
        <v>0</v>
      </c>
      <c r="UQ37" s="336">
        <v>0</v>
      </c>
      <c r="UR37"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10964321</v>
      </c>
      <c r="US37" s="338">
        <f>SUM(Input[[#This Row],[Oth Exp E&amp;G]],Input[[#This Row],[Oth Exp Desg]],Input[[#This Row],[Oth Exp Aux]],Input[[#This Row],[Oth Exp R Exp]],Input[[#This Row],[Oth Exp Loan]],Input[[#This Row],[Oth Exp Annuity]],Input[[#This Row],[Oth Exp Unexp]],Input[[#This Row],[Oth Exp R of Ind]],Input[[#This Row],[Oth Exp Inv in P]])</f>
        <v>98659</v>
      </c>
      <c r="UT37" s="336">
        <v>0</v>
      </c>
      <c r="UU37" s="336">
        <v>0</v>
      </c>
      <c r="UV37" s="339" t="s">
        <v>1432</v>
      </c>
      <c r="UW37" s="340">
        <v>9798459761</v>
      </c>
      <c r="UX37" s="339" t="s">
        <v>1433</v>
      </c>
      <c r="UY37" s="339" t="s">
        <v>1591</v>
      </c>
      <c r="UZ37" s="340">
        <v>9792552146</v>
      </c>
      <c r="VA37" s="339" t="s">
        <v>1592</v>
      </c>
      <c r="VB37" s="341" t="str" cm="1">
        <f t="array" ref="VB37">IFERROR(_xlfn.IFS(Input[[#This Row],[Type]]="HRI",VLOOKUP(Input[[#This Row],[Institution Name]],FTSEHRI[],9,FALSE),Input[[#This Row],[Type]]="UNIV",VLOOKUP(Input[[#This Row],[Institution Name]],FTSEUNIV[],9,FALSE),OR(Input[[#This Row],[Type]]="TSTC",Input[[#This Row],[Type]]="LSC"),VLOOKUP(Input[[#This Row],[Institution Name]],FTSETSTC[],8,FALSE)),"N/A")</f>
        <v>N/A</v>
      </c>
      <c r="VC37" s="342" t="str" cm="1">
        <f t="array" ref="VC37">IFERROR(_xlfn.IFS(Input[[#This Row],[Type]]="HRI",VLOOKUP(Input[[#This Row],[Institution Name]],FTSEHRI[],11,FALSE),Input[[#This Row],[Type]]="UNIV",VLOOKUP(Input[[#This Row],[Institution Name]],FTSEUNIV[],11,FALSE),Input[[#This Row],[Type]]="TSTC",VLOOKUP(Input[[#This Row],[Institution Name]],FTSETSTC[],10,FALSE)),"N/A")</f>
        <v>N/A</v>
      </c>
      <c r="VD37"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29472002</v>
      </c>
      <c r="VE37"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37" s="338">
        <f>SUM(Input[[#This Row],[Fed G&amp;C E&amp;G]],Input[[#This Row],[Fed G&amp;C Desg]],Input[[#This Row],[Fed G&amp;C R Exp]],Input[[#This Row],[Fed G&amp;C Loan]],Input[[#This Row],[Fed G&amp;C Annuity]],Input[[#This Row],[Fed G&amp;C Unexp]],Input[[#This Row],[Fed G&amp;C R of Ind]],Input[[#This Row],[Fed G&amp;C Inv in P]])</f>
        <v>562688676</v>
      </c>
      <c r="VG37"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424036622</v>
      </c>
      <c r="VH37"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0</v>
      </c>
      <c r="VI37"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J37" s="338">
        <f>SUM(Input[[#This Row],[Oth Inc E&amp;G]],Input[[#This Row],[Oth Exp Desg]],Input[[#This Row],[Oth Exp R Exp]],Input[[#This Row],[Oth Exp Loan]],Input[[#This Row],[Oth Exp Annuity]],Input[[#This Row],[Oth Exp Unexp]],Input[[#This Row],[Oth Exp R of Ind]],Input[[#This Row],[Oth Exp Inv in P]])</f>
        <v>47424805</v>
      </c>
      <c r="VK37" s="343">
        <f>SUM(Input[[#This Row],[Instr E&amp;G]],Input[[#This Row],[Instr Desg]],Input[[#This Row],[Instr R Exp]],Input[[#This Row],[Instr Loan]],Input[[#This Row],[Instr Annuity]],Input[[#This Row],[Instr Unexp]],Input[[#This Row],[Instr R of Ind]],Input[[#This Row],[Instr Inv in P]])</f>
        <v>0</v>
      </c>
      <c r="VL37" s="343">
        <f>SUM(Input[[#This Row],[Res E&amp;G]],Input[[#This Row],[Res Desg]],Input[[#This Row],[Res R Exp]],Input[[#This Row],[Res Loan]],Input[[#This Row],[Res Annuity]],Input[[#This Row],[Res Unexp]],Input[[#This Row],[Res R of Ind]],Input[[#This Row],[Res Inv in P]])</f>
        <v>0</v>
      </c>
      <c r="VM37" s="343">
        <f>SUM(Input[[#This Row],[Acad Sup E&amp;G]],Input[[#This Row],[Acad Sup Desg]],Input[[#This Row],[Acad Sup R Exp]],Input[[#This Row],[Acad Sup Loan]],Input[[#This Row],[Acad Sup Annuity]],Input[[#This Row],[Acad Sup Unexp]],Input[[#This Row],[Acad Sup R of Ind]],Input[[#This Row],[Acad Sup Inv in P]])</f>
        <v>0</v>
      </c>
      <c r="VN37" s="343">
        <f>SUM(Input[[#This Row],[Stu Svc E&amp;G]],Input[[#This Row],[Stu Svc Desg]],Input[[#This Row],[Stu Svc R Exp]],Input[[#This Row],[Stu Svc Loan]],Input[[#This Row],[Stu Svc Annuity]],Input[[#This Row],[Stu Svc Unexp]],Input[[#This Row],[Stu Svc R of Ind]],Input[[#This Row],[Stu Svc Inv in P]])</f>
        <v>0</v>
      </c>
      <c r="VO37" s="343">
        <f>SUM(Input[[#This Row],[Inst. Spt E&amp;G]],Input[[#This Row],[Inst. Spt Desg]],Input[[#This Row],[Inst. Spt R Exp]],Input[[#This Row],[Inst. Spt Loan]],Input[[#This Row],[Inst. Spt Annuity]],Input[[#This Row],[Inst. Spt Unexp]],Input[[#This Row],[Inst. Spt R of Ind]],Input[[#This Row],[Inst. Spt Inv in P]])</f>
        <v>0</v>
      </c>
      <c r="VP37" s="343">
        <f>SUM(Input[[#This Row],[M&amp;O Plnt E&amp;G]],Input[[#This Row],[M&amp;O Plnt Desg]],Input[[#This Row],[M&amp;O Plnt R Exp]],Input[[#This Row],[M&amp;O Plnt Loan]],Input[[#This Row],[M&amp;O Plnt Annuity]],Input[[#This Row],[M&amp;O Plnt Unexp]],Input[[#This Row],[M&amp;O Plnt R of Ind]],Input[[#This Row],[M&amp;O Plnt Inv in P]])</f>
        <v>756</v>
      </c>
      <c r="VQ37" s="343">
        <f>SUM(Input[[#This Row],[Schl &amp; Fell E&amp;G]],Input[[#This Row],[Schl &amp; Fell Desg]],Input[[#This Row],[Schl &amp; Fell R Exp]],Input[[#This Row],[Schl &amp; Fell Loan]],Input[[#This Row],[Schl &amp; Fell Annuity]],Input[[#This Row],[Schl &amp; Fell Unexp]],Input[[#This Row],[Schl &amp; Fell R of Ind]],Input[[#This Row],[Schl &amp; Fell Inv in P]])</f>
        <v>0</v>
      </c>
      <c r="VR37" s="343">
        <f>SUM(Input[[#This Row],[Cap Out fund E&amp;G]],Input[[#This Row],[Cap Out fund Desg]],Input[[#This Row],[Cap Out fund R Exp]],Input[[#This Row],[Cap Out fund Loan]],Input[[#This Row],[Cap Out fund Annuity]],Input[[#This Row],[Cap Out fund Unexp]],Input[[#This Row],[Cap Out fund R of Ind]],Input[[#This Row],[Cap Out fund Inv in P]])</f>
        <v>10964321</v>
      </c>
      <c r="VS37" s="343">
        <f>SUM(Input[[#This Row],[Oth Exp E&amp;G]],Input[[#This Row],[Oth Exp Desg]],Input[[#This Row],[Oth Exp R Exp]],Input[[#This Row],[Oth Exp Loan]],Input[[#This Row],[Oth Exp Annuity]],Input[[#This Row],[Oth Exp Unexp]],Input[[#This Row],[Oth Exp R of Ind]],Input[[#This Row],[Oth Exp Inv in P]],Input[[#This Row],[Oth Exp Inv in P]])</f>
        <v>102352</v>
      </c>
    </row>
    <row r="38" spans="1:591" s="344" customFormat="1" ht="27" customHeight="1" x14ac:dyDescent="0.55000000000000004">
      <c r="A38" s="339" t="s">
        <v>91</v>
      </c>
      <c r="B38" s="334" t="s">
        <v>831</v>
      </c>
      <c r="C38" s="334" t="s">
        <v>21</v>
      </c>
      <c r="D38" s="334">
        <v>360</v>
      </c>
      <c r="E38" s="334" t="s">
        <v>1622</v>
      </c>
      <c r="F38" s="335">
        <v>3642</v>
      </c>
      <c r="G38" s="336">
        <v>70784082</v>
      </c>
      <c r="H38" s="336">
        <v>0</v>
      </c>
      <c r="I38" s="336">
        <v>0</v>
      </c>
      <c r="J38" s="336">
        <v>0</v>
      </c>
      <c r="K38" s="336">
        <v>0</v>
      </c>
      <c r="L38" s="336">
        <v>0</v>
      </c>
      <c r="M38" s="336">
        <v>0</v>
      </c>
      <c r="N38" s="336">
        <v>0</v>
      </c>
      <c r="O38" s="336">
        <v>0</v>
      </c>
      <c r="P38" s="336">
        <v>7271173</v>
      </c>
      <c r="Q38" s="336">
        <v>0</v>
      </c>
      <c r="R38" s="336">
        <v>0</v>
      </c>
      <c r="S38" s="336">
        <v>0</v>
      </c>
      <c r="T38" s="336">
        <v>0</v>
      </c>
      <c r="U38" s="336">
        <v>0</v>
      </c>
      <c r="V38" s="336">
        <v>0</v>
      </c>
      <c r="W38" s="336">
        <v>0</v>
      </c>
      <c r="X38" s="336">
        <v>0</v>
      </c>
      <c r="Y38" s="336">
        <v>12072906</v>
      </c>
      <c r="Z38" s="336">
        <v>0</v>
      </c>
      <c r="AA38" s="336">
        <v>0</v>
      </c>
      <c r="AB38" s="336">
        <v>0</v>
      </c>
      <c r="AC38" s="336">
        <v>0</v>
      </c>
      <c r="AD38" s="336">
        <v>0</v>
      </c>
      <c r="AE38" s="336">
        <v>0</v>
      </c>
      <c r="AF38" s="336">
        <v>0</v>
      </c>
      <c r="AG38" s="336">
        <v>0</v>
      </c>
      <c r="AH38" s="336">
        <v>20667731</v>
      </c>
      <c r="AI38" s="336">
        <v>5460766</v>
      </c>
      <c r="AJ38" s="336">
        <v>0</v>
      </c>
      <c r="AK38" s="336">
        <v>0</v>
      </c>
      <c r="AL38" s="336">
        <v>0</v>
      </c>
      <c r="AM38" s="336">
        <v>0</v>
      </c>
      <c r="AN38" s="336">
        <v>0</v>
      </c>
      <c r="AO38" s="336">
        <v>0</v>
      </c>
      <c r="AP38" s="336">
        <v>0</v>
      </c>
      <c r="AQ38" s="336">
        <v>0</v>
      </c>
      <c r="AR38" s="336">
        <v>0</v>
      </c>
      <c r="AS38" s="336">
        <v>0</v>
      </c>
      <c r="AT38" s="336">
        <v>0</v>
      </c>
      <c r="AU38" s="336">
        <v>0</v>
      </c>
      <c r="AV38" s="336">
        <v>0</v>
      </c>
      <c r="AW38" s="336">
        <v>0</v>
      </c>
      <c r="AX38" s="336">
        <v>0</v>
      </c>
      <c r="AY38" s="336">
        <v>0</v>
      </c>
      <c r="AZ38" s="336">
        <v>0</v>
      </c>
      <c r="BA38" s="336">
        <v>0</v>
      </c>
      <c r="BB38" s="336">
        <v>0</v>
      </c>
      <c r="BC38" s="336">
        <v>0</v>
      </c>
      <c r="BD38" s="336">
        <v>0</v>
      </c>
      <c r="BE38" s="336">
        <v>0</v>
      </c>
      <c r="BF38" s="336">
        <v>0</v>
      </c>
      <c r="BG38" s="336">
        <v>0</v>
      </c>
      <c r="BH38" s="336">
        <v>0</v>
      </c>
      <c r="BI38" s="336">
        <v>0</v>
      </c>
      <c r="BJ38" s="336">
        <v>0</v>
      </c>
      <c r="BK38" s="336">
        <v>0</v>
      </c>
      <c r="BL38" s="336">
        <v>0</v>
      </c>
      <c r="BM38" s="336">
        <v>0</v>
      </c>
      <c r="BN38" s="336">
        <v>0</v>
      </c>
      <c r="BO38" s="336">
        <v>0</v>
      </c>
      <c r="BP38" s="336">
        <v>0</v>
      </c>
      <c r="BQ38" s="336">
        <v>0</v>
      </c>
      <c r="BR38" s="336">
        <v>0</v>
      </c>
      <c r="BS38" s="336">
        <v>0</v>
      </c>
      <c r="BT38" s="336">
        <v>0</v>
      </c>
      <c r="BU38" s="336">
        <v>0</v>
      </c>
      <c r="BV38" s="336">
        <v>0</v>
      </c>
      <c r="BW38" s="336">
        <v>0</v>
      </c>
      <c r="BX38" s="336">
        <v>0</v>
      </c>
      <c r="BY38" s="336">
        <v>0</v>
      </c>
      <c r="BZ38" s="336">
        <v>0</v>
      </c>
      <c r="CA38" s="336">
        <v>95640419</v>
      </c>
      <c r="CB38" s="336">
        <v>0</v>
      </c>
      <c r="CC38" s="336">
        <v>0</v>
      </c>
      <c r="CD38" s="336">
        <v>0</v>
      </c>
      <c r="CE38" s="336">
        <v>0</v>
      </c>
      <c r="CF38" s="336">
        <v>0</v>
      </c>
      <c r="CG38" s="336">
        <v>0</v>
      </c>
      <c r="CH38" s="336">
        <v>0</v>
      </c>
      <c r="CI38" s="336">
        <v>0</v>
      </c>
      <c r="CJ38" s="336">
        <v>-5963029</v>
      </c>
      <c r="CK38" s="336">
        <v>0</v>
      </c>
      <c r="CL38" s="336">
        <v>0</v>
      </c>
      <c r="CM38" s="336">
        <v>0</v>
      </c>
      <c r="CN38" s="336">
        <v>0</v>
      </c>
      <c r="CO38" s="336">
        <v>0</v>
      </c>
      <c r="CP38" s="336">
        <v>0</v>
      </c>
      <c r="CQ38" s="336">
        <v>0</v>
      </c>
      <c r="CR38" s="336">
        <v>0</v>
      </c>
      <c r="CS38" s="336">
        <v>0</v>
      </c>
      <c r="CT38" s="336">
        <v>0</v>
      </c>
      <c r="CU38" s="336">
        <v>0</v>
      </c>
      <c r="CV38" s="336">
        <v>0</v>
      </c>
      <c r="CW38" s="336">
        <v>0</v>
      </c>
      <c r="CX38" s="336">
        <v>0</v>
      </c>
      <c r="CY38" s="336">
        <v>0</v>
      </c>
      <c r="CZ38" s="336">
        <v>0</v>
      </c>
      <c r="DA38" s="336">
        <v>0</v>
      </c>
      <c r="DB38" s="336">
        <v>-4097886</v>
      </c>
      <c r="DC38" s="336">
        <v>0</v>
      </c>
      <c r="DD38" s="336">
        <v>0</v>
      </c>
      <c r="DE38" s="336">
        <v>0</v>
      </c>
      <c r="DF38" s="336">
        <v>0</v>
      </c>
      <c r="DG38" s="336">
        <v>0</v>
      </c>
      <c r="DH38" s="336">
        <v>0</v>
      </c>
      <c r="DI38" s="336">
        <v>0</v>
      </c>
      <c r="DJ38" s="336">
        <v>0</v>
      </c>
      <c r="DK38" s="336">
        <v>0</v>
      </c>
      <c r="DL38" s="336">
        <v>0</v>
      </c>
      <c r="DM38" s="336">
        <v>0</v>
      </c>
      <c r="DN38" s="336">
        <v>0</v>
      </c>
      <c r="DO38" s="336">
        <v>0</v>
      </c>
      <c r="DP38" s="336">
        <v>0</v>
      </c>
      <c r="DQ38" s="336">
        <v>0</v>
      </c>
      <c r="DR38" s="336">
        <v>0</v>
      </c>
      <c r="DS38" s="336">
        <v>0</v>
      </c>
      <c r="DT38" s="336">
        <v>0</v>
      </c>
      <c r="DU38" s="336">
        <v>0</v>
      </c>
      <c r="DV38" s="336">
        <v>0</v>
      </c>
      <c r="DW38" s="336">
        <v>0</v>
      </c>
      <c r="DX38" s="336">
        <v>0</v>
      </c>
      <c r="DY38" s="336">
        <v>0</v>
      </c>
      <c r="DZ38" s="336">
        <v>0</v>
      </c>
      <c r="EA38" s="336">
        <v>0</v>
      </c>
      <c r="EB38" s="336">
        <v>0</v>
      </c>
      <c r="EC38" s="336">
        <v>0</v>
      </c>
      <c r="ED38" s="336">
        <v>0</v>
      </c>
      <c r="EE38" s="336">
        <v>0</v>
      </c>
      <c r="EF38" s="336">
        <v>0</v>
      </c>
      <c r="EG38" s="336">
        <v>0</v>
      </c>
      <c r="EH38" s="336">
        <v>0</v>
      </c>
      <c r="EI38" s="336">
        <v>0</v>
      </c>
      <c r="EJ38" s="336">
        <v>0</v>
      </c>
      <c r="EK38" s="336">
        <v>0</v>
      </c>
      <c r="EL38" s="336">
        <v>0</v>
      </c>
      <c r="EM38" s="336">
        <v>0</v>
      </c>
      <c r="EN38" s="336">
        <v>0</v>
      </c>
      <c r="EO38" s="336">
        <v>0</v>
      </c>
      <c r="EP38" s="336">
        <v>0</v>
      </c>
      <c r="EQ38" s="336">
        <v>0</v>
      </c>
      <c r="ER38" s="336">
        <v>0</v>
      </c>
      <c r="ES38" s="336">
        <v>0</v>
      </c>
      <c r="ET38" s="336">
        <v>0</v>
      </c>
      <c r="EU38" s="336">
        <v>0</v>
      </c>
      <c r="EV38" s="336">
        <v>0</v>
      </c>
      <c r="EW38" s="336">
        <v>0</v>
      </c>
      <c r="EX38" s="336">
        <v>0</v>
      </c>
      <c r="EY38" s="336">
        <v>0</v>
      </c>
      <c r="EZ38" s="336">
        <v>0</v>
      </c>
      <c r="FA38" s="336">
        <v>0</v>
      </c>
      <c r="FB38" s="336">
        <v>0</v>
      </c>
      <c r="FC38" s="336">
        <v>0</v>
      </c>
      <c r="FD38" s="336">
        <v>0</v>
      </c>
      <c r="FE38" s="336">
        <v>0</v>
      </c>
      <c r="FF38" s="336">
        <v>0</v>
      </c>
      <c r="FG38" s="336">
        <v>0</v>
      </c>
      <c r="FH38" s="336">
        <v>0</v>
      </c>
      <c r="FI38" s="336">
        <v>0</v>
      </c>
      <c r="FJ38" s="336">
        <v>0</v>
      </c>
      <c r="FK38" s="336">
        <v>0</v>
      </c>
      <c r="FL38" s="336">
        <v>0</v>
      </c>
      <c r="FM38" s="336">
        <v>-34552078</v>
      </c>
      <c r="FN38" s="336">
        <v>0</v>
      </c>
      <c r="FO38" s="336">
        <v>0</v>
      </c>
      <c r="FP38" s="336">
        <v>0</v>
      </c>
      <c r="FQ38" s="336">
        <v>0</v>
      </c>
      <c r="FR38" s="336">
        <v>0</v>
      </c>
      <c r="FS38" s="336">
        <v>0</v>
      </c>
      <c r="FT38" s="336">
        <v>0</v>
      </c>
      <c r="FU38" s="336">
        <v>0</v>
      </c>
      <c r="FV38" s="336">
        <v>0</v>
      </c>
      <c r="FW38" s="336">
        <v>0</v>
      </c>
      <c r="FX38" s="336">
        <v>0</v>
      </c>
      <c r="FY38" s="336">
        <v>0</v>
      </c>
      <c r="FZ38" s="336">
        <v>0</v>
      </c>
      <c r="GA38" s="336">
        <v>0</v>
      </c>
      <c r="GB38" s="336">
        <v>0</v>
      </c>
      <c r="GC38" s="336">
        <v>0</v>
      </c>
      <c r="GD38" s="336">
        <v>0</v>
      </c>
      <c r="GE38" s="336">
        <v>0</v>
      </c>
      <c r="GF38" s="336">
        <v>0</v>
      </c>
      <c r="GG38" s="336">
        <v>0</v>
      </c>
      <c r="GH38" s="336">
        <v>0</v>
      </c>
      <c r="GI38" s="336">
        <v>0</v>
      </c>
      <c r="GJ38" s="336">
        <v>0</v>
      </c>
      <c r="GK38" s="336">
        <v>0</v>
      </c>
      <c r="GL38" s="336">
        <v>0</v>
      </c>
      <c r="GM38" s="336">
        <v>0</v>
      </c>
      <c r="GN38" s="336">
        <v>0</v>
      </c>
      <c r="GO38" s="336">
        <v>0</v>
      </c>
      <c r="GP38" s="336">
        <v>0</v>
      </c>
      <c r="GQ38" s="336">
        <v>0</v>
      </c>
      <c r="GR38" s="336">
        <v>0</v>
      </c>
      <c r="GS38" s="336">
        <v>0</v>
      </c>
      <c r="GT38" s="336">
        <v>0</v>
      </c>
      <c r="GU38" s="336">
        <v>0</v>
      </c>
      <c r="GV38" s="336">
        <v>0</v>
      </c>
      <c r="GW38" s="336">
        <v>0</v>
      </c>
      <c r="GX38" s="336">
        <v>0</v>
      </c>
      <c r="GY38" s="336">
        <v>0</v>
      </c>
      <c r="GZ38" s="336">
        <v>0</v>
      </c>
      <c r="HA38" s="336">
        <v>0</v>
      </c>
      <c r="HB38" s="336">
        <v>0</v>
      </c>
      <c r="HC38" s="336">
        <v>0</v>
      </c>
      <c r="HD38" s="336">
        <v>0</v>
      </c>
      <c r="HE38" s="336">
        <v>0</v>
      </c>
      <c r="HF38" s="336">
        <v>0</v>
      </c>
      <c r="HG38" s="336">
        <v>0</v>
      </c>
      <c r="HH38" s="336">
        <v>0</v>
      </c>
      <c r="HI38" s="336">
        <v>0</v>
      </c>
      <c r="HJ38" s="336">
        <v>0</v>
      </c>
      <c r="HK38" s="336">
        <v>0</v>
      </c>
      <c r="HL38" s="336">
        <v>0</v>
      </c>
      <c r="HM38" s="336">
        <v>0</v>
      </c>
      <c r="HN38" s="336">
        <v>0</v>
      </c>
      <c r="HO38" s="336">
        <v>32036742</v>
      </c>
      <c r="HP38" s="336">
        <v>23206165</v>
      </c>
      <c r="HQ38" s="336">
        <v>0</v>
      </c>
      <c r="HR38" s="336">
        <v>0</v>
      </c>
      <c r="HS38" s="336">
        <v>0</v>
      </c>
      <c r="HT38" s="336">
        <v>0</v>
      </c>
      <c r="HU38" s="336">
        <v>0</v>
      </c>
      <c r="HV38" s="336">
        <v>0</v>
      </c>
      <c r="HW38" s="336">
        <v>0</v>
      </c>
      <c r="HX38" s="336">
        <v>0</v>
      </c>
      <c r="HY38" s="336">
        <v>0</v>
      </c>
      <c r="HZ38" s="336">
        <v>0</v>
      </c>
      <c r="IA38" s="336">
        <v>0</v>
      </c>
      <c r="IB38" s="336">
        <v>0</v>
      </c>
      <c r="IC38" s="336">
        <v>0</v>
      </c>
      <c r="ID38" s="336">
        <v>0</v>
      </c>
      <c r="IE38" s="336">
        <v>0</v>
      </c>
      <c r="IF38" s="336">
        <v>0</v>
      </c>
      <c r="IG38" s="336">
        <v>0</v>
      </c>
      <c r="IH38" s="336">
        <v>0</v>
      </c>
      <c r="II38" s="336">
        <v>0</v>
      </c>
      <c r="IJ38" s="336">
        <v>0</v>
      </c>
      <c r="IK38" s="336">
        <v>0</v>
      </c>
      <c r="IL38" s="336">
        <v>0</v>
      </c>
      <c r="IM38" s="336">
        <v>0</v>
      </c>
      <c r="IN38" s="336">
        <v>0</v>
      </c>
      <c r="IO38" s="336">
        <v>0</v>
      </c>
      <c r="IP38" s="336">
        <v>8772382</v>
      </c>
      <c r="IQ38" s="336">
        <v>0</v>
      </c>
      <c r="IR38" s="336">
        <v>0</v>
      </c>
      <c r="IS38" s="336">
        <v>0</v>
      </c>
      <c r="IT38" s="336">
        <v>0</v>
      </c>
      <c r="IU38" s="336">
        <v>0</v>
      </c>
      <c r="IV38" s="336">
        <v>0</v>
      </c>
      <c r="IW38" s="336">
        <v>0</v>
      </c>
      <c r="IX38" s="336">
        <v>0</v>
      </c>
      <c r="IY38" s="336">
        <v>0</v>
      </c>
      <c r="IZ38" s="336">
        <v>0</v>
      </c>
      <c r="JA38" s="336">
        <v>0</v>
      </c>
      <c r="JB38" s="336">
        <v>0</v>
      </c>
      <c r="JC38" s="336">
        <v>0</v>
      </c>
      <c r="JD38" s="336">
        <v>0</v>
      </c>
      <c r="JE38" s="336">
        <v>0</v>
      </c>
      <c r="JF38" s="336">
        <v>0</v>
      </c>
      <c r="JG38" s="336">
        <v>0</v>
      </c>
      <c r="JH38" s="336">
        <v>239941</v>
      </c>
      <c r="JI38" s="336">
        <v>0</v>
      </c>
      <c r="JJ38" s="336">
        <v>0</v>
      </c>
      <c r="JK38" s="336">
        <v>0</v>
      </c>
      <c r="JL38" s="336">
        <v>0</v>
      </c>
      <c r="JM38" s="336">
        <v>0</v>
      </c>
      <c r="JN38" s="336">
        <v>0</v>
      </c>
      <c r="JO38" s="336">
        <v>0</v>
      </c>
      <c r="JP38" s="336">
        <v>0</v>
      </c>
      <c r="JQ38" s="336">
        <v>0</v>
      </c>
      <c r="JR38" s="336">
        <v>0</v>
      </c>
      <c r="JS38" s="336">
        <v>0</v>
      </c>
      <c r="JT38" s="336">
        <v>0</v>
      </c>
      <c r="JU38" s="336">
        <v>0</v>
      </c>
      <c r="JV38" s="336">
        <v>0</v>
      </c>
      <c r="JW38" s="336">
        <v>0</v>
      </c>
      <c r="JX38" s="336">
        <v>0</v>
      </c>
      <c r="JY38" s="336">
        <v>0</v>
      </c>
      <c r="JZ38" s="336">
        <v>0</v>
      </c>
      <c r="KA38" s="336">
        <v>19643437</v>
      </c>
      <c r="KB38" s="336">
        <v>0</v>
      </c>
      <c r="KC38" s="336">
        <v>0</v>
      </c>
      <c r="KD38" s="336">
        <v>0</v>
      </c>
      <c r="KE38" s="336">
        <v>0</v>
      </c>
      <c r="KF38" s="336">
        <v>0</v>
      </c>
      <c r="KG38" s="336">
        <v>0</v>
      </c>
      <c r="KH38" s="336">
        <v>0</v>
      </c>
      <c r="KI38" s="336">
        <v>3881603</v>
      </c>
      <c r="KJ38" s="336">
        <v>0</v>
      </c>
      <c r="KK38" s="336">
        <v>0</v>
      </c>
      <c r="KL38" s="336">
        <v>0</v>
      </c>
      <c r="KM38" s="336">
        <v>0</v>
      </c>
      <c r="KN38" s="336">
        <v>0</v>
      </c>
      <c r="KO38" s="336">
        <v>0</v>
      </c>
      <c r="KP38" s="336">
        <v>0</v>
      </c>
      <c r="KQ38" s="336">
        <v>11809093</v>
      </c>
      <c r="KR38" s="336">
        <v>55626554</v>
      </c>
      <c r="KS38" s="336">
        <v>0</v>
      </c>
      <c r="KT38" s="336">
        <v>0</v>
      </c>
      <c r="KU38" s="336">
        <v>0</v>
      </c>
      <c r="KV38" s="336">
        <v>0</v>
      </c>
      <c r="KW38" s="336">
        <v>0</v>
      </c>
      <c r="KX38" s="336">
        <v>0</v>
      </c>
      <c r="KY38" s="336">
        <v>0</v>
      </c>
      <c r="KZ38" s="336">
        <v>0</v>
      </c>
      <c r="LA38" s="336">
        <v>4952692</v>
      </c>
      <c r="LB38" s="336">
        <v>0</v>
      </c>
      <c r="LC38" s="336">
        <v>0</v>
      </c>
      <c r="LD38" s="336">
        <v>0</v>
      </c>
      <c r="LE38" s="336">
        <v>0</v>
      </c>
      <c r="LF38" s="336">
        <v>0</v>
      </c>
      <c r="LG38" s="336">
        <v>0</v>
      </c>
      <c r="LH38" s="336">
        <v>0</v>
      </c>
      <c r="LI38" s="336">
        <v>0</v>
      </c>
      <c r="LJ38" s="336">
        <v>1675028</v>
      </c>
      <c r="LK38" s="336">
        <v>0</v>
      </c>
      <c r="LL38" s="336">
        <v>0</v>
      </c>
      <c r="LM38" s="336">
        <v>0</v>
      </c>
      <c r="LN38" s="336">
        <v>0</v>
      </c>
      <c r="LO38" s="336">
        <v>0</v>
      </c>
      <c r="LP38" s="336">
        <v>0</v>
      </c>
      <c r="LQ38" s="336">
        <v>0</v>
      </c>
      <c r="LR38" s="336">
        <v>0</v>
      </c>
      <c r="LS38" s="336">
        <v>0</v>
      </c>
      <c r="LT38" s="336">
        <v>0</v>
      </c>
      <c r="LU38" s="336">
        <v>0</v>
      </c>
      <c r="LV38" s="336">
        <v>0</v>
      </c>
      <c r="LW38" s="336">
        <v>0</v>
      </c>
      <c r="LX38" s="336">
        <v>0</v>
      </c>
      <c r="LY38" s="336">
        <v>0</v>
      </c>
      <c r="LZ38" s="336">
        <v>0</v>
      </c>
      <c r="MA38" s="336">
        <v>0</v>
      </c>
      <c r="MB38" s="336">
        <v>8732930</v>
      </c>
      <c r="MC38" s="336">
        <v>0</v>
      </c>
      <c r="MD38" s="336">
        <v>0</v>
      </c>
      <c r="ME38" s="336">
        <v>0</v>
      </c>
      <c r="MF38" s="336">
        <v>0</v>
      </c>
      <c r="MG38" s="336">
        <v>0</v>
      </c>
      <c r="MH38" s="336">
        <v>0</v>
      </c>
      <c r="MI38" s="336">
        <v>0</v>
      </c>
      <c r="MJ38" s="336">
        <v>0</v>
      </c>
      <c r="MK38" s="336">
        <v>10518435</v>
      </c>
      <c r="ML38" s="336">
        <v>0</v>
      </c>
      <c r="MM38" s="336">
        <v>0</v>
      </c>
      <c r="MN38" s="336">
        <v>0</v>
      </c>
      <c r="MO38" s="336">
        <v>0</v>
      </c>
      <c r="MP38" s="336">
        <v>0</v>
      </c>
      <c r="MQ38" s="336">
        <v>0</v>
      </c>
      <c r="MR38" s="336">
        <v>0</v>
      </c>
      <c r="MS38" s="336">
        <v>0</v>
      </c>
      <c r="MT38" s="336">
        <v>42649252</v>
      </c>
      <c r="MU38" s="336">
        <v>0</v>
      </c>
      <c r="MV38" s="336">
        <v>0</v>
      </c>
      <c r="MW38" s="336">
        <v>0</v>
      </c>
      <c r="MX38" s="336">
        <v>0</v>
      </c>
      <c r="MY38" s="336">
        <v>0</v>
      </c>
      <c r="MZ38" s="336">
        <v>0</v>
      </c>
      <c r="NA38" s="336">
        <v>0</v>
      </c>
      <c r="NB38" s="336">
        <v>0</v>
      </c>
      <c r="NC38" s="336">
        <v>12817175</v>
      </c>
      <c r="ND38" s="336">
        <v>0</v>
      </c>
      <c r="NE38" s="336">
        <v>0</v>
      </c>
      <c r="NF38" s="336">
        <v>0</v>
      </c>
      <c r="NG38" s="336">
        <v>0</v>
      </c>
      <c r="NH38" s="336">
        <v>0</v>
      </c>
      <c r="NI38" s="336">
        <v>0</v>
      </c>
      <c r="NJ38" s="336">
        <v>0</v>
      </c>
      <c r="NK38" s="336">
        <v>0</v>
      </c>
      <c r="NL38" s="336">
        <v>25399572</v>
      </c>
      <c r="NM38" s="336">
        <v>0</v>
      </c>
      <c r="NN38" s="336">
        <v>0</v>
      </c>
      <c r="NO38" s="336">
        <v>0</v>
      </c>
      <c r="NP38" s="336">
        <v>0</v>
      </c>
      <c r="NQ38" s="336">
        <v>0</v>
      </c>
      <c r="NR38" s="336">
        <v>0</v>
      </c>
      <c r="NS38" s="336">
        <v>0</v>
      </c>
      <c r="NT38" s="336">
        <v>0</v>
      </c>
      <c r="NU38" s="336">
        <v>13332288</v>
      </c>
      <c r="NV38" s="336">
        <v>0</v>
      </c>
      <c r="NW38" s="336">
        <v>0</v>
      </c>
      <c r="NX38" s="336">
        <v>0</v>
      </c>
      <c r="NY38" s="336">
        <v>0</v>
      </c>
      <c r="NZ38" s="336">
        <v>0</v>
      </c>
      <c r="OA38" s="336">
        <v>0</v>
      </c>
      <c r="OB38" s="336">
        <v>0</v>
      </c>
      <c r="OC38" s="336">
        <v>0</v>
      </c>
      <c r="OD38" s="336">
        <v>0</v>
      </c>
      <c r="OE38" s="336">
        <v>0</v>
      </c>
      <c r="OF38" s="336">
        <v>0</v>
      </c>
      <c r="OG38" s="336">
        <v>0</v>
      </c>
      <c r="OH38" s="336">
        <v>0</v>
      </c>
      <c r="OI38" s="336">
        <v>0</v>
      </c>
      <c r="OJ38" s="336">
        <v>0</v>
      </c>
      <c r="OK38" s="336">
        <v>0</v>
      </c>
      <c r="OL38" s="336">
        <v>0</v>
      </c>
      <c r="OM38" s="336">
        <v>0</v>
      </c>
      <c r="ON38" s="336">
        <v>0</v>
      </c>
      <c r="OO38" s="336">
        <v>0</v>
      </c>
      <c r="OP38" s="336">
        <v>0</v>
      </c>
      <c r="OQ38" s="336">
        <v>0</v>
      </c>
      <c r="OR38" s="336">
        <v>0</v>
      </c>
      <c r="OS38" s="336">
        <v>0</v>
      </c>
      <c r="OT38" s="336">
        <v>0</v>
      </c>
      <c r="OU38" s="336">
        <v>0</v>
      </c>
      <c r="OV38" s="336">
        <v>0</v>
      </c>
      <c r="OW38" s="336">
        <v>0</v>
      </c>
      <c r="OX38" s="336">
        <v>0</v>
      </c>
      <c r="OY38" s="336">
        <v>0</v>
      </c>
      <c r="OZ38" s="336">
        <v>0</v>
      </c>
      <c r="PA38" s="336">
        <v>0</v>
      </c>
      <c r="PB38" s="336">
        <v>0</v>
      </c>
      <c r="PC38" s="336">
        <v>0</v>
      </c>
      <c r="PD38" s="336">
        <v>0</v>
      </c>
      <c r="PE38" s="336">
        <v>0</v>
      </c>
      <c r="PF38" s="336">
        <v>0</v>
      </c>
      <c r="PG38" s="336">
        <v>0</v>
      </c>
      <c r="PH38" s="336">
        <v>0</v>
      </c>
      <c r="PI38" s="336">
        <v>0</v>
      </c>
      <c r="PJ38" s="336">
        <v>0</v>
      </c>
      <c r="PK38" s="336">
        <v>0</v>
      </c>
      <c r="PL38" s="336">
        <v>0</v>
      </c>
      <c r="PM38" s="336">
        <v>-16077637</v>
      </c>
      <c r="PN38" s="336">
        <v>0</v>
      </c>
      <c r="PO38" s="336">
        <v>0</v>
      </c>
      <c r="PP38" s="336">
        <v>0</v>
      </c>
      <c r="PQ38" s="336">
        <v>0</v>
      </c>
      <c r="PR38" s="336">
        <v>0</v>
      </c>
      <c r="PS38" s="336">
        <v>0</v>
      </c>
      <c r="PT38" s="336">
        <v>0</v>
      </c>
      <c r="PU38" s="336">
        <v>0</v>
      </c>
      <c r="PV38" s="336">
        <v>0</v>
      </c>
      <c r="PW38" s="336">
        <v>0</v>
      </c>
      <c r="PX38" s="336">
        <v>0</v>
      </c>
      <c r="PY38" s="336">
        <v>0</v>
      </c>
      <c r="PZ38" s="336">
        <v>0</v>
      </c>
      <c r="QA38" s="336">
        <v>0</v>
      </c>
      <c r="QB38" s="336">
        <v>0</v>
      </c>
      <c r="QC38" s="336">
        <v>0</v>
      </c>
      <c r="QD38" s="336">
        <v>0</v>
      </c>
      <c r="QE38" s="336">
        <v>-5511404</v>
      </c>
      <c r="QF38" s="336">
        <v>0</v>
      </c>
      <c r="QG38" s="336">
        <v>0</v>
      </c>
      <c r="QH38" s="336">
        <v>0</v>
      </c>
      <c r="QI38" s="336">
        <v>0</v>
      </c>
      <c r="QJ38" s="336">
        <v>0</v>
      </c>
      <c r="QK38" s="336">
        <v>0</v>
      </c>
      <c r="QL38" s="336">
        <v>0</v>
      </c>
      <c r="QM38" s="336">
        <v>0</v>
      </c>
      <c r="QN38" s="336">
        <v>0</v>
      </c>
      <c r="QO38" s="336">
        <v>1397019</v>
      </c>
      <c r="QP38" s="336">
        <v>0</v>
      </c>
      <c r="QQ38" s="336">
        <v>0</v>
      </c>
      <c r="QR38" s="336">
        <v>0</v>
      </c>
      <c r="QS38" s="336">
        <v>0</v>
      </c>
      <c r="QT38" s="336">
        <v>0</v>
      </c>
      <c r="QU38" s="336">
        <v>0</v>
      </c>
      <c r="QV38" s="336">
        <v>0</v>
      </c>
      <c r="QW38" s="336">
        <v>0</v>
      </c>
      <c r="QX38" s="336">
        <v>0</v>
      </c>
      <c r="QY38" s="336">
        <v>0</v>
      </c>
      <c r="QZ38" s="336">
        <v>0</v>
      </c>
      <c r="RA38" s="336">
        <v>0</v>
      </c>
      <c r="RB38" s="336">
        <v>0</v>
      </c>
      <c r="RC38" s="336">
        <v>0</v>
      </c>
      <c r="RD38" s="336">
        <v>0</v>
      </c>
      <c r="RE38" s="336">
        <v>0</v>
      </c>
      <c r="RF38" s="336">
        <v>0</v>
      </c>
      <c r="RG38" s="336">
        <v>0</v>
      </c>
      <c r="RH38" s="336">
        <v>0</v>
      </c>
      <c r="RI38" s="336">
        <v>0</v>
      </c>
      <c r="RJ38" s="336">
        <v>0</v>
      </c>
      <c r="RK38" s="336">
        <v>0</v>
      </c>
      <c r="RL38" s="336">
        <v>0</v>
      </c>
      <c r="RM38" s="336">
        <v>0</v>
      </c>
      <c r="RN38" s="336">
        <v>0</v>
      </c>
      <c r="RO38" s="336">
        <v>-20734355</v>
      </c>
      <c r="RP38" s="336">
        <v>0</v>
      </c>
      <c r="RQ38" s="336">
        <v>0</v>
      </c>
      <c r="RR38" s="336">
        <v>0</v>
      </c>
      <c r="RS38" s="336">
        <v>0</v>
      </c>
      <c r="RT38" s="336">
        <v>0</v>
      </c>
      <c r="RU38" s="336">
        <v>0</v>
      </c>
      <c r="RV38" s="336">
        <v>0</v>
      </c>
      <c r="RW38" s="336">
        <v>0</v>
      </c>
      <c r="RX38" s="336">
        <v>0</v>
      </c>
      <c r="RY38" s="336">
        <v>0</v>
      </c>
      <c r="RZ38" s="336">
        <v>0</v>
      </c>
      <c r="SA38" s="336">
        <v>0</v>
      </c>
      <c r="SB38" s="336">
        <v>0</v>
      </c>
      <c r="SC38" s="336">
        <v>0</v>
      </c>
      <c r="SD38" s="336">
        <v>0</v>
      </c>
      <c r="SE38" s="336">
        <v>0</v>
      </c>
      <c r="SF38" s="336">
        <v>0</v>
      </c>
      <c r="SG38" s="336">
        <v>0</v>
      </c>
      <c r="SH38" s="336">
        <v>0</v>
      </c>
      <c r="SI38" s="336">
        <v>0</v>
      </c>
      <c r="SJ38" s="336">
        <v>0</v>
      </c>
      <c r="SK38" s="336">
        <v>0</v>
      </c>
      <c r="SL38" s="336">
        <v>0</v>
      </c>
      <c r="SM38" s="336">
        <v>0</v>
      </c>
      <c r="SN38" s="336">
        <v>0</v>
      </c>
      <c r="SO38" s="336">
        <v>0</v>
      </c>
      <c r="SP38" s="336">
        <v>0</v>
      </c>
      <c r="SQ38" s="336">
        <v>0</v>
      </c>
      <c r="SR38" s="336">
        <v>0</v>
      </c>
      <c r="SS38" s="336">
        <v>0</v>
      </c>
      <c r="ST38" s="336">
        <v>0</v>
      </c>
      <c r="SU38" s="336">
        <v>0</v>
      </c>
      <c r="SV38" s="336">
        <v>0</v>
      </c>
      <c r="SW38" s="336">
        <v>0</v>
      </c>
      <c r="SX38" s="336">
        <v>0</v>
      </c>
      <c r="SY38" s="336">
        <v>0</v>
      </c>
      <c r="SZ38" s="336" t="s">
        <v>1420</v>
      </c>
      <c r="TA38" s="336" t="s">
        <v>1420</v>
      </c>
      <c r="TB38" s="336" t="s">
        <v>1420</v>
      </c>
      <c r="TC38" s="336">
        <v>0</v>
      </c>
      <c r="TD38" s="336">
        <v>0</v>
      </c>
      <c r="TE38" s="336">
        <v>0</v>
      </c>
      <c r="TF38" s="336">
        <v>0</v>
      </c>
      <c r="TG38" s="336">
        <v>0</v>
      </c>
      <c r="TH38" s="336">
        <v>0</v>
      </c>
      <c r="TI38" s="336">
        <v>0</v>
      </c>
      <c r="TJ38" s="336">
        <v>0</v>
      </c>
      <c r="TK38" s="336">
        <v>0</v>
      </c>
      <c r="TL38" s="336">
        <v>0</v>
      </c>
      <c r="TM38" s="336">
        <v>0</v>
      </c>
      <c r="TN38" s="336">
        <v>0</v>
      </c>
      <c r="TO38" s="336">
        <v>0</v>
      </c>
      <c r="TP38" s="336">
        <v>0</v>
      </c>
      <c r="TQ38" s="336">
        <v>0</v>
      </c>
      <c r="TR38" s="336">
        <v>0</v>
      </c>
      <c r="TS38" s="336">
        <v>0</v>
      </c>
      <c r="TT38" s="336">
        <v>0</v>
      </c>
      <c r="TU38" s="336">
        <v>0</v>
      </c>
      <c r="TV38" s="336">
        <v>0</v>
      </c>
      <c r="TW38" s="336">
        <v>0</v>
      </c>
      <c r="TX38" s="336">
        <v>0</v>
      </c>
      <c r="TY38" s="336">
        <v>0</v>
      </c>
      <c r="TZ38" s="336">
        <v>0</v>
      </c>
      <c r="UA38" s="336">
        <v>0</v>
      </c>
      <c r="UB38" s="336">
        <v>0</v>
      </c>
      <c r="UC38" s="336">
        <v>0</v>
      </c>
      <c r="UD38" s="336">
        <v>0</v>
      </c>
      <c r="UE38" s="336">
        <v>0</v>
      </c>
      <c r="UF38" s="336">
        <v>0</v>
      </c>
      <c r="UG38" s="336">
        <v>0</v>
      </c>
      <c r="UH38" s="351">
        <v>56764798</v>
      </c>
      <c r="UI38" s="351">
        <v>5054035</v>
      </c>
      <c r="UJ38" s="351">
        <v>1709303</v>
      </c>
      <c r="UK38" s="336">
        <v>0</v>
      </c>
      <c r="UL38" s="351">
        <v>8911625</v>
      </c>
      <c r="UM38" s="351">
        <v>10733665</v>
      </c>
      <c r="UN38" s="351">
        <v>43527439</v>
      </c>
      <c r="UO38" s="351">
        <v>13079444</v>
      </c>
      <c r="UP38" s="351">
        <v>25919304</v>
      </c>
      <c r="UQ38" s="351">
        <v>13605097</v>
      </c>
      <c r="UR38"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0</v>
      </c>
      <c r="US38" s="338">
        <f>SUM(Input[[#This Row],[Oth Exp E&amp;G]],Input[[#This Row],[Oth Exp Desg]],Input[[#This Row],[Oth Exp Aux]],Input[[#This Row],[Oth Exp R Exp]],Input[[#This Row],[Oth Exp Loan]],Input[[#This Row],[Oth Exp Annuity]],Input[[#This Row],[Oth Exp Unexp]],Input[[#This Row],[Oth Exp R of Ind]],Input[[#This Row],[Oth Exp Inv in P]])</f>
        <v>0</v>
      </c>
      <c r="UT38" s="336">
        <v>57771387</v>
      </c>
      <c r="UU38" s="336">
        <v>11809093</v>
      </c>
      <c r="UV38" s="339" t="s">
        <v>1509</v>
      </c>
      <c r="UW38" s="340">
        <v>7133137197</v>
      </c>
      <c r="UX38" s="339" t="s">
        <v>1510</v>
      </c>
      <c r="UY38" s="339" t="s">
        <v>1511</v>
      </c>
      <c r="UZ38" s="340"/>
      <c r="VA38" s="339" t="s">
        <v>1512</v>
      </c>
      <c r="VB38" s="341" cm="1">
        <f t="array" ref="VB38">IFERROR(_xlfn.IFS(Input[[#This Row],[Type]]="HRI",VLOOKUP(Input[[#This Row],[Institution Name]],FTSEHRI[],9,FALSE),Input[[#This Row],[Type]]="UNIV",VLOOKUP(Input[[#This Row],[Institution Name]],FTSEUNIV[],9,FALSE),OR(Input[[#This Row],[Type]]="TSTC",Input[[#This Row],[Type]]="LSC"),VLOOKUP(Input[[#This Row],[Institution Name]],FTSETSTC[],8,FALSE)),"N/A")</f>
        <v>7631.23</v>
      </c>
      <c r="VC38" s="342" t="str" cm="1">
        <f t="array" ref="VC38">IFERROR(_xlfn.IFS(Input[[#This Row],[Type]]="HRI",VLOOKUP(Input[[#This Row],[Institution Name]],FTSEHRI[],11,FALSE),Input[[#This Row],[Type]]="UNIV",VLOOKUP(Input[[#This Row],[Institution Name]],FTSEUNIV[],11,FALSE),Input[[#This Row],[Type]]="TSTC",VLOOKUP(Input[[#This Row],[Institution Name]],FTSETSTC[],10,FALSE)),"N/A")</f>
        <v>N/A</v>
      </c>
      <c r="VD38"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78055255</v>
      </c>
      <c r="VE38"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38201403</v>
      </c>
      <c r="VF38" s="338">
        <f>SUM(Input[[#This Row],[Fed G&amp;C E&amp;G]],Input[[#This Row],[Fed G&amp;C Desg]],Input[[#This Row],[Fed G&amp;C R Exp]],Input[[#This Row],[Fed G&amp;C Loan]],Input[[#This Row],[Fed G&amp;C Annuity]],Input[[#This Row],[Fed G&amp;C Unexp]],Input[[#This Row],[Fed G&amp;C R of Ind]],Input[[#This Row],[Fed G&amp;C Inv in P]])</f>
        <v>55242907</v>
      </c>
      <c r="VG38"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24703019</v>
      </c>
      <c r="VH38"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85579504</v>
      </c>
      <c r="VI38"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-34552078</v>
      </c>
      <c r="VJ38" s="338">
        <f>SUM(Input[[#This Row],[Oth Inc E&amp;G]],Input[[#This Row],[Oth Exp Desg]],Input[[#This Row],[Oth Exp R Exp]],Input[[#This Row],[Oth Exp Loan]],Input[[#This Row],[Oth Exp Annuity]],Input[[#This Row],[Oth Exp Unexp]],Input[[#This Row],[Oth Exp R of Ind]],Input[[#This Row],[Oth Exp Inv in P]])</f>
        <v>3881603</v>
      </c>
      <c r="VK38" s="343">
        <f>SUM(Input[[#This Row],[Instr E&amp;G]],Input[[#This Row],[Instr Desg]],Input[[#This Row],[Instr R Exp]],Input[[#This Row],[Instr Loan]],Input[[#This Row],[Instr Annuity]],Input[[#This Row],[Instr Unexp]],Input[[#This Row],[Instr R of Ind]],Input[[#This Row],[Instr Inv in P]])</f>
        <v>55626554</v>
      </c>
      <c r="VL38" s="343">
        <f>SUM(Input[[#This Row],[Res E&amp;G]],Input[[#This Row],[Res Desg]],Input[[#This Row],[Res R Exp]],Input[[#This Row],[Res Loan]],Input[[#This Row],[Res Annuity]],Input[[#This Row],[Res Unexp]],Input[[#This Row],[Res R of Ind]],Input[[#This Row],[Res Inv in P]])</f>
        <v>4952692</v>
      </c>
      <c r="VM38" s="343">
        <f>SUM(Input[[#This Row],[Acad Sup E&amp;G]],Input[[#This Row],[Acad Sup Desg]],Input[[#This Row],[Acad Sup R Exp]],Input[[#This Row],[Acad Sup Loan]],Input[[#This Row],[Acad Sup Annuity]],Input[[#This Row],[Acad Sup Unexp]],Input[[#This Row],[Acad Sup R of Ind]],Input[[#This Row],[Acad Sup Inv in P]])</f>
        <v>8732930</v>
      </c>
      <c r="VN38" s="343">
        <f>SUM(Input[[#This Row],[Stu Svc E&amp;G]],Input[[#This Row],[Stu Svc Desg]],Input[[#This Row],[Stu Svc R Exp]],Input[[#This Row],[Stu Svc Loan]],Input[[#This Row],[Stu Svc Annuity]],Input[[#This Row],[Stu Svc Unexp]],Input[[#This Row],[Stu Svc R of Ind]],Input[[#This Row],[Stu Svc Inv in P]])</f>
        <v>10518435</v>
      </c>
      <c r="VO38" s="343">
        <f>SUM(Input[[#This Row],[Inst. Spt E&amp;G]],Input[[#This Row],[Inst. Spt Desg]],Input[[#This Row],[Inst. Spt R Exp]],Input[[#This Row],[Inst. Spt Loan]],Input[[#This Row],[Inst. Spt Annuity]],Input[[#This Row],[Inst. Spt Unexp]],Input[[#This Row],[Inst. Spt R of Ind]],Input[[#This Row],[Inst. Spt Inv in P]])</f>
        <v>42649252</v>
      </c>
      <c r="VP38" s="343">
        <f>SUM(Input[[#This Row],[M&amp;O Plnt E&amp;G]],Input[[#This Row],[M&amp;O Plnt Desg]],Input[[#This Row],[M&amp;O Plnt R Exp]],Input[[#This Row],[M&amp;O Plnt Loan]],Input[[#This Row],[M&amp;O Plnt Annuity]],Input[[#This Row],[M&amp;O Plnt Unexp]],Input[[#This Row],[M&amp;O Plnt R of Ind]],Input[[#This Row],[M&amp;O Plnt Inv in P]])</f>
        <v>12817175</v>
      </c>
      <c r="VQ38" s="343">
        <f>SUM(Input[[#This Row],[Schl &amp; Fell E&amp;G]],Input[[#This Row],[Schl &amp; Fell Desg]],Input[[#This Row],[Schl &amp; Fell R Exp]],Input[[#This Row],[Schl &amp; Fell Loan]],Input[[#This Row],[Schl &amp; Fell Annuity]],Input[[#This Row],[Schl &amp; Fell Unexp]],Input[[#This Row],[Schl &amp; Fell R of Ind]],Input[[#This Row],[Schl &amp; Fell Inv in P]])</f>
        <v>25399572</v>
      </c>
      <c r="VR38" s="343">
        <f>SUM(Input[[#This Row],[Cap Out fund E&amp;G]],Input[[#This Row],[Cap Out fund Desg]],Input[[#This Row],[Cap Out fund R Exp]],Input[[#This Row],[Cap Out fund Loan]],Input[[#This Row],[Cap Out fund Annuity]],Input[[#This Row],[Cap Out fund Unexp]],Input[[#This Row],[Cap Out fund R of Ind]],Input[[#This Row],[Cap Out fund Inv in P]])</f>
        <v>0</v>
      </c>
      <c r="VS38" s="343">
        <f>SUM(Input[[#This Row],[Oth Exp E&amp;G]],Input[[#This Row],[Oth Exp Desg]],Input[[#This Row],[Oth Exp R Exp]],Input[[#This Row],[Oth Exp Loan]],Input[[#This Row],[Oth Exp Annuity]],Input[[#This Row],[Oth Exp Unexp]],Input[[#This Row],[Oth Exp R of Ind]],Input[[#This Row],[Oth Exp Inv in P]],Input[[#This Row],[Oth Exp Inv in P]])</f>
        <v>0</v>
      </c>
    </row>
    <row r="39" spans="1:591" s="344" customFormat="1" ht="27" customHeight="1" x14ac:dyDescent="0.55000000000000004">
      <c r="A39" s="339" t="s">
        <v>715</v>
      </c>
      <c r="B39" s="334" t="s">
        <v>825</v>
      </c>
      <c r="C39" s="334" t="s">
        <v>1624</v>
      </c>
      <c r="D39" s="334" t="s">
        <v>716</v>
      </c>
      <c r="E39" s="334" t="s">
        <v>1622</v>
      </c>
      <c r="F39" s="335">
        <v>110</v>
      </c>
      <c r="G39" s="336">
        <v>2716050</v>
      </c>
      <c r="H39" s="336">
        <v>0</v>
      </c>
      <c r="I39" s="336">
        <v>0</v>
      </c>
      <c r="J39" s="336">
        <v>0</v>
      </c>
      <c r="K39" s="336">
        <v>0</v>
      </c>
      <c r="L39" s="336">
        <v>0</v>
      </c>
      <c r="M39" s="336">
        <v>0</v>
      </c>
      <c r="N39" s="336">
        <v>0</v>
      </c>
      <c r="O39" s="336">
        <v>0</v>
      </c>
      <c r="P39" s="336">
        <v>0</v>
      </c>
      <c r="Q39" s="336">
        <v>0</v>
      </c>
      <c r="R39" s="336">
        <v>0</v>
      </c>
      <c r="S39" s="336">
        <v>0</v>
      </c>
      <c r="T39" s="336">
        <v>0</v>
      </c>
      <c r="U39" s="336">
        <v>0</v>
      </c>
      <c r="V39" s="336">
        <v>0</v>
      </c>
      <c r="W39" s="336">
        <v>0</v>
      </c>
      <c r="X39" s="336">
        <v>0</v>
      </c>
      <c r="Y39" s="336">
        <v>0</v>
      </c>
      <c r="Z39" s="336">
        <v>0</v>
      </c>
      <c r="AA39" s="336">
        <v>0</v>
      </c>
      <c r="AB39" s="336">
        <v>0</v>
      </c>
      <c r="AC39" s="336">
        <v>0</v>
      </c>
      <c r="AD39" s="336">
        <v>0</v>
      </c>
      <c r="AE39" s="336">
        <v>0</v>
      </c>
      <c r="AF39" s="336">
        <v>0</v>
      </c>
      <c r="AG39" s="336">
        <v>0</v>
      </c>
      <c r="AH39" s="336">
        <v>0</v>
      </c>
      <c r="AI39" s="336">
        <v>0</v>
      </c>
      <c r="AJ39" s="336">
        <v>0</v>
      </c>
      <c r="AK39" s="336">
        <v>0</v>
      </c>
      <c r="AL39" s="336">
        <v>0</v>
      </c>
      <c r="AM39" s="336">
        <v>0</v>
      </c>
      <c r="AN39" s="336">
        <v>0</v>
      </c>
      <c r="AO39" s="336">
        <v>0</v>
      </c>
      <c r="AP39" s="336">
        <v>0</v>
      </c>
      <c r="AQ39" s="336">
        <v>0</v>
      </c>
      <c r="AR39" s="336">
        <v>0</v>
      </c>
      <c r="AS39" s="336">
        <v>0</v>
      </c>
      <c r="AT39" s="336">
        <v>0</v>
      </c>
      <c r="AU39" s="336">
        <v>0</v>
      </c>
      <c r="AV39" s="336">
        <v>0</v>
      </c>
      <c r="AW39" s="336">
        <v>0</v>
      </c>
      <c r="AX39" s="336">
        <v>0</v>
      </c>
      <c r="AY39" s="336">
        <v>0</v>
      </c>
      <c r="AZ39" s="336">
        <v>0</v>
      </c>
      <c r="BA39" s="336">
        <v>0</v>
      </c>
      <c r="BB39" s="336">
        <v>0</v>
      </c>
      <c r="BC39" s="336">
        <v>0</v>
      </c>
      <c r="BD39" s="336">
        <v>0</v>
      </c>
      <c r="BE39" s="336">
        <v>0</v>
      </c>
      <c r="BF39" s="336">
        <v>0</v>
      </c>
      <c r="BG39" s="336">
        <v>0</v>
      </c>
      <c r="BH39" s="336">
        <v>0</v>
      </c>
      <c r="BI39" s="336">
        <v>0</v>
      </c>
      <c r="BJ39" s="336">
        <v>0</v>
      </c>
      <c r="BK39" s="336">
        <v>0</v>
      </c>
      <c r="BL39" s="336">
        <v>0</v>
      </c>
      <c r="BM39" s="336">
        <v>0</v>
      </c>
      <c r="BN39" s="336">
        <v>0</v>
      </c>
      <c r="BO39" s="336">
        <v>0</v>
      </c>
      <c r="BP39" s="336">
        <v>0</v>
      </c>
      <c r="BQ39" s="336">
        <v>0</v>
      </c>
      <c r="BR39" s="336">
        <v>0</v>
      </c>
      <c r="BS39" s="336">
        <v>0</v>
      </c>
      <c r="BT39" s="336">
        <v>0</v>
      </c>
      <c r="BU39" s="336">
        <v>0</v>
      </c>
      <c r="BV39" s="336">
        <v>0</v>
      </c>
      <c r="BW39" s="336">
        <v>0</v>
      </c>
      <c r="BX39" s="336">
        <v>0</v>
      </c>
      <c r="BY39" s="336">
        <v>0</v>
      </c>
      <c r="BZ39" s="336">
        <v>0</v>
      </c>
      <c r="CA39" s="336">
        <v>0</v>
      </c>
      <c r="CB39" s="336">
        <v>0</v>
      </c>
      <c r="CC39" s="336">
        <v>0</v>
      </c>
      <c r="CD39" s="336">
        <v>0</v>
      </c>
      <c r="CE39" s="336">
        <v>0</v>
      </c>
      <c r="CF39" s="336">
        <v>0</v>
      </c>
      <c r="CG39" s="336">
        <v>0</v>
      </c>
      <c r="CH39" s="336">
        <v>0</v>
      </c>
      <c r="CI39" s="336">
        <v>0</v>
      </c>
      <c r="CJ39" s="336">
        <v>0</v>
      </c>
      <c r="CK39" s="336">
        <v>0</v>
      </c>
      <c r="CL39" s="336">
        <v>0</v>
      </c>
      <c r="CM39" s="336">
        <v>0</v>
      </c>
      <c r="CN39" s="336">
        <v>0</v>
      </c>
      <c r="CO39" s="336">
        <v>0</v>
      </c>
      <c r="CP39" s="336">
        <v>0</v>
      </c>
      <c r="CQ39" s="336">
        <v>0</v>
      </c>
      <c r="CR39" s="336">
        <v>0</v>
      </c>
      <c r="CS39" s="336">
        <v>0</v>
      </c>
      <c r="CT39" s="336">
        <v>0</v>
      </c>
      <c r="CU39" s="336">
        <v>0</v>
      </c>
      <c r="CV39" s="336">
        <v>0</v>
      </c>
      <c r="CW39" s="336">
        <v>0</v>
      </c>
      <c r="CX39" s="336">
        <v>0</v>
      </c>
      <c r="CY39" s="336">
        <v>0</v>
      </c>
      <c r="CZ39" s="336">
        <v>0</v>
      </c>
      <c r="DA39" s="336">
        <v>0</v>
      </c>
      <c r="DB39" s="336">
        <v>0</v>
      </c>
      <c r="DC39" s="336">
        <v>0</v>
      </c>
      <c r="DD39" s="336">
        <v>0</v>
      </c>
      <c r="DE39" s="336">
        <v>0</v>
      </c>
      <c r="DF39" s="336">
        <v>0</v>
      </c>
      <c r="DG39" s="336">
        <v>0</v>
      </c>
      <c r="DH39" s="336">
        <v>0</v>
      </c>
      <c r="DI39" s="336">
        <v>0</v>
      </c>
      <c r="DJ39" s="336">
        <v>0</v>
      </c>
      <c r="DK39" s="336">
        <v>0</v>
      </c>
      <c r="DL39" s="336">
        <v>0</v>
      </c>
      <c r="DM39" s="336">
        <v>0</v>
      </c>
      <c r="DN39" s="336">
        <v>0</v>
      </c>
      <c r="DO39" s="336">
        <v>0</v>
      </c>
      <c r="DP39" s="336">
        <v>0</v>
      </c>
      <c r="DQ39" s="336">
        <v>0</v>
      </c>
      <c r="DR39" s="336">
        <v>0</v>
      </c>
      <c r="DS39" s="336">
        <v>0</v>
      </c>
      <c r="DT39" s="336">
        <v>0</v>
      </c>
      <c r="DU39" s="336">
        <v>0</v>
      </c>
      <c r="DV39" s="336">
        <v>0</v>
      </c>
      <c r="DW39" s="336">
        <v>0</v>
      </c>
      <c r="DX39" s="336">
        <v>0</v>
      </c>
      <c r="DY39" s="336">
        <v>0</v>
      </c>
      <c r="DZ39" s="336">
        <v>0</v>
      </c>
      <c r="EA39" s="336">
        <v>0</v>
      </c>
      <c r="EB39" s="336">
        <v>0</v>
      </c>
      <c r="EC39" s="336">
        <v>0</v>
      </c>
      <c r="ED39" s="336">
        <v>0</v>
      </c>
      <c r="EE39" s="336">
        <v>0</v>
      </c>
      <c r="EF39" s="336">
        <v>0</v>
      </c>
      <c r="EG39" s="336">
        <v>0</v>
      </c>
      <c r="EH39" s="336">
        <v>0</v>
      </c>
      <c r="EI39" s="336">
        <v>0</v>
      </c>
      <c r="EJ39" s="336">
        <v>0</v>
      </c>
      <c r="EK39" s="336">
        <v>0</v>
      </c>
      <c r="EL39" s="336">
        <v>0</v>
      </c>
      <c r="EM39" s="336">
        <v>0</v>
      </c>
      <c r="EN39" s="336">
        <v>0</v>
      </c>
      <c r="EO39" s="336">
        <v>0</v>
      </c>
      <c r="EP39" s="336">
        <v>0</v>
      </c>
      <c r="EQ39" s="336">
        <v>0</v>
      </c>
      <c r="ER39" s="336">
        <v>0</v>
      </c>
      <c r="ES39" s="336">
        <v>0</v>
      </c>
      <c r="ET39" s="336">
        <v>0</v>
      </c>
      <c r="EU39" s="336">
        <v>0</v>
      </c>
      <c r="EV39" s="336">
        <v>0</v>
      </c>
      <c r="EW39" s="336">
        <v>0</v>
      </c>
      <c r="EX39" s="336">
        <v>0</v>
      </c>
      <c r="EY39" s="336">
        <v>0</v>
      </c>
      <c r="EZ39" s="336">
        <v>0</v>
      </c>
      <c r="FA39" s="336">
        <v>0</v>
      </c>
      <c r="FB39" s="336">
        <v>0</v>
      </c>
      <c r="FC39" s="336">
        <v>0</v>
      </c>
      <c r="FD39" s="336">
        <v>0</v>
      </c>
      <c r="FE39" s="336">
        <v>0</v>
      </c>
      <c r="FF39" s="336">
        <v>0</v>
      </c>
      <c r="FG39" s="336">
        <v>0</v>
      </c>
      <c r="FH39" s="336">
        <v>0</v>
      </c>
      <c r="FI39" s="336">
        <v>0</v>
      </c>
      <c r="FJ39" s="336">
        <v>0</v>
      </c>
      <c r="FK39" s="336">
        <v>0</v>
      </c>
      <c r="FL39" s="336">
        <v>0</v>
      </c>
      <c r="FM39" s="336">
        <v>0</v>
      </c>
      <c r="FN39" s="336">
        <v>0</v>
      </c>
      <c r="FO39" s="336">
        <v>0</v>
      </c>
      <c r="FP39" s="336">
        <v>0</v>
      </c>
      <c r="FQ39" s="336">
        <v>0</v>
      </c>
      <c r="FR39" s="336">
        <v>0</v>
      </c>
      <c r="FS39" s="336">
        <v>0</v>
      </c>
      <c r="FT39" s="336">
        <v>0</v>
      </c>
      <c r="FU39" s="336">
        <v>0</v>
      </c>
      <c r="FV39" s="336">
        <v>0</v>
      </c>
      <c r="FW39" s="336">
        <v>0</v>
      </c>
      <c r="FX39" s="336">
        <v>0</v>
      </c>
      <c r="FY39" s="336">
        <v>0</v>
      </c>
      <c r="FZ39" s="336">
        <v>0</v>
      </c>
      <c r="GA39" s="336">
        <v>0</v>
      </c>
      <c r="GB39" s="336">
        <v>0</v>
      </c>
      <c r="GC39" s="336">
        <v>0</v>
      </c>
      <c r="GD39" s="336">
        <v>0</v>
      </c>
      <c r="GE39" s="336">
        <v>0</v>
      </c>
      <c r="GF39" s="336">
        <v>0</v>
      </c>
      <c r="GG39" s="336">
        <v>0</v>
      </c>
      <c r="GH39" s="336">
        <v>0</v>
      </c>
      <c r="GI39" s="336">
        <v>0</v>
      </c>
      <c r="GJ39" s="336">
        <v>0</v>
      </c>
      <c r="GK39" s="336">
        <v>0</v>
      </c>
      <c r="GL39" s="336">
        <v>0</v>
      </c>
      <c r="GM39" s="336">
        <v>0</v>
      </c>
      <c r="GN39" s="336">
        <v>0</v>
      </c>
      <c r="GO39" s="336">
        <v>0</v>
      </c>
      <c r="GP39" s="336">
        <v>0</v>
      </c>
      <c r="GQ39" s="336">
        <v>0</v>
      </c>
      <c r="GR39" s="336">
        <v>0</v>
      </c>
      <c r="GS39" s="336">
        <v>0</v>
      </c>
      <c r="GT39" s="336">
        <v>0</v>
      </c>
      <c r="GU39" s="336">
        <v>0</v>
      </c>
      <c r="GV39" s="336">
        <v>0</v>
      </c>
      <c r="GW39" s="336">
        <v>0</v>
      </c>
      <c r="GX39" s="336">
        <v>0</v>
      </c>
      <c r="GY39" s="336">
        <v>0</v>
      </c>
      <c r="GZ39" s="336">
        <v>0</v>
      </c>
      <c r="HA39" s="336">
        <v>0</v>
      </c>
      <c r="HB39" s="336">
        <v>0</v>
      </c>
      <c r="HC39" s="336">
        <v>0</v>
      </c>
      <c r="HD39" s="336">
        <v>0</v>
      </c>
      <c r="HE39" s="336">
        <v>0</v>
      </c>
      <c r="HF39" s="336">
        <v>0</v>
      </c>
      <c r="HG39" s="336">
        <v>0</v>
      </c>
      <c r="HH39" s="336">
        <v>0</v>
      </c>
      <c r="HI39" s="336">
        <v>0</v>
      </c>
      <c r="HJ39" s="336">
        <v>0</v>
      </c>
      <c r="HK39" s="336">
        <v>0</v>
      </c>
      <c r="HL39" s="336">
        <v>0</v>
      </c>
      <c r="HM39" s="336">
        <v>0</v>
      </c>
      <c r="HN39" s="336">
        <v>0</v>
      </c>
      <c r="HO39" s="336">
        <v>0</v>
      </c>
      <c r="HP39" s="336">
        <v>0</v>
      </c>
      <c r="HQ39" s="336">
        <v>0</v>
      </c>
      <c r="HR39" s="336">
        <v>246350</v>
      </c>
      <c r="HS39" s="336">
        <v>0</v>
      </c>
      <c r="HT39" s="336">
        <v>0</v>
      </c>
      <c r="HU39" s="336">
        <v>0</v>
      </c>
      <c r="HV39" s="336">
        <v>0</v>
      </c>
      <c r="HW39" s="336">
        <v>0</v>
      </c>
      <c r="HX39" s="336">
        <v>0</v>
      </c>
      <c r="HY39" s="336">
        <v>0</v>
      </c>
      <c r="HZ39" s="336">
        <v>0</v>
      </c>
      <c r="IA39" s="336">
        <v>0</v>
      </c>
      <c r="IB39" s="336">
        <v>0</v>
      </c>
      <c r="IC39" s="336">
        <v>0</v>
      </c>
      <c r="ID39" s="336">
        <v>0</v>
      </c>
      <c r="IE39" s="336">
        <v>0</v>
      </c>
      <c r="IF39" s="336">
        <v>0</v>
      </c>
      <c r="IG39" s="336">
        <v>0</v>
      </c>
      <c r="IH39" s="336">
        <v>0</v>
      </c>
      <c r="II39" s="336">
        <v>0</v>
      </c>
      <c r="IJ39" s="336">
        <v>0</v>
      </c>
      <c r="IK39" s="336">
        <v>0</v>
      </c>
      <c r="IL39" s="336">
        <v>0</v>
      </c>
      <c r="IM39" s="336">
        <v>0</v>
      </c>
      <c r="IN39" s="336">
        <v>0</v>
      </c>
      <c r="IO39" s="336">
        <v>0</v>
      </c>
      <c r="IP39" s="336">
        <v>0</v>
      </c>
      <c r="IQ39" s="336">
        <v>415698</v>
      </c>
      <c r="IR39" s="336">
        <v>0</v>
      </c>
      <c r="IS39" s="336">
        <v>563882</v>
      </c>
      <c r="IT39" s="336">
        <v>0</v>
      </c>
      <c r="IU39" s="336">
        <v>269975</v>
      </c>
      <c r="IV39" s="336">
        <v>9230</v>
      </c>
      <c r="IW39" s="336">
        <v>3772957</v>
      </c>
      <c r="IX39" s="336">
        <v>0</v>
      </c>
      <c r="IY39" s="336">
        <v>0</v>
      </c>
      <c r="IZ39" s="336">
        <v>0</v>
      </c>
      <c r="JA39" s="336">
        <v>0</v>
      </c>
      <c r="JB39" s="336">
        <v>0</v>
      </c>
      <c r="JC39" s="336">
        <v>0</v>
      </c>
      <c r="JD39" s="336">
        <v>0</v>
      </c>
      <c r="JE39" s="336">
        <v>0</v>
      </c>
      <c r="JF39" s="336">
        <v>0</v>
      </c>
      <c r="JG39" s="336">
        <v>0</v>
      </c>
      <c r="JH39" s="336">
        <v>0</v>
      </c>
      <c r="JI39" s="336">
        <v>58348</v>
      </c>
      <c r="JJ39" s="336">
        <v>0</v>
      </c>
      <c r="JK39" s="336">
        <v>75000</v>
      </c>
      <c r="JL39" s="336">
        <v>0</v>
      </c>
      <c r="JM39" s="336">
        <v>0</v>
      </c>
      <c r="JN39" s="336">
        <v>0</v>
      </c>
      <c r="JO39" s="336">
        <v>0</v>
      </c>
      <c r="JP39" s="336">
        <v>0</v>
      </c>
      <c r="JQ39" s="336">
        <v>0</v>
      </c>
      <c r="JR39" s="336">
        <v>0</v>
      </c>
      <c r="JS39" s="336">
        <v>0</v>
      </c>
      <c r="JT39" s="336">
        <v>0</v>
      </c>
      <c r="JU39" s="336">
        <v>0</v>
      </c>
      <c r="JV39" s="336">
        <v>0</v>
      </c>
      <c r="JW39" s="336">
        <v>0</v>
      </c>
      <c r="JX39" s="336">
        <v>0</v>
      </c>
      <c r="JY39" s="336">
        <v>0</v>
      </c>
      <c r="JZ39" s="336">
        <v>0</v>
      </c>
      <c r="KA39" s="336">
        <v>0</v>
      </c>
      <c r="KB39" s="336">
        <v>0</v>
      </c>
      <c r="KC39" s="336">
        <v>0</v>
      </c>
      <c r="KD39" s="336">
        <v>0</v>
      </c>
      <c r="KE39" s="336">
        <v>0</v>
      </c>
      <c r="KF39" s="336">
        <v>0</v>
      </c>
      <c r="KG39" s="336">
        <v>0</v>
      </c>
      <c r="KH39" s="336">
        <v>0</v>
      </c>
      <c r="KI39" s="336">
        <v>0</v>
      </c>
      <c r="KJ39" s="336">
        <v>10423</v>
      </c>
      <c r="KK39" s="336">
        <v>0</v>
      </c>
      <c r="KL39" s="336">
        <v>0</v>
      </c>
      <c r="KM39" s="336">
        <v>0</v>
      </c>
      <c r="KN39" s="336">
        <v>0</v>
      </c>
      <c r="KO39" s="336">
        <v>0</v>
      </c>
      <c r="KP39" s="336">
        <v>574394</v>
      </c>
      <c r="KQ39" s="336">
        <v>0</v>
      </c>
      <c r="KR39" s="336">
        <v>0</v>
      </c>
      <c r="KS39" s="336">
        <v>0</v>
      </c>
      <c r="KT39" s="336">
        <v>0</v>
      </c>
      <c r="KU39" s="336">
        <v>0</v>
      </c>
      <c r="KV39" s="336">
        <v>0</v>
      </c>
      <c r="KW39" s="336">
        <v>0</v>
      </c>
      <c r="KX39" s="336">
        <v>0</v>
      </c>
      <c r="KY39" s="336">
        <v>0</v>
      </c>
      <c r="KZ39" s="336">
        <v>0</v>
      </c>
      <c r="LA39" s="336">
        <v>0</v>
      </c>
      <c r="LB39" s="336">
        <v>0</v>
      </c>
      <c r="LC39" s="336">
        <v>0</v>
      </c>
      <c r="LD39" s="336">
        <v>0</v>
      </c>
      <c r="LE39" s="336">
        <v>0</v>
      </c>
      <c r="LF39" s="336">
        <v>0</v>
      </c>
      <c r="LG39" s="336">
        <v>0</v>
      </c>
      <c r="LH39" s="336">
        <v>0</v>
      </c>
      <c r="LI39" s="336">
        <v>0</v>
      </c>
      <c r="LJ39" s="336">
        <v>0</v>
      </c>
      <c r="LK39" s="336">
        <v>0</v>
      </c>
      <c r="LL39" s="336">
        <v>0</v>
      </c>
      <c r="LM39" s="336">
        <v>0</v>
      </c>
      <c r="LN39" s="336">
        <v>0</v>
      </c>
      <c r="LO39" s="336">
        <v>0</v>
      </c>
      <c r="LP39" s="336">
        <v>0</v>
      </c>
      <c r="LQ39" s="336">
        <v>0</v>
      </c>
      <c r="LR39" s="336">
        <v>0</v>
      </c>
      <c r="LS39" s="336">
        <v>0</v>
      </c>
      <c r="LT39" s="336">
        <v>0</v>
      </c>
      <c r="LU39" s="336">
        <v>0</v>
      </c>
      <c r="LV39" s="336">
        <v>0</v>
      </c>
      <c r="LW39" s="336">
        <v>0</v>
      </c>
      <c r="LX39" s="336">
        <v>0</v>
      </c>
      <c r="LY39" s="336">
        <v>0</v>
      </c>
      <c r="LZ39" s="336">
        <v>0</v>
      </c>
      <c r="MA39" s="336">
        <v>0</v>
      </c>
      <c r="MB39" s="336">
        <v>0</v>
      </c>
      <c r="MC39" s="336">
        <v>0</v>
      </c>
      <c r="MD39" s="336">
        <v>0</v>
      </c>
      <c r="ME39" s="336">
        <v>0</v>
      </c>
      <c r="MF39" s="336">
        <v>0</v>
      </c>
      <c r="MG39" s="336">
        <v>0</v>
      </c>
      <c r="MH39" s="336">
        <v>0</v>
      </c>
      <c r="MI39" s="336">
        <v>0</v>
      </c>
      <c r="MJ39" s="336">
        <v>0</v>
      </c>
      <c r="MK39" s="336">
        <v>0</v>
      </c>
      <c r="ML39" s="336">
        <v>0</v>
      </c>
      <c r="MM39" s="336">
        <v>0</v>
      </c>
      <c r="MN39" s="336">
        <v>246350</v>
      </c>
      <c r="MO39" s="336">
        <v>0</v>
      </c>
      <c r="MP39" s="336">
        <v>0</v>
      </c>
      <c r="MQ39" s="336">
        <v>0</v>
      </c>
      <c r="MR39" s="336">
        <v>0</v>
      </c>
      <c r="MS39" s="336">
        <v>0</v>
      </c>
      <c r="MT39" s="336">
        <v>1736050</v>
      </c>
      <c r="MU39" s="336">
        <v>11561154</v>
      </c>
      <c r="MV39" s="336">
        <v>0</v>
      </c>
      <c r="MW39" s="336">
        <v>485</v>
      </c>
      <c r="MX39" s="336">
        <v>0</v>
      </c>
      <c r="MY39" s="336">
        <v>0</v>
      </c>
      <c r="MZ39" s="336">
        <v>0</v>
      </c>
      <c r="NA39" s="336">
        <v>0</v>
      </c>
      <c r="NB39" s="336">
        <v>0</v>
      </c>
      <c r="NC39" s="336">
        <v>0</v>
      </c>
      <c r="ND39" s="336">
        <v>240865</v>
      </c>
      <c r="NE39" s="336">
        <v>0</v>
      </c>
      <c r="NF39" s="336">
        <v>0</v>
      </c>
      <c r="NG39" s="336">
        <v>0</v>
      </c>
      <c r="NH39" s="336">
        <v>0</v>
      </c>
      <c r="NI39" s="336">
        <v>0</v>
      </c>
      <c r="NJ39" s="336">
        <v>0</v>
      </c>
      <c r="NK39" s="336">
        <v>0</v>
      </c>
      <c r="NL39" s="336">
        <v>0</v>
      </c>
      <c r="NM39" s="336">
        <v>0</v>
      </c>
      <c r="NN39" s="336">
        <v>0</v>
      </c>
      <c r="NO39" s="336">
        <v>90750</v>
      </c>
      <c r="NP39" s="336">
        <v>0</v>
      </c>
      <c r="NQ39" s="336">
        <v>0</v>
      </c>
      <c r="NR39" s="336">
        <v>0</v>
      </c>
      <c r="NS39" s="336">
        <v>0</v>
      </c>
      <c r="NT39" s="336">
        <v>0</v>
      </c>
      <c r="NU39" s="336">
        <v>0</v>
      </c>
      <c r="NV39" s="336">
        <v>0</v>
      </c>
      <c r="NW39" s="336">
        <v>0</v>
      </c>
      <c r="NX39" s="336">
        <v>0</v>
      </c>
      <c r="NY39" s="336">
        <v>0</v>
      </c>
      <c r="NZ39" s="336">
        <v>0</v>
      </c>
      <c r="OA39" s="336">
        <v>0</v>
      </c>
      <c r="OB39" s="336">
        <v>0</v>
      </c>
      <c r="OC39" s="336">
        <v>0</v>
      </c>
      <c r="OD39" s="336">
        <v>0</v>
      </c>
      <c r="OE39" s="336">
        <v>0</v>
      </c>
      <c r="OF39" s="336">
        <v>0</v>
      </c>
      <c r="OG39" s="336">
        <v>0</v>
      </c>
      <c r="OH39" s="336">
        <v>0</v>
      </c>
      <c r="OI39" s="336">
        <v>0</v>
      </c>
      <c r="OJ39" s="336">
        <v>0</v>
      </c>
      <c r="OK39" s="336">
        <v>0</v>
      </c>
      <c r="OL39" s="336">
        <v>0</v>
      </c>
      <c r="OM39" s="336">
        <v>0</v>
      </c>
      <c r="ON39" s="336">
        <v>1436</v>
      </c>
      <c r="OO39" s="336">
        <v>0</v>
      </c>
      <c r="OP39" s="336">
        <v>0</v>
      </c>
      <c r="OQ39" s="336">
        <v>0</v>
      </c>
      <c r="OR39" s="336">
        <v>0</v>
      </c>
      <c r="OS39" s="336">
        <v>0</v>
      </c>
      <c r="OT39" s="336">
        <v>3209795</v>
      </c>
      <c r="OU39" s="336">
        <v>0</v>
      </c>
      <c r="OV39" s="336">
        <v>0</v>
      </c>
      <c r="OW39" s="336">
        <v>0</v>
      </c>
      <c r="OX39" s="336">
        <v>0</v>
      </c>
      <c r="OY39" s="336">
        <v>0</v>
      </c>
      <c r="OZ39" s="336">
        <v>0</v>
      </c>
      <c r="PA39" s="336">
        <v>0</v>
      </c>
      <c r="PB39" s="336">
        <v>-200900</v>
      </c>
      <c r="PC39" s="336">
        <v>0</v>
      </c>
      <c r="PD39" s="336">
        <v>0</v>
      </c>
      <c r="PE39" s="336">
        <v>67726051</v>
      </c>
      <c r="PF39" s="336">
        <v>11632101</v>
      </c>
      <c r="PG39" s="336">
        <v>0</v>
      </c>
      <c r="PH39" s="336">
        <v>-10000</v>
      </c>
      <c r="PI39" s="336">
        <v>0</v>
      </c>
      <c r="PJ39" s="336">
        <v>0</v>
      </c>
      <c r="PK39" s="336">
        <v>0</v>
      </c>
      <c r="PL39" s="336">
        <v>-248202211</v>
      </c>
      <c r="PM39" s="336">
        <v>0</v>
      </c>
      <c r="PN39" s="336">
        <v>0</v>
      </c>
      <c r="PO39" s="336">
        <v>0</v>
      </c>
      <c r="PP39" s="336">
        <v>0</v>
      </c>
      <c r="PQ39" s="336">
        <v>0</v>
      </c>
      <c r="PR39" s="336">
        <v>0</v>
      </c>
      <c r="PS39" s="336">
        <v>0</v>
      </c>
      <c r="PT39" s="336">
        <v>0</v>
      </c>
      <c r="PU39" s="336">
        <v>0</v>
      </c>
      <c r="PV39" s="336">
        <v>0</v>
      </c>
      <c r="PW39" s="336">
        <v>-11102113</v>
      </c>
      <c r="PX39" s="336">
        <v>0</v>
      </c>
      <c r="PY39" s="336">
        <v>0</v>
      </c>
      <c r="PZ39" s="336">
        <v>-574497</v>
      </c>
      <c r="QA39" s="336">
        <v>0</v>
      </c>
      <c r="QB39" s="336">
        <v>0</v>
      </c>
      <c r="QC39" s="336">
        <v>0</v>
      </c>
      <c r="QD39" s="336">
        <v>-29570037</v>
      </c>
      <c r="QE39" s="336">
        <v>0</v>
      </c>
      <c r="QF39" s="336">
        <v>0</v>
      </c>
      <c r="QG39" s="336">
        <v>452173</v>
      </c>
      <c r="QH39" s="336">
        <v>0</v>
      </c>
      <c r="QI39" s="336">
        <v>474223</v>
      </c>
      <c r="QJ39" s="336">
        <v>0</v>
      </c>
      <c r="QK39" s="336">
        <v>771027</v>
      </c>
      <c r="QL39" s="336">
        <v>0</v>
      </c>
      <c r="QM39" s="336">
        <v>0</v>
      </c>
      <c r="QN39" s="336">
        <v>0</v>
      </c>
      <c r="QO39" s="336">
        <v>0</v>
      </c>
      <c r="QP39" s="336">
        <v>0</v>
      </c>
      <c r="QQ39" s="336">
        <v>0</v>
      </c>
      <c r="QR39" s="336">
        <v>0</v>
      </c>
      <c r="QS39" s="336">
        <v>0</v>
      </c>
      <c r="QT39" s="336">
        <v>0</v>
      </c>
      <c r="QU39" s="336">
        <v>0</v>
      </c>
      <c r="QV39" s="336">
        <v>0</v>
      </c>
      <c r="QW39" s="336">
        <v>0</v>
      </c>
      <c r="QX39" s="336">
        <v>0</v>
      </c>
      <c r="QY39" s="336">
        <v>0</v>
      </c>
      <c r="QZ39" s="336">
        <v>0</v>
      </c>
      <c r="RA39" s="336">
        <v>0</v>
      </c>
      <c r="RB39" s="336">
        <v>0</v>
      </c>
      <c r="RC39" s="336">
        <v>0</v>
      </c>
      <c r="RD39" s="336">
        <v>0</v>
      </c>
      <c r="RE39" s="336">
        <v>0</v>
      </c>
      <c r="RF39" s="336">
        <v>0</v>
      </c>
      <c r="RG39" s="336">
        <v>0</v>
      </c>
      <c r="RH39" s="336">
        <v>0</v>
      </c>
      <c r="RI39" s="336">
        <v>0</v>
      </c>
      <c r="RJ39" s="336">
        <v>0</v>
      </c>
      <c r="RK39" s="336">
        <v>0</v>
      </c>
      <c r="RL39" s="336">
        <v>0</v>
      </c>
      <c r="RM39" s="336">
        <v>0</v>
      </c>
      <c r="RN39" s="336">
        <v>0</v>
      </c>
      <c r="RO39" s="336">
        <v>-350618</v>
      </c>
      <c r="RP39" s="336">
        <v>0</v>
      </c>
      <c r="RQ39" s="336">
        <v>0</v>
      </c>
      <c r="RR39" s="336">
        <v>0</v>
      </c>
      <c r="RS39" s="336">
        <v>0</v>
      </c>
      <c r="RT39" s="336">
        <v>0</v>
      </c>
      <c r="RU39" s="336">
        <v>0</v>
      </c>
      <c r="RV39" s="336">
        <v>0</v>
      </c>
      <c r="RW39" s="336">
        <v>0</v>
      </c>
      <c r="RX39" s="336">
        <v>0</v>
      </c>
      <c r="RY39" s="336">
        <v>0</v>
      </c>
      <c r="RZ39" s="336">
        <v>0</v>
      </c>
      <c r="SA39" s="336">
        <v>0</v>
      </c>
      <c r="SB39" s="336">
        <v>0</v>
      </c>
      <c r="SC39" s="336">
        <v>0</v>
      </c>
      <c r="SD39" s="336">
        <v>0</v>
      </c>
      <c r="SE39" s="336">
        <v>0</v>
      </c>
      <c r="SF39" s="336">
        <v>0</v>
      </c>
      <c r="SG39" s="336">
        <v>0</v>
      </c>
      <c r="SH39" s="336">
        <v>0</v>
      </c>
      <c r="SI39" s="336">
        <v>0</v>
      </c>
      <c r="SJ39" s="336">
        <v>0</v>
      </c>
      <c r="SK39" s="336">
        <v>0</v>
      </c>
      <c r="SL39" s="336">
        <v>0</v>
      </c>
      <c r="SM39" s="336">
        <v>0</v>
      </c>
      <c r="SN39" s="336">
        <v>0</v>
      </c>
      <c r="SO39" s="336">
        <v>0</v>
      </c>
      <c r="SP39" s="336">
        <v>0</v>
      </c>
      <c r="SQ39" s="336">
        <v>0</v>
      </c>
      <c r="SR39" s="336">
        <v>0</v>
      </c>
      <c r="SS39" s="336">
        <v>0</v>
      </c>
      <c r="ST39" s="336">
        <v>0</v>
      </c>
      <c r="SU39" s="336">
        <v>0</v>
      </c>
      <c r="SV39" s="336">
        <v>0</v>
      </c>
      <c r="SW39" s="336">
        <v>200900</v>
      </c>
      <c r="SX39" s="336">
        <v>0</v>
      </c>
      <c r="SY39" s="336">
        <v>0</v>
      </c>
      <c r="SZ39" s="336" t="s">
        <v>1420</v>
      </c>
      <c r="TA39" s="336" t="s">
        <v>1420</v>
      </c>
      <c r="TB39" s="336" t="s">
        <v>1420</v>
      </c>
      <c r="TC39" s="336">
        <v>0</v>
      </c>
      <c r="TD39" s="336">
        <v>0</v>
      </c>
      <c r="TE39" s="336">
        <v>0</v>
      </c>
      <c r="TF39" s="336">
        <v>0</v>
      </c>
      <c r="TG39" s="336">
        <v>0</v>
      </c>
      <c r="TH39" s="336">
        <v>0</v>
      </c>
      <c r="TI39" s="336">
        <v>0</v>
      </c>
      <c r="TJ39" s="336">
        <v>0</v>
      </c>
      <c r="TK39" s="336">
        <v>0</v>
      </c>
      <c r="TL39" s="336">
        <v>0</v>
      </c>
      <c r="TM39" s="336">
        <v>0</v>
      </c>
      <c r="TN39" s="336">
        <v>0</v>
      </c>
      <c r="TO39" s="336">
        <v>0</v>
      </c>
      <c r="TP39" s="336">
        <v>0</v>
      </c>
      <c r="TQ39" s="336">
        <v>0</v>
      </c>
      <c r="TR39" s="336">
        <v>0</v>
      </c>
      <c r="TS39" s="336">
        <v>246350</v>
      </c>
      <c r="TT39" s="336">
        <v>0</v>
      </c>
      <c r="TU39" s="336">
        <v>0</v>
      </c>
      <c r="TV39" s="336">
        <v>0</v>
      </c>
      <c r="TW39" s="336">
        <v>0</v>
      </c>
      <c r="TX39" s="336">
        <v>0</v>
      </c>
      <c r="TY39" s="336">
        <v>0</v>
      </c>
      <c r="TZ39" s="336">
        <v>0</v>
      </c>
      <c r="UA39" s="336">
        <v>0</v>
      </c>
      <c r="UB39" s="336">
        <v>0</v>
      </c>
      <c r="UC39" s="336">
        <v>0</v>
      </c>
      <c r="UD39" s="336">
        <v>0</v>
      </c>
      <c r="UE39" s="336">
        <v>0</v>
      </c>
      <c r="UF39" s="336">
        <v>0</v>
      </c>
      <c r="UG39" s="336">
        <v>0</v>
      </c>
      <c r="UH39" s="336">
        <v>0</v>
      </c>
      <c r="UI39" s="336">
        <v>0</v>
      </c>
      <c r="UJ39" s="336">
        <v>0</v>
      </c>
      <c r="UK39" s="336">
        <v>0</v>
      </c>
      <c r="UL39" s="336">
        <v>0</v>
      </c>
      <c r="UM39" s="336">
        <v>246350</v>
      </c>
      <c r="UN39" s="336">
        <v>13297689</v>
      </c>
      <c r="UO39" s="336">
        <v>240865</v>
      </c>
      <c r="UP39" s="336">
        <v>90750</v>
      </c>
      <c r="UQ39" s="336">
        <v>0</v>
      </c>
      <c r="UR39"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0</v>
      </c>
      <c r="US39" s="338">
        <f>SUM(Input[[#This Row],[Oth Exp E&amp;G]],Input[[#This Row],[Oth Exp Desg]],Input[[#This Row],[Oth Exp Aux]],Input[[#This Row],[Oth Exp R Exp]],Input[[#This Row],[Oth Exp Loan]],Input[[#This Row],[Oth Exp Annuity]],Input[[#This Row],[Oth Exp Unexp]],Input[[#This Row],[Oth Exp R of Ind]],Input[[#This Row],[Oth Exp Inv in P]])</f>
        <v>3211231</v>
      </c>
      <c r="UT39" s="336">
        <v>0</v>
      </c>
      <c r="UU39" s="336">
        <v>0</v>
      </c>
      <c r="UV39" s="339" t="s">
        <v>1605</v>
      </c>
      <c r="UW39" s="340">
        <v>5124636412</v>
      </c>
      <c r="UX39" s="339" t="s">
        <v>1606</v>
      </c>
      <c r="UY39" s="339" t="s">
        <v>1607</v>
      </c>
      <c r="UZ39" s="340">
        <v>5124636449</v>
      </c>
      <c r="VA39" s="339" t="s">
        <v>1608</v>
      </c>
      <c r="VB39" s="341" t="str" cm="1">
        <f t="array" ref="VB39">IFERROR(_xlfn.IFS(Input[[#This Row],[Type]]="HRI",VLOOKUP(Input[[#This Row],[Institution Name]],FTSEHRI[],9,FALSE),Input[[#This Row],[Type]]="UNIV",VLOOKUP(Input[[#This Row],[Institution Name]],FTSEUNIV[],9,FALSE),OR(Input[[#This Row],[Type]]="TSTC",Input[[#This Row],[Type]]="LSC"),VLOOKUP(Input[[#This Row],[Institution Name]],FTSETSTC[],8,FALSE)),"N/A")</f>
        <v>N/A</v>
      </c>
      <c r="VC39" s="342" t="str" cm="1">
        <f t="array" ref="VC39">IFERROR(_xlfn.IFS(Input[[#This Row],[Type]]="HRI",VLOOKUP(Input[[#This Row],[Institution Name]],FTSEHRI[],11,FALSE),Input[[#This Row],[Type]]="UNIV",VLOOKUP(Input[[#This Row],[Institution Name]],FTSEUNIV[],11,FALSE),Input[[#This Row],[Type]]="TSTC",VLOOKUP(Input[[#This Row],[Institution Name]],FTSETSTC[],10,FALSE)),"N/A")</f>
        <v>N/A</v>
      </c>
      <c r="VD39"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2716050</v>
      </c>
      <c r="VE39"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39" s="338">
        <f>SUM(Input[[#This Row],[Fed G&amp;C E&amp;G]],Input[[#This Row],[Fed G&amp;C Desg]],Input[[#This Row],[Fed G&amp;C R Exp]],Input[[#This Row],[Fed G&amp;C Loan]],Input[[#This Row],[Fed G&amp;C Annuity]],Input[[#This Row],[Fed G&amp;C Unexp]],Input[[#This Row],[Fed G&amp;C R of Ind]],Input[[#This Row],[Fed G&amp;C Inv in P]])</f>
        <v>246350</v>
      </c>
      <c r="VG39"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5749907</v>
      </c>
      <c r="VH39"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0</v>
      </c>
      <c r="VI39"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J39" s="338">
        <f>SUM(Input[[#This Row],[Oth Inc E&amp;G]],Input[[#This Row],[Oth Exp Desg]],Input[[#This Row],[Oth Exp R Exp]],Input[[#This Row],[Oth Exp Loan]],Input[[#This Row],[Oth Exp Annuity]],Input[[#This Row],[Oth Exp Unexp]],Input[[#This Row],[Oth Exp R of Ind]],Input[[#This Row],[Oth Exp Inv in P]])</f>
        <v>3211231</v>
      </c>
      <c r="VK39" s="343">
        <f>SUM(Input[[#This Row],[Instr E&amp;G]],Input[[#This Row],[Instr Desg]],Input[[#This Row],[Instr R Exp]],Input[[#This Row],[Instr Loan]],Input[[#This Row],[Instr Annuity]],Input[[#This Row],[Instr Unexp]],Input[[#This Row],[Instr R of Ind]],Input[[#This Row],[Instr Inv in P]])</f>
        <v>0</v>
      </c>
      <c r="VL39" s="343">
        <f>SUM(Input[[#This Row],[Res E&amp;G]],Input[[#This Row],[Res Desg]],Input[[#This Row],[Res R Exp]],Input[[#This Row],[Res Loan]],Input[[#This Row],[Res Annuity]],Input[[#This Row],[Res Unexp]],Input[[#This Row],[Res R of Ind]],Input[[#This Row],[Res Inv in P]])</f>
        <v>0</v>
      </c>
      <c r="VM39" s="343">
        <f>SUM(Input[[#This Row],[Acad Sup E&amp;G]],Input[[#This Row],[Acad Sup Desg]],Input[[#This Row],[Acad Sup R Exp]],Input[[#This Row],[Acad Sup Loan]],Input[[#This Row],[Acad Sup Annuity]],Input[[#This Row],[Acad Sup Unexp]],Input[[#This Row],[Acad Sup R of Ind]],Input[[#This Row],[Acad Sup Inv in P]])</f>
        <v>0</v>
      </c>
      <c r="VN39" s="343">
        <f>SUM(Input[[#This Row],[Stu Svc E&amp;G]],Input[[#This Row],[Stu Svc Desg]],Input[[#This Row],[Stu Svc R Exp]],Input[[#This Row],[Stu Svc Loan]],Input[[#This Row],[Stu Svc Annuity]],Input[[#This Row],[Stu Svc Unexp]],Input[[#This Row],[Stu Svc R of Ind]],Input[[#This Row],[Stu Svc Inv in P]])</f>
        <v>246350</v>
      </c>
      <c r="VO39" s="343">
        <f>SUM(Input[[#This Row],[Inst. Spt E&amp;G]],Input[[#This Row],[Inst. Spt Desg]],Input[[#This Row],[Inst. Spt R Exp]],Input[[#This Row],[Inst. Spt Loan]],Input[[#This Row],[Inst. Spt Annuity]],Input[[#This Row],[Inst. Spt Unexp]],Input[[#This Row],[Inst. Spt R of Ind]],Input[[#This Row],[Inst. Spt Inv in P]])</f>
        <v>13297689</v>
      </c>
      <c r="VP39" s="343">
        <f>SUM(Input[[#This Row],[M&amp;O Plnt E&amp;G]],Input[[#This Row],[M&amp;O Plnt Desg]],Input[[#This Row],[M&amp;O Plnt R Exp]],Input[[#This Row],[M&amp;O Plnt Loan]],Input[[#This Row],[M&amp;O Plnt Annuity]],Input[[#This Row],[M&amp;O Plnt Unexp]],Input[[#This Row],[M&amp;O Plnt R of Ind]],Input[[#This Row],[M&amp;O Plnt Inv in P]])</f>
        <v>240865</v>
      </c>
      <c r="VQ39" s="343">
        <f>SUM(Input[[#This Row],[Schl &amp; Fell E&amp;G]],Input[[#This Row],[Schl &amp; Fell Desg]],Input[[#This Row],[Schl &amp; Fell R Exp]],Input[[#This Row],[Schl &amp; Fell Loan]],Input[[#This Row],[Schl &amp; Fell Annuity]],Input[[#This Row],[Schl &amp; Fell Unexp]],Input[[#This Row],[Schl &amp; Fell R of Ind]],Input[[#This Row],[Schl &amp; Fell Inv in P]])</f>
        <v>90750</v>
      </c>
      <c r="VR39" s="343">
        <f>SUM(Input[[#This Row],[Cap Out fund E&amp;G]],Input[[#This Row],[Cap Out fund Desg]],Input[[#This Row],[Cap Out fund R Exp]],Input[[#This Row],[Cap Out fund Loan]],Input[[#This Row],[Cap Out fund Annuity]],Input[[#This Row],[Cap Out fund Unexp]],Input[[#This Row],[Cap Out fund R of Ind]],Input[[#This Row],[Cap Out fund Inv in P]])</f>
        <v>0</v>
      </c>
      <c r="VS39" s="343">
        <f>SUM(Input[[#This Row],[Oth Exp E&amp;G]],Input[[#This Row],[Oth Exp Desg]],Input[[#This Row],[Oth Exp R Exp]],Input[[#This Row],[Oth Exp Loan]],Input[[#This Row],[Oth Exp Annuity]],Input[[#This Row],[Oth Exp Unexp]],Input[[#This Row],[Oth Exp R of Ind]],Input[[#This Row],[Oth Exp Inv in P]],Input[[#This Row],[Oth Exp Inv in P]])</f>
        <v>3211231</v>
      </c>
    </row>
    <row r="40" spans="1:591" s="344" customFormat="1" ht="27" customHeight="1" x14ac:dyDescent="0.55000000000000004">
      <c r="A40" s="339" t="s">
        <v>57</v>
      </c>
      <c r="B40" s="334" t="s">
        <v>20</v>
      </c>
      <c r="C40" s="334" t="s">
        <v>20</v>
      </c>
      <c r="D40" s="334">
        <v>553</v>
      </c>
      <c r="E40" s="334" t="s">
        <v>1622</v>
      </c>
      <c r="F40" s="335">
        <v>203634</v>
      </c>
      <c r="G40" s="336">
        <v>13007014</v>
      </c>
      <c r="H40" s="336">
        <v>0</v>
      </c>
      <c r="I40" s="336">
        <v>0</v>
      </c>
      <c r="J40" s="336">
        <v>0</v>
      </c>
      <c r="K40" s="336">
        <v>0</v>
      </c>
      <c r="L40" s="336">
        <v>0</v>
      </c>
      <c r="M40" s="336">
        <v>0</v>
      </c>
      <c r="N40" s="336">
        <v>0</v>
      </c>
      <c r="O40" s="336">
        <v>0</v>
      </c>
      <c r="P40" s="336">
        <v>0</v>
      </c>
      <c r="Q40" s="336">
        <v>0</v>
      </c>
      <c r="R40" s="336">
        <v>0</v>
      </c>
      <c r="S40" s="336">
        <v>867495</v>
      </c>
      <c r="T40" s="336">
        <v>0</v>
      </c>
      <c r="U40" s="336">
        <v>0</v>
      </c>
      <c r="V40" s="336">
        <v>0</v>
      </c>
      <c r="W40" s="336">
        <v>0</v>
      </c>
      <c r="X40" s="336">
        <v>0</v>
      </c>
      <c r="Y40" s="336">
        <v>592040</v>
      </c>
      <c r="Z40" s="336">
        <v>0</v>
      </c>
      <c r="AA40" s="336">
        <v>0</v>
      </c>
      <c r="AB40" s="336">
        <v>0</v>
      </c>
      <c r="AC40" s="336">
        <v>0</v>
      </c>
      <c r="AD40" s="336">
        <v>0</v>
      </c>
      <c r="AE40" s="336">
        <v>0</v>
      </c>
      <c r="AF40" s="336">
        <v>0</v>
      </c>
      <c r="AG40" s="336">
        <v>0</v>
      </c>
      <c r="AH40" s="336">
        <v>0</v>
      </c>
      <c r="AI40" s="336">
        <v>0</v>
      </c>
      <c r="AJ40" s="336">
        <v>0</v>
      </c>
      <c r="AK40" s="336">
        <v>0</v>
      </c>
      <c r="AL40" s="336">
        <v>0</v>
      </c>
      <c r="AM40" s="336">
        <v>0</v>
      </c>
      <c r="AN40" s="336">
        <v>0</v>
      </c>
      <c r="AO40" s="336">
        <v>0</v>
      </c>
      <c r="AP40" s="336">
        <v>0</v>
      </c>
      <c r="AQ40" s="336">
        <v>-22022</v>
      </c>
      <c r="AR40" s="336">
        <v>0</v>
      </c>
      <c r="AS40" s="336">
        <v>0</v>
      </c>
      <c r="AT40" s="336">
        <v>0</v>
      </c>
      <c r="AU40" s="336">
        <v>0</v>
      </c>
      <c r="AV40" s="336">
        <v>0</v>
      </c>
      <c r="AW40" s="336">
        <v>0</v>
      </c>
      <c r="AX40" s="336">
        <v>0</v>
      </c>
      <c r="AY40" s="336">
        <v>0</v>
      </c>
      <c r="AZ40" s="336">
        <v>0</v>
      </c>
      <c r="BA40" s="336">
        <v>0</v>
      </c>
      <c r="BB40" s="336">
        <v>0</v>
      </c>
      <c r="BC40" s="336">
        <v>0</v>
      </c>
      <c r="BD40" s="336">
        <v>0</v>
      </c>
      <c r="BE40" s="336">
        <v>0</v>
      </c>
      <c r="BF40" s="336">
        <v>0</v>
      </c>
      <c r="BG40" s="336">
        <v>0</v>
      </c>
      <c r="BH40" s="336">
        <v>0</v>
      </c>
      <c r="BI40" s="336">
        <v>0</v>
      </c>
      <c r="BJ40" s="336">
        <v>0</v>
      </c>
      <c r="BK40" s="336">
        <v>0</v>
      </c>
      <c r="BL40" s="336">
        <v>0</v>
      </c>
      <c r="BM40" s="336">
        <v>0</v>
      </c>
      <c r="BN40" s="336">
        <v>0</v>
      </c>
      <c r="BO40" s="336">
        <v>0</v>
      </c>
      <c r="BP40" s="336">
        <v>0</v>
      </c>
      <c r="BQ40" s="336">
        <v>0</v>
      </c>
      <c r="BR40" s="336">
        <v>0</v>
      </c>
      <c r="BS40" s="336">
        <v>0</v>
      </c>
      <c r="BT40" s="336">
        <v>0</v>
      </c>
      <c r="BU40" s="336">
        <v>0</v>
      </c>
      <c r="BV40" s="336">
        <v>0</v>
      </c>
      <c r="BW40" s="336">
        <v>0</v>
      </c>
      <c r="BX40" s="336">
        <v>0</v>
      </c>
      <c r="BY40" s="336">
        <v>0</v>
      </c>
      <c r="BZ40" s="336">
        <v>0</v>
      </c>
      <c r="CA40" s="336">
        <v>591428</v>
      </c>
      <c r="CB40" s="336">
        <v>4855538</v>
      </c>
      <c r="CC40" s="336">
        <v>0</v>
      </c>
      <c r="CD40" s="336">
        <v>0</v>
      </c>
      <c r="CE40" s="336">
        <v>0</v>
      </c>
      <c r="CF40" s="336">
        <v>0</v>
      </c>
      <c r="CG40" s="336">
        <v>0</v>
      </c>
      <c r="CH40" s="336">
        <v>0</v>
      </c>
      <c r="CI40" s="336">
        <v>0</v>
      </c>
      <c r="CJ40" s="336">
        <v>0</v>
      </c>
      <c r="CK40" s="336">
        <v>0</v>
      </c>
      <c r="CL40" s="336">
        <v>0</v>
      </c>
      <c r="CM40" s="336">
        <v>0</v>
      </c>
      <c r="CN40" s="336">
        <v>0</v>
      </c>
      <c r="CO40" s="336">
        <v>0</v>
      </c>
      <c r="CP40" s="336">
        <v>0</v>
      </c>
      <c r="CQ40" s="336">
        <v>0</v>
      </c>
      <c r="CR40" s="336">
        <v>0</v>
      </c>
      <c r="CS40" s="336">
        <v>0</v>
      </c>
      <c r="CT40" s="336">
        <v>0</v>
      </c>
      <c r="CU40" s="336">
        <v>0</v>
      </c>
      <c r="CV40" s="336">
        <v>0</v>
      </c>
      <c r="CW40" s="336">
        <v>0</v>
      </c>
      <c r="CX40" s="336">
        <v>0</v>
      </c>
      <c r="CY40" s="336">
        <v>0</v>
      </c>
      <c r="CZ40" s="336">
        <v>0</v>
      </c>
      <c r="DA40" s="336">
        <v>0</v>
      </c>
      <c r="DB40" s="336">
        <v>-57542</v>
      </c>
      <c r="DC40" s="336">
        <v>0</v>
      </c>
      <c r="DD40" s="336">
        <v>0</v>
      </c>
      <c r="DE40" s="336">
        <v>0</v>
      </c>
      <c r="DF40" s="336">
        <v>0</v>
      </c>
      <c r="DG40" s="336">
        <v>0</v>
      </c>
      <c r="DH40" s="336">
        <v>0</v>
      </c>
      <c r="DI40" s="336">
        <v>0</v>
      </c>
      <c r="DJ40" s="336">
        <v>0</v>
      </c>
      <c r="DK40" s="336">
        <v>0</v>
      </c>
      <c r="DL40" s="336">
        <v>-123739</v>
      </c>
      <c r="DM40" s="336">
        <v>0</v>
      </c>
      <c r="DN40" s="336">
        <v>0</v>
      </c>
      <c r="DO40" s="336">
        <v>0</v>
      </c>
      <c r="DP40" s="336">
        <v>0</v>
      </c>
      <c r="DQ40" s="336">
        <v>0</v>
      </c>
      <c r="DR40" s="336">
        <v>0</v>
      </c>
      <c r="DS40" s="336">
        <v>0</v>
      </c>
      <c r="DT40" s="336">
        <v>-182940</v>
      </c>
      <c r="DU40" s="336">
        <v>-2032627</v>
      </c>
      <c r="DV40" s="336">
        <v>0</v>
      </c>
      <c r="DW40" s="336">
        <v>0</v>
      </c>
      <c r="DX40" s="336">
        <v>0</v>
      </c>
      <c r="DY40" s="336">
        <v>0</v>
      </c>
      <c r="DZ40" s="336">
        <v>0</v>
      </c>
      <c r="EA40" s="336">
        <v>0</v>
      </c>
      <c r="EB40" s="336">
        <v>0</v>
      </c>
      <c r="EC40" s="336">
        <v>0</v>
      </c>
      <c r="ED40" s="336">
        <v>0</v>
      </c>
      <c r="EE40" s="336">
        <v>0</v>
      </c>
      <c r="EF40" s="336">
        <v>0</v>
      </c>
      <c r="EG40" s="336">
        <v>0</v>
      </c>
      <c r="EH40" s="336">
        <v>0</v>
      </c>
      <c r="EI40" s="336">
        <v>0</v>
      </c>
      <c r="EJ40" s="336">
        <v>0</v>
      </c>
      <c r="EK40" s="336">
        <v>0</v>
      </c>
      <c r="EL40" s="336">
        <v>0</v>
      </c>
      <c r="EM40" s="336">
        <v>0</v>
      </c>
      <c r="EN40" s="336">
        <v>0</v>
      </c>
      <c r="EO40" s="336">
        <v>0</v>
      </c>
      <c r="EP40" s="336">
        <v>0</v>
      </c>
      <c r="EQ40" s="336">
        <v>0</v>
      </c>
      <c r="ER40" s="336">
        <v>0</v>
      </c>
      <c r="ES40" s="336">
        <v>0</v>
      </c>
      <c r="ET40" s="336">
        <v>0</v>
      </c>
      <c r="EU40" s="336">
        <v>0</v>
      </c>
      <c r="EV40" s="336">
        <v>0</v>
      </c>
      <c r="EW40" s="336">
        <v>0</v>
      </c>
      <c r="EX40" s="336">
        <v>0</v>
      </c>
      <c r="EY40" s="336">
        <v>0</v>
      </c>
      <c r="EZ40" s="336">
        <v>0</v>
      </c>
      <c r="FA40" s="336">
        <v>0</v>
      </c>
      <c r="FB40" s="336">
        <v>0</v>
      </c>
      <c r="FC40" s="336">
        <v>0</v>
      </c>
      <c r="FD40" s="336">
        <v>0</v>
      </c>
      <c r="FE40" s="336">
        <v>0</v>
      </c>
      <c r="FF40" s="336">
        <v>0</v>
      </c>
      <c r="FG40" s="336">
        <v>0</v>
      </c>
      <c r="FH40" s="336">
        <v>0</v>
      </c>
      <c r="FI40" s="336">
        <v>0</v>
      </c>
      <c r="FJ40" s="336">
        <v>0</v>
      </c>
      <c r="FK40" s="336">
        <v>0</v>
      </c>
      <c r="FL40" s="336">
        <v>0</v>
      </c>
      <c r="FM40" s="336">
        <v>0</v>
      </c>
      <c r="FN40" s="336">
        <v>0</v>
      </c>
      <c r="FO40" s="336">
        <v>0</v>
      </c>
      <c r="FP40" s="336">
        <v>0</v>
      </c>
      <c r="FQ40" s="336">
        <v>0</v>
      </c>
      <c r="FR40" s="336">
        <v>0</v>
      </c>
      <c r="FS40" s="336">
        <v>0</v>
      </c>
      <c r="FT40" s="336">
        <v>0</v>
      </c>
      <c r="FU40" s="336">
        <v>0</v>
      </c>
      <c r="FV40" s="336">
        <v>0</v>
      </c>
      <c r="FW40" s="336">
        <v>0</v>
      </c>
      <c r="FX40" s="336">
        <v>0</v>
      </c>
      <c r="FY40" s="336">
        <v>0</v>
      </c>
      <c r="FZ40" s="336">
        <v>0</v>
      </c>
      <c r="GA40" s="336">
        <v>0</v>
      </c>
      <c r="GB40" s="336">
        <v>0</v>
      </c>
      <c r="GC40" s="336">
        <v>0</v>
      </c>
      <c r="GD40" s="336">
        <v>0</v>
      </c>
      <c r="GE40" s="336">
        <v>0</v>
      </c>
      <c r="GF40" s="336">
        <v>0</v>
      </c>
      <c r="GG40" s="336">
        <v>0</v>
      </c>
      <c r="GH40" s="336">
        <v>0</v>
      </c>
      <c r="GI40" s="336">
        <v>0</v>
      </c>
      <c r="GJ40" s="336">
        <v>0</v>
      </c>
      <c r="GK40" s="336">
        <v>0</v>
      </c>
      <c r="GL40" s="336">
        <v>0</v>
      </c>
      <c r="GM40" s="336">
        <v>0</v>
      </c>
      <c r="GN40" s="336">
        <v>0</v>
      </c>
      <c r="GO40" s="336">
        <v>0</v>
      </c>
      <c r="GP40" s="336">
        <v>0</v>
      </c>
      <c r="GQ40" s="336">
        <v>0</v>
      </c>
      <c r="GR40" s="336">
        <v>0</v>
      </c>
      <c r="GS40" s="336">
        <v>0</v>
      </c>
      <c r="GT40" s="336">
        <v>0</v>
      </c>
      <c r="GU40" s="336">
        <v>0</v>
      </c>
      <c r="GV40" s="336">
        <v>0</v>
      </c>
      <c r="GW40" s="336">
        <v>0</v>
      </c>
      <c r="GX40" s="336">
        <v>0</v>
      </c>
      <c r="GY40" s="336">
        <v>0</v>
      </c>
      <c r="GZ40" s="336">
        <v>0</v>
      </c>
      <c r="HA40" s="336">
        <v>0</v>
      </c>
      <c r="HB40" s="336">
        <v>0</v>
      </c>
      <c r="HC40" s="336">
        <v>0</v>
      </c>
      <c r="HD40" s="336">
        <v>0</v>
      </c>
      <c r="HE40" s="336">
        <v>0</v>
      </c>
      <c r="HF40" s="336">
        <v>0</v>
      </c>
      <c r="HG40" s="336">
        <v>0</v>
      </c>
      <c r="HH40" s="336">
        <v>0</v>
      </c>
      <c r="HI40" s="336">
        <v>0</v>
      </c>
      <c r="HJ40" s="336">
        <v>0</v>
      </c>
      <c r="HK40" s="336">
        <v>0</v>
      </c>
      <c r="HL40" s="336">
        <v>0</v>
      </c>
      <c r="HM40" s="336">
        <v>0</v>
      </c>
      <c r="HN40" s="336">
        <v>0</v>
      </c>
      <c r="HO40" s="336">
        <v>0</v>
      </c>
      <c r="HP40" s="336">
        <v>0</v>
      </c>
      <c r="HQ40" s="336">
        <v>0</v>
      </c>
      <c r="HR40" s="336">
        <v>2841477</v>
      </c>
      <c r="HS40" s="336">
        <v>0</v>
      </c>
      <c r="HT40" s="336">
        <v>0</v>
      </c>
      <c r="HU40" s="336">
        <v>0</v>
      </c>
      <c r="HV40" s="336">
        <v>0</v>
      </c>
      <c r="HW40" s="336">
        <v>0</v>
      </c>
      <c r="HX40" s="336">
        <v>0</v>
      </c>
      <c r="HY40" s="336">
        <v>0</v>
      </c>
      <c r="HZ40" s="336">
        <v>0</v>
      </c>
      <c r="IA40" s="336">
        <v>0</v>
      </c>
      <c r="IB40" s="336">
        <v>0</v>
      </c>
      <c r="IC40" s="336">
        <v>0</v>
      </c>
      <c r="ID40" s="336">
        <v>0</v>
      </c>
      <c r="IE40" s="336">
        <v>0</v>
      </c>
      <c r="IF40" s="336">
        <v>0</v>
      </c>
      <c r="IG40" s="336">
        <v>0</v>
      </c>
      <c r="IH40" s="336">
        <v>0</v>
      </c>
      <c r="II40" s="336">
        <v>0</v>
      </c>
      <c r="IJ40" s="336">
        <v>0</v>
      </c>
      <c r="IK40" s="336">
        <v>0</v>
      </c>
      <c r="IL40" s="336">
        <v>0</v>
      </c>
      <c r="IM40" s="336">
        <v>0</v>
      </c>
      <c r="IN40" s="336">
        <v>0</v>
      </c>
      <c r="IO40" s="336">
        <v>0</v>
      </c>
      <c r="IP40" s="336">
        <v>0</v>
      </c>
      <c r="IQ40" s="336">
        <v>0</v>
      </c>
      <c r="IR40" s="336">
        <v>0</v>
      </c>
      <c r="IS40" s="336">
        <v>0</v>
      </c>
      <c r="IT40" s="336">
        <v>0</v>
      </c>
      <c r="IU40" s="336">
        <v>0</v>
      </c>
      <c r="IV40" s="336">
        <v>0</v>
      </c>
      <c r="IW40" s="336">
        <v>0</v>
      </c>
      <c r="IX40" s="336">
        <v>0</v>
      </c>
      <c r="IY40" s="336">
        <v>0</v>
      </c>
      <c r="IZ40" s="336">
        <v>0</v>
      </c>
      <c r="JA40" s="336">
        <v>0</v>
      </c>
      <c r="JB40" s="336">
        <v>0</v>
      </c>
      <c r="JC40" s="336">
        <v>0</v>
      </c>
      <c r="JD40" s="336">
        <v>0</v>
      </c>
      <c r="JE40" s="336">
        <v>0</v>
      </c>
      <c r="JF40" s="336">
        <v>0</v>
      </c>
      <c r="JG40" s="336">
        <v>0</v>
      </c>
      <c r="JH40" s="336">
        <v>0</v>
      </c>
      <c r="JI40" s="336">
        <v>5253</v>
      </c>
      <c r="JJ40" s="336">
        <v>0</v>
      </c>
      <c r="JK40" s="336">
        <v>533583</v>
      </c>
      <c r="JL40" s="336">
        <v>0</v>
      </c>
      <c r="JM40" s="336">
        <v>0</v>
      </c>
      <c r="JN40" s="336">
        <v>83275</v>
      </c>
      <c r="JO40" s="336">
        <v>0</v>
      </c>
      <c r="JP40" s="336">
        <v>0</v>
      </c>
      <c r="JQ40" s="336">
        <v>0</v>
      </c>
      <c r="JR40" s="336">
        <v>808207</v>
      </c>
      <c r="JS40" s="336">
        <v>0</v>
      </c>
      <c r="JT40" s="336">
        <v>0</v>
      </c>
      <c r="JU40" s="336">
        <v>0</v>
      </c>
      <c r="JV40" s="336">
        <v>0</v>
      </c>
      <c r="JW40" s="336">
        <v>0</v>
      </c>
      <c r="JX40" s="336">
        <v>0</v>
      </c>
      <c r="JY40" s="336">
        <v>0</v>
      </c>
      <c r="JZ40" s="336">
        <v>0</v>
      </c>
      <c r="KA40" s="336">
        <v>0</v>
      </c>
      <c r="KB40" s="336">
        <v>159798</v>
      </c>
      <c r="KC40" s="336">
        <v>0</v>
      </c>
      <c r="KD40" s="336">
        <v>0</v>
      </c>
      <c r="KE40" s="336">
        <v>0</v>
      </c>
      <c r="KF40" s="336">
        <v>0</v>
      </c>
      <c r="KG40" s="336">
        <v>0</v>
      </c>
      <c r="KH40" s="336">
        <v>0</v>
      </c>
      <c r="KI40" s="336">
        <v>0</v>
      </c>
      <c r="KJ40" s="336">
        <v>9000</v>
      </c>
      <c r="KK40" s="336">
        <v>0</v>
      </c>
      <c r="KL40" s="336">
        <v>0</v>
      </c>
      <c r="KM40" s="336">
        <v>0</v>
      </c>
      <c r="KN40" s="336">
        <v>0</v>
      </c>
      <c r="KO40" s="336">
        <v>0</v>
      </c>
      <c r="KP40" s="336">
        <v>0</v>
      </c>
      <c r="KQ40" s="336">
        <v>0</v>
      </c>
      <c r="KR40" s="336">
        <v>4973498</v>
      </c>
      <c r="KS40" s="336">
        <v>746037</v>
      </c>
      <c r="KT40" s="336">
        <v>1342</v>
      </c>
      <c r="KU40" s="336">
        <v>31144</v>
      </c>
      <c r="KV40" s="336">
        <v>0</v>
      </c>
      <c r="KW40" s="336">
        <v>0</v>
      </c>
      <c r="KX40" s="336">
        <v>0</v>
      </c>
      <c r="KY40" s="336">
        <v>0</v>
      </c>
      <c r="KZ40" s="336">
        <v>0</v>
      </c>
      <c r="LA40" s="336">
        <v>7079</v>
      </c>
      <c r="LB40" s="336">
        <v>46</v>
      </c>
      <c r="LC40" s="336">
        <v>56</v>
      </c>
      <c r="LD40" s="336">
        <v>6</v>
      </c>
      <c r="LE40" s="336">
        <v>0</v>
      </c>
      <c r="LF40" s="336">
        <v>0</v>
      </c>
      <c r="LG40" s="336">
        <v>0</v>
      </c>
      <c r="LH40" s="336">
        <v>0</v>
      </c>
      <c r="LI40" s="336">
        <v>0</v>
      </c>
      <c r="LJ40" s="336">
        <v>0</v>
      </c>
      <c r="LK40" s="336">
        <v>0</v>
      </c>
      <c r="LL40" s="336">
        <v>0</v>
      </c>
      <c r="LM40" s="336">
        <v>0</v>
      </c>
      <c r="LN40" s="336">
        <v>0</v>
      </c>
      <c r="LO40" s="336">
        <v>0</v>
      </c>
      <c r="LP40" s="336">
        <v>0</v>
      </c>
      <c r="LQ40" s="336">
        <v>0</v>
      </c>
      <c r="LR40" s="336">
        <v>0</v>
      </c>
      <c r="LS40" s="336">
        <v>0</v>
      </c>
      <c r="LT40" s="336">
        <v>0</v>
      </c>
      <c r="LU40" s="336">
        <v>0</v>
      </c>
      <c r="LV40" s="336">
        <v>0</v>
      </c>
      <c r="LW40" s="336">
        <v>0</v>
      </c>
      <c r="LX40" s="336">
        <v>0</v>
      </c>
      <c r="LY40" s="336">
        <v>0</v>
      </c>
      <c r="LZ40" s="336">
        <v>0</v>
      </c>
      <c r="MA40" s="336">
        <v>0</v>
      </c>
      <c r="MB40" s="336">
        <v>1202381</v>
      </c>
      <c r="MC40" s="336">
        <v>182282</v>
      </c>
      <c r="MD40" s="336">
        <v>398</v>
      </c>
      <c r="ME40" s="336">
        <v>9727</v>
      </c>
      <c r="MF40" s="336">
        <v>0</v>
      </c>
      <c r="MG40" s="336">
        <v>0</v>
      </c>
      <c r="MH40" s="336">
        <v>0</v>
      </c>
      <c r="MI40" s="336">
        <v>0</v>
      </c>
      <c r="MJ40" s="336">
        <v>0</v>
      </c>
      <c r="MK40" s="336">
        <v>1253108</v>
      </c>
      <c r="ML40" s="336">
        <v>595728</v>
      </c>
      <c r="MM40" s="336">
        <v>397</v>
      </c>
      <c r="MN40" s="336">
        <v>11212</v>
      </c>
      <c r="MO40" s="336">
        <v>0</v>
      </c>
      <c r="MP40" s="336">
        <v>0</v>
      </c>
      <c r="MQ40" s="336">
        <v>0</v>
      </c>
      <c r="MR40" s="336">
        <v>0</v>
      </c>
      <c r="MS40" s="336">
        <v>0</v>
      </c>
      <c r="MT40" s="336">
        <v>698869</v>
      </c>
      <c r="MU40" s="336">
        <v>397898</v>
      </c>
      <c r="MV40" s="336">
        <v>540</v>
      </c>
      <c r="MW40" s="336">
        <v>857</v>
      </c>
      <c r="MX40" s="336">
        <v>0</v>
      </c>
      <c r="MY40" s="336">
        <v>0</v>
      </c>
      <c r="MZ40" s="336">
        <v>0</v>
      </c>
      <c r="NA40" s="336">
        <v>0</v>
      </c>
      <c r="NB40" s="336">
        <v>0</v>
      </c>
      <c r="NC40" s="336">
        <v>546227</v>
      </c>
      <c r="ND40" s="336">
        <v>438374</v>
      </c>
      <c r="NE40" s="336">
        <v>173</v>
      </c>
      <c r="NF40" s="336">
        <v>18</v>
      </c>
      <c r="NG40" s="336">
        <v>0</v>
      </c>
      <c r="NH40" s="336">
        <v>0</v>
      </c>
      <c r="NI40" s="336">
        <v>0</v>
      </c>
      <c r="NJ40" s="336">
        <v>0</v>
      </c>
      <c r="NK40" s="336">
        <v>0</v>
      </c>
      <c r="NL40" s="336">
        <v>57541</v>
      </c>
      <c r="NM40" s="336">
        <v>830659</v>
      </c>
      <c r="NN40" s="336">
        <v>0</v>
      </c>
      <c r="NO40" s="336">
        <v>1467013</v>
      </c>
      <c r="NP40" s="336">
        <v>0</v>
      </c>
      <c r="NQ40" s="336">
        <v>0</v>
      </c>
      <c r="NR40" s="336">
        <v>0</v>
      </c>
      <c r="NS40" s="336">
        <v>0</v>
      </c>
      <c r="NT40" s="336">
        <v>0</v>
      </c>
      <c r="NU40" s="336">
        <v>7660</v>
      </c>
      <c r="NV40" s="336">
        <v>48</v>
      </c>
      <c r="NW40" s="336">
        <v>271127</v>
      </c>
      <c r="NX40" s="336">
        <v>6</v>
      </c>
      <c r="NY40" s="336">
        <v>0</v>
      </c>
      <c r="NZ40" s="336">
        <v>0</v>
      </c>
      <c r="OA40" s="336">
        <v>0</v>
      </c>
      <c r="OB40" s="336">
        <v>0</v>
      </c>
      <c r="OC40" s="336">
        <v>0</v>
      </c>
      <c r="OD40" s="336">
        <v>0</v>
      </c>
      <c r="OE40" s="336">
        <v>0</v>
      </c>
      <c r="OF40" s="336">
        <v>0</v>
      </c>
      <c r="OG40" s="336">
        <v>0</v>
      </c>
      <c r="OH40" s="336">
        <v>0</v>
      </c>
      <c r="OI40" s="336">
        <v>0</v>
      </c>
      <c r="OJ40" s="336">
        <v>0</v>
      </c>
      <c r="OK40" s="336">
        <v>0</v>
      </c>
      <c r="OL40" s="336">
        <v>0</v>
      </c>
      <c r="OM40" s="336">
        <v>0</v>
      </c>
      <c r="ON40" s="336">
        <v>0</v>
      </c>
      <c r="OO40" s="336">
        <v>0</v>
      </c>
      <c r="OP40" s="336">
        <v>0</v>
      </c>
      <c r="OQ40" s="336">
        <v>0</v>
      </c>
      <c r="OR40" s="336">
        <v>0</v>
      </c>
      <c r="OS40" s="336">
        <v>168129</v>
      </c>
      <c r="OT40" s="336">
        <v>0</v>
      </c>
      <c r="OU40" s="336">
        <v>0</v>
      </c>
      <c r="OV40" s="336">
        <v>0</v>
      </c>
      <c r="OW40" s="336">
        <v>0</v>
      </c>
      <c r="OX40" s="336">
        <v>0</v>
      </c>
      <c r="OY40" s="336">
        <v>0</v>
      </c>
      <c r="OZ40" s="336">
        <v>0</v>
      </c>
      <c r="PA40" s="336">
        <v>0</v>
      </c>
      <c r="PB40" s="336">
        <v>-12410999</v>
      </c>
      <c r="PC40" s="336">
        <v>0</v>
      </c>
      <c r="PD40" s="336">
        <v>0</v>
      </c>
      <c r="PE40" s="336">
        <v>-4954601</v>
      </c>
      <c r="PF40" s="336">
        <v>1334344</v>
      </c>
      <c r="PG40" s="336">
        <v>128191</v>
      </c>
      <c r="PH40" s="336">
        <v>-2536344</v>
      </c>
      <c r="PI40" s="336">
        <v>0</v>
      </c>
      <c r="PJ40" s="336">
        <v>0</v>
      </c>
      <c r="PK40" s="336">
        <v>12904266</v>
      </c>
      <c r="PL40" s="336">
        <v>3907711</v>
      </c>
      <c r="PM40" s="336">
        <v>-9709859</v>
      </c>
      <c r="PN40" s="336">
        <v>0</v>
      </c>
      <c r="PO40" s="336">
        <v>0</v>
      </c>
      <c r="PP40" s="336">
        <v>0</v>
      </c>
      <c r="PQ40" s="336">
        <v>0</v>
      </c>
      <c r="PR40" s="336">
        <v>0</v>
      </c>
      <c r="PS40" s="336">
        <v>0</v>
      </c>
      <c r="PT40" s="336">
        <v>0</v>
      </c>
      <c r="PU40" s="336">
        <v>0</v>
      </c>
      <c r="PV40" s="336">
        <v>0</v>
      </c>
      <c r="PW40" s="336">
        <v>0</v>
      </c>
      <c r="PX40" s="336">
        <v>0</v>
      </c>
      <c r="PY40" s="336">
        <v>0</v>
      </c>
      <c r="PZ40" s="336">
        <v>0</v>
      </c>
      <c r="QA40" s="336">
        <v>0</v>
      </c>
      <c r="QB40" s="336">
        <v>0</v>
      </c>
      <c r="QC40" s="336">
        <v>31116</v>
      </c>
      <c r="QD40" s="336">
        <v>-6192507</v>
      </c>
      <c r="QE40" s="336">
        <v>2367195</v>
      </c>
      <c r="QF40" s="336">
        <v>0</v>
      </c>
      <c r="QG40" s="336">
        <v>0</v>
      </c>
      <c r="QH40" s="336">
        <v>0</v>
      </c>
      <c r="QI40" s="336">
        <v>0</v>
      </c>
      <c r="QJ40" s="336">
        <v>0</v>
      </c>
      <c r="QK40" s="336">
        <v>0</v>
      </c>
      <c r="QL40" s="336">
        <v>0</v>
      </c>
      <c r="QM40" s="336">
        <v>0</v>
      </c>
      <c r="QN40" s="336">
        <v>0</v>
      </c>
      <c r="QO40" s="336">
        <v>0</v>
      </c>
      <c r="QP40" s="336">
        <v>0</v>
      </c>
      <c r="QQ40" s="336">
        <v>0</v>
      </c>
      <c r="QR40" s="336">
        <v>0</v>
      </c>
      <c r="QS40" s="336">
        <v>0</v>
      </c>
      <c r="QT40" s="336">
        <v>0</v>
      </c>
      <c r="QU40" s="336">
        <v>0</v>
      </c>
      <c r="QV40" s="336">
        <v>0</v>
      </c>
      <c r="QW40" s="336">
        <v>0</v>
      </c>
      <c r="QX40" s="336">
        <v>0</v>
      </c>
      <c r="QY40" s="336">
        <v>0</v>
      </c>
      <c r="QZ40" s="336">
        <v>0</v>
      </c>
      <c r="RA40" s="336">
        <v>0</v>
      </c>
      <c r="RB40" s="336">
        <v>0</v>
      </c>
      <c r="RC40" s="336">
        <v>0</v>
      </c>
      <c r="RD40" s="336">
        <v>0</v>
      </c>
      <c r="RE40" s="336">
        <v>0</v>
      </c>
      <c r="RF40" s="336">
        <v>0</v>
      </c>
      <c r="RG40" s="336">
        <v>0</v>
      </c>
      <c r="RH40" s="336">
        <v>0</v>
      </c>
      <c r="RI40" s="336">
        <v>0</v>
      </c>
      <c r="RJ40" s="336">
        <v>0</v>
      </c>
      <c r="RK40" s="336">
        <v>0</v>
      </c>
      <c r="RL40" s="336">
        <v>0</v>
      </c>
      <c r="RM40" s="336">
        <v>0</v>
      </c>
      <c r="RN40" s="336">
        <v>0</v>
      </c>
      <c r="RO40" s="336">
        <v>-2715891</v>
      </c>
      <c r="RP40" s="336">
        <v>0</v>
      </c>
      <c r="RQ40" s="336">
        <v>0</v>
      </c>
      <c r="RR40" s="336">
        <v>0</v>
      </c>
      <c r="RS40" s="336">
        <v>0</v>
      </c>
      <c r="RT40" s="336">
        <v>0</v>
      </c>
      <c r="RU40" s="336">
        <v>0</v>
      </c>
      <c r="RV40" s="336">
        <v>0</v>
      </c>
      <c r="RW40" s="336">
        <v>0</v>
      </c>
      <c r="RX40" s="336">
        <v>0</v>
      </c>
      <c r="RY40" s="336">
        <v>0</v>
      </c>
      <c r="RZ40" s="336">
        <v>0</v>
      </c>
      <c r="SA40" s="336">
        <v>0</v>
      </c>
      <c r="SB40" s="336">
        <v>0</v>
      </c>
      <c r="SC40" s="336">
        <v>0</v>
      </c>
      <c r="SD40" s="336">
        <v>0</v>
      </c>
      <c r="SE40" s="336">
        <v>0</v>
      </c>
      <c r="SF40" s="336">
        <v>0</v>
      </c>
      <c r="SG40" s="336">
        <v>0</v>
      </c>
      <c r="SH40" s="336">
        <v>0</v>
      </c>
      <c r="SI40" s="336">
        <v>0</v>
      </c>
      <c r="SJ40" s="336">
        <v>0</v>
      </c>
      <c r="SK40" s="336">
        <v>0</v>
      </c>
      <c r="SL40" s="336">
        <v>0</v>
      </c>
      <c r="SM40" s="336">
        <v>0</v>
      </c>
      <c r="SN40" s="336">
        <v>0</v>
      </c>
      <c r="SO40" s="336">
        <v>0</v>
      </c>
      <c r="SP40" s="336">
        <v>0</v>
      </c>
      <c r="SQ40" s="336">
        <v>0</v>
      </c>
      <c r="SR40" s="336">
        <v>0</v>
      </c>
      <c r="SS40" s="336">
        <v>0</v>
      </c>
      <c r="ST40" s="336">
        <v>0</v>
      </c>
      <c r="SU40" s="336">
        <v>0</v>
      </c>
      <c r="SV40" s="336">
        <v>0</v>
      </c>
      <c r="SW40" s="336">
        <v>12410999</v>
      </c>
      <c r="SX40" s="336">
        <v>0</v>
      </c>
      <c r="SY40" s="336">
        <v>0</v>
      </c>
      <c r="SZ40" s="336" t="s">
        <v>1420</v>
      </c>
      <c r="TA40" s="336" t="s">
        <v>1420</v>
      </c>
      <c r="TB40" s="336" t="s">
        <v>1420</v>
      </c>
      <c r="TC40" s="336">
        <v>0</v>
      </c>
      <c r="TD40" s="336">
        <v>0</v>
      </c>
      <c r="TE40" s="336">
        <v>0</v>
      </c>
      <c r="TF40" s="336">
        <v>0</v>
      </c>
      <c r="TG40" s="336">
        <v>0</v>
      </c>
      <c r="TH40" s="336">
        <v>0</v>
      </c>
      <c r="TI40" s="336">
        <v>0</v>
      </c>
      <c r="TJ40" s="336">
        <v>0</v>
      </c>
      <c r="TK40" s="336">
        <v>0</v>
      </c>
      <c r="TL40" s="336">
        <v>0</v>
      </c>
      <c r="TM40" s="336">
        <v>0</v>
      </c>
      <c r="TN40" s="336">
        <v>0</v>
      </c>
      <c r="TO40" s="336">
        <v>0</v>
      </c>
      <c r="TP40" s="336">
        <v>0</v>
      </c>
      <c r="TQ40" s="336">
        <v>0</v>
      </c>
      <c r="TR40" s="336">
        <v>0</v>
      </c>
      <c r="TS40" s="336">
        <v>0</v>
      </c>
      <c r="TT40" s="336">
        <v>0</v>
      </c>
      <c r="TU40" s="336">
        <v>0</v>
      </c>
      <c r="TV40" s="336">
        <v>0</v>
      </c>
      <c r="TW40" s="336">
        <v>0</v>
      </c>
      <c r="TX40" s="336">
        <v>0</v>
      </c>
      <c r="TY40" s="336">
        <v>0</v>
      </c>
      <c r="TZ40" s="336">
        <v>0</v>
      </c>
      <c r="UA40" s="336">
        <v>0</v>
      </c>
      <c r="UB40" s="336">
        <v>0</v>
      </c>
      <c r="UC40" s="336">
        <v>0</v>
      </c>
      <c r="UD40" s="336">
        <v>0</v>
      </c>
      <c r="UE40" s="336">
        <v>0</v>
      </c>
      <c r="UF40" s="336">
        <v>0</v>
      </c>
      <c r="UG40" s="336">
        <v>0</v>
      </c>
      <c r="UH40" s="336">
        <v>5752021</v>
      </c>
      <c r="UI40" s="336">
        <v>7187</v>
      </c>
      <c r="UJ40" s="336">
        <v>0</v>
      </c>
      <c r="UK40" s="336">
        <v>0</v>
      </c>
      <c r="UL40" s="336">
        <v>1394788</v>
      </c>
      <c r="UM40" s="336">
        <v>1860445</v>
      </c>
      <c r="UN40" s="336">
        <v>1098164</v>
      </c>
      <c r="UO40" s="336">
        <v>984792</v>
      </c>
      <c r="UP40" s="336">
        <v>2355213</v>
      </c>
      <c r="UQ40" s="336">
        <v>278841</v>
      </c>
      <c r="UR40"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0</v>
      </c>
      <c r="US40" s="338">
        <f>SUM(Input[[#This Row],[Oth Exp E&amp;G]],Input[[#This Row],[Oth Exp Desg]],Input[[#This Row],[Oth Exp Aux]],Input[[#This Row],[Oth Exp R Exp]],Input[[#This Row],[Oth Exp Loan]],Input[[#This Row],[Oth Exp Annuity]],Input[[#This Row],[Oth Exp Unexp]],Input[[#This Row],[Oth Exp R of Ind]],Input[[#This Row],[Oth Exp Inv in P]])</f>
        <v>168129</v>
      </c>
      <c r="UT40" s="336">
        <v>0</v>
      </c>
      <c r="UU40" s="336">
        <v>0</v>
      </c>
      <c r="UV40" s="339" t="s">
        <v>1569</v>
      </c>
      <c r="UW40" s="340">
        <v>2547497398</v>
      </c>
      <c r="UX40" s="339" t="s">
        <v>1570</v>
      </c>
      <c r="UY40" s="339" t="s">
        <v>1571</v>
      </c>
      <c r="UZ40" s="340">
        <v>2548673895</v>
      </c>
      <c r="VA40" s="339" t="s">
        <v>1572</v>
      </c>
      <c r="VB40" s="341" cm="1">
        <f t="array" ref="VB40">IFERROR(_xlfn.IFS(Input[[#This Row],[Type]]="HRI",VLOOKUP(Input[[#This Row],[Institution Name]],FTSEHRI[],9,FALSE),Input[[#This Row],[Type]]="UNIV",VLOOKUP(Input[[#This Row],[Institution Name]],FTSEUNIV[],9,FALSE),OR(Input[[#This Row],[Type]]="TSTC",Input[[#This Row],[Type]]="LSC"),VLOOKUP(Input[[#This Row],[Institution Name]],FTSETSTC[],8,FALSE)),"N/A")</f>
        <v>674.78</v>
      </c>
      <c r="VC40" s="342" t="str" cm="1">
        <f t="array" ref="VC40">IFERROR(_xlfn.IFS(Input[[#This Row],[Type]]="HRI",VLOOKUP(Input[[#This Row],[Institution Name]],FTSEHRI[],11,FALSE),Input[[#This Row],[Type]]="UNIV",VLOOKUP(Input[[#This Row],[Institution Name]],FTSEUNIV[],11,FALSE),Input[[#This Row],[Type]]="TSTC",VLOOKUP(Input[[#This Row],[Institution Name]],FTSETSTC[],10,FALSE)),"N/A")</f>
        <v>N/A</v>
      </c>
      <c r="VD40"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13874509</v>
      </c>
      <c r="VE40"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592040</v>
      </c>
      <c r="VF40" s="338">
        <f>SUM(Input[[#This Row],[Fed G&amp;C E&amp;G]],Input[[#This Row],[Fed G&amp;C Desg]],Input[[#This Row],[Fed G&amp;C R Exp]],Input[[#This Row],[Fed G&amp;C Loan]],Input[[#This Row],[Fed G&amp;C Annuity]],Input[[#This Row],[Fed G&amp;C Unexp]],Input[[#This Row],[Fed G&amp;C R of Ind]],Input[[#This Row],[Fed G&amp;C Inv in P]])</f>
        <v>2841477</v>
      </c>
      <c r="VG40"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1439318</v>
      </c>
      <c r="VH40"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3050118</v>
      </c>
      <c r="VI40"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J40" s="338">
        <f>SUM(Input[[#This Row],[Oth Inc E&amp;G]],Input[[#This Row],[Oth Exp Desg]],Input[[#This Row],[Oth Exp R Exp]],Input[[#This Row],[Oth Exp Loan]],Input[[#This Row],[Oth Exp Annuity]],Input[[#This Row],[Oth Exp Unexp]],Input[[#This Row],[Oth Exp R of Ind]],Input[[#This Row],[Oth Exp Inv in P]])</f>
        <v>168129</v>
      </c>
      <c r="VK40" s="343">
        <f>SUM(Input[[#This Row],[Instr E&amp;G]],Input[[#This Row],[Instr Desg]],Input[[#This Row],[Instr R Exp]],Input[[#This Row],[Instr Loan]],Input[[#This Row],[Instr Annuity]],Input[[#This Row],[Instr Unexp]],Input[[#This Row],[Instr R of Ind]],Input[[#This Row],[Instr Inv in P]])</f>
        <v>5750679</v>
      </c>
      <c r="VL40" s="343">
        <f>SUM(Input[[#This Row],[Res E&amp;G]],Input[[#This Row],[Res Desg]],Input[[#This Row],[Res R Exp]],Input[[#This Row],[Res Loan]],Input[[#This Row],[Res Annuity]],Input[[#This Row],[Res Unexp]],Input[[#This Row],[Res R of Ind]],Input[[#This Row],[Res Inv in P]])</f>
        <v>7131</v>
      </c>
      <c r="VM40" s="343">
        <f>SUM(Input[[#This Row],[Acad Sup E&amp;G]],Input[[#This Row],[Acad Sup Desg]],Input[[#This Row],[Acad Sup R Exp]],Input[[#This Row],[Acad Sup Loan]],Input[[#This Row],[Acad Sup Annuity]],Input[[#This Row],[Acad Sup Unexp]],Input[[#This Row],[Acad Sup R of Ind]],Input[[#This Row],[Acad Sup Inv in P]])</f>
        <v>1394390</v>
      </c>
      <c r="VN40" s="343">
        <f>SUM(Input[[#This Row],[Stu Svc E&amp;G]],Input[[#This Row],[Stu Svc Desg]],Input[[#This Row],[Stu Svc R Exp]],Input[[#This Row],[Stu Svc Loan]],Input[[#This Row],[Stu Svc Annuity]],Input[[#This Row],[Stu Svc Unexp]],Input[[#This Row],[Stu Svc R of Ind]],Input[[#This Row],[Stu Svc Inv in P]])</f>
        <v>1860048</v>
      </c>
      <c r="VO40" s="343">
        <f>SUM(Input[[#This Row],[Inst. Spt E&amp;G]],Input[[#This Row],[Inst. Spt Desg]],Input[[#This Row],[Inst. Spt R Exp]],Input[[#This Row],[Inst. Spt Loan]],Input[[#This Row],[Inst. Spt Annuity]],Input[[#This Row],[Inst. Spt Unexp]],Input[[#This Row],[Inst. Spt R of Ind]],Input[[#This Row],[Inst. Spt Inv in P]])</f>
        <v>1097624</v>
      </c>
      <c r="VP40" s="343">
        <f>SUM(Input[[#This Row],[M&amp;O Plnt E&amp;G]],Input[[#This Row],[M&amp;O Plnt Desg]],Input[[#This Row],[M&amp;O Plnt R Exp]],Input[[#This Row],[M&amp;O Plnt Loan]],Input[[#This Row],[M&amp;O Plnt Annuity]],Input[[#This Row],[M&amp;O Plnt Unexp]],Input[[#This Row],[M&amp;O Plnt R of Ind]],Input[[#This Row],[M&amp;O Plnt Inv in P]])</f>
        <v>984619</v>
      </c>
      <c r="VQ40" s="343">
        <f>SUM(Input[[#This Row],[Schl &amp; Fell E&amp;G]],Input[[#This Row],[Schl &amp; Fell Desg]],Input[[#This Row],[Schl &amp; Fell R Exp]],Input[[#This Row],[Schl &amp; Fell Loan]],Input[[#This Row],[Schl &amp; Fell Annuity]],Input[[#This Row],[Schl &amp; Fell Unexp]],Input[[#This Row],[Schl &amp; Fell R of Ind]],Input[[#This Row],[Schl &amp; Fell Inv in P]])</f>
        <v>2355213</v>
      </c>
      <c r="VR40" s="343">
        <f>SUM(Input[[#This Row],[Cap Out fund E&amp;G]],Input[[#This Row],[Cap Out fund Desg]],Input[[#This Row],[Cap Out fund R Exp]],Input[[#This Row],[Cap Out fund Loan]],Input[[#This Row],[Cap Out fund Annuity]],Input[[#This Row],[Cap Out fund Unexp]],Input[[#This Row],[Cap Out fund R of Ind]],Input[[#This Row],[Cap Out fund Inv in P]])</f>
        <v>0</v>
      </c>
      <c r="VS40" s="343">
        <f>SUM(Input[[#This Row],[Oth Exp E&amp;G]],Input[[#This Row],[Oth Exp Desg]],Input[[#This Row],[Oth Exp R Exp]],Input[[#This Row],[Oth Exp Loan]],Input[[#This Row],[Oth Exp Annuity]],Input[[#This Row],[Oth Exp Unexp]],Input[[#This Row],[Oth Exp R of Ind]],Input[[#This Row],[Oth Exp Inv in P]],Input[[#This Row],[Oth Exp Inv in P]])</f>
        <v>168129</v>
      </c>
    </row>
    <row r="41" spans="1:591" s="344" customFormat="1" ht="27" customHeight="1" x14ac:dyDescent="0.55000000000000004">
      <c r="A41" s="339" t="s">
        <v>52</v>
      </c>
      <c r="B41" s="334" t="s">
        <v>20</v>
      </c>
      <c r="C41" s="334" t="s">
        <v>20</v>
      </c>
      <c r="D41" s="334">
        <v>520</v>
      </c>
      <c r="E41" s="334" t="s">
        <v>1622</v>
      </c>
      <c r="F41" s="335">
        <v>9225</v>
      </c>
      <c r="G41" s="336">
        <v>41949500</v>
      </c>
      <c r="H41" s="336">
        <v>0</v>
      </c>
      <c r="I41" s="336">
        <v>0</v>
      </c>
      <c r="J41" s="336">
        <v>0</v>
      </c>
      <c r="K41" s="336">
        <v>0</v>
      </c>
      <c r="L41" s="336">
        <v>0</v>
      </c>
      <c r="M41" s="336">
        <v>0</v>
      </c>
      <c r="N41" s="336">
        <v>0</v>
      </c>
      <c r="O41" s="336">
        <v>0</v>
      </c>
      <c r="P41" s="336">
        <v>0</v>
      </c>
      <c r="Q41" s="336">
        <v>18000</v>
      </c>
      <c r="R41" s="336">
        <v>0</v>
      </c>
      <c r="S41" s="336">
        <v>2905547</v>
      </c>
      <c r="T41" s="336">
        <v>0</v>
      </c>
      <c r="U41" s="336">
        <v>0</v>
      </c>
      <c r="V41" s="336">
        <v>0</v>
      </c>
      <c r="W41" s="336">
        <v>0</v>
      </c>
      <c r="X41" s="336">
        <v>0</v>
      </c>
      <c r="Y41" s="336">
        <v>1827580</v>
      </c>
      <c r="Z41" s="336">
        <v>0</v>
      </c>
      <c r="AA41" s="336">
        <v>0</v>
      </c>
      <c r="AB41" s="336">
        <v>0</v>
      </c>
      <c r="AC41" s="336">
        <v>0</v>
      </c>
      <c r="AD41" s="336">
        <v>0</v>
      </c>
      <c r="AE41" s="336">
        <v>0</v>
      </c>
      <c r="AF41" s="336">
        <v>0</v>
      </c>
      <c r="AG41" s="336">
        <v>0</v>
      </c>
      <c r="AH41" s="336">
        <v>0</v>
      </c>
      <c r="AI41" s="336">
        <v>0</v>
      </c>
      <c r="AJ41" s="336">
        <v>0</v>
      </c>
      <c r="AK41" s="336">
        <v>0</v>
      </c>
      <c r="AL41" s="336">
        <v>0</v>
      </c>
      <c r="AM41" s="336">
        <v>0</v>
      </c>
      <c r="AN41" s="336">
        <v>0</v>
      </c>
      <c r="AO41" s="336">
        <v>0</v>
      </c>
      <c r="AP41" s="336">
        <v>0</v>
      </c>
      <c r="AQ41" s="336">
        <v>-25758</v>
      </c>
      <c r="AR41" s="336">
        <v>0</v>
      </c>
      <c r="AS41" s="336">
        <v>0</v>
      </c>
      <c r="AT41" s="336">
        <v>0</v>
      </c>
      <c r="AU41" s="336">
        <v>0</v>
      </c>
      <c r="AV41" s="336">
        <v>0</v>
      </c>
      <c r="AW41" s="336">
        <v>0</v>
      </c>
      <c r="AX41" s="336">
        <v>0</v>
      </c>
      <c r="AY41" s="336">
        <v>0</v>
      </c>
      <c r="AZ41" s="336">
        <v>0</v>
      </c>
      <c r="BA41" s="336">
        <v>0</v>
      </c>
      <c r="BB41" s="336">
        <v>0</v>
      </c>
      <c r="BC41" s="336">
        <v>0</v>
      </c>
      <c r="BD41" s="336">
        <v>0</v>
      </c>
      <c r="BE41" s="336">
        <v>0</v>
      </c>
      <c r="BF41" s="336">
        <v>0</v>
      </c>
      <c r="BG41" s="336">
        <v>0</v>
      </c>
      <c r="BH41" s="336">
        <v>0</v>
      </c>
      <c r="BI41" s="336">
        <v>0</v>
      </c>
      <c r="BJ41" s="336">
        <v>0</v>
      </c>
      <c r="BK41" s="336">
        <v>0</v>
      </c>
      <c r="BL41" s="336">
        <v>0</v>
      </c>
      <c r="BM41" s="336">
        <v>0</v>
      </c>
      <c r="BN41" s="336">
        <v>0</v>
      </c>
      <c r="BO41" s="336">
        <v>0</v>
      </c>
      <c r="BP41" s="336">
        <v>0</v>
      </c>
      <c r="BQ41" s="336">
        <v>0</v>
      </c>
      <c r="BR41" s="336">
        <v>0</v>
      </c>
      <c r="BS41" s="336">
        <v>0</v>
      </c>
      <c r="BT41" s="336">
        <v>0</v>
      </c>
      <c r="BU41" s="336">
        <v>0</v>
      </c>
      <c r="BV41" s="336">
        <v>0</v>
      </c>
      <c r="BW41" s="336">
        <v>0</v>
      </c>
      <c r="BX41" s="336">
        <v>0</v>
      </c>
      <c r="BY41" s="336">
        <v>0</v>
      </c>
      <c r="BZ41" s="336">
        <v>0</v>
      </c>
      <c r="CA41" s="336">
        <v>2075376</v>
      </c>
      <c r="CB41" s="336">
        <v>13736124</v>
      </c>
      <c r="CC41" s="336">
        <v>0</v>
      </c>
      <c r="CD41" s="336">
        <v>0</v>
      </c>
      <c r="CE41" s="336">
        <v>0</v>
      </c>
      <c r="CF41" s="336">
        <v>0</v>
      </c>
      <c r="CG41" s="336">
        <v>0</v>
      </c>
      <c r="CH41" s="336">
        <v>0</v>
      </c>
      <c r="CI41" s="336">
        <v>0</v>
      </c>
      <c r="CJ41" s="336">
        <v>0</v>
      </c>
      <c r="CK41" s="336">
        <v>0</v>
      </c>
      <c r="CL41" s="336">
        <v>0</v>
      </c>
      <c r="CM41" s="336">
        <v>0</v>
      </c>
      <c r="CN41" s="336">
        <v>0</v>
      </c>
      <c r="CO41" s="336">
        <v>0</v>
      </c>
      <c r="CP41" s="336">
        <v>0</v>
      </c>
      <c r="CQ41" s="336">
        <v>0</v>
      </c>
      <c r="CR41" s="336">
        <v>0</v>
      </c>
      <c r="CS41" s="336">
        <v>0</v>
      </c>
      <c r="CT41" s="336">
        <v>0</v>
      </c>
      <c r="CU41" s="336">
        <v>0</v>
      </c>
      <c r="CV41" s="336">
        <v>0</v>
      </c>
      <c r="CW41" s="336">
        <v>0</v>
      </c>
      <c r="CX41" s="336">
        <v>0</v>
      </c>
      <c r="CY41" s="336">
        <v>0</v>
      </c>
      <c r="CZ41" s="336">
        <v>0</v>
      </c>
      <c r="DA41" s="336">
        <v>0</v>
      </c>
      <c r="DB41" s="336">
        <v>-379424</v>
      </c>
      <c r="DC41" s="336">
        <v>0</v>
      </c>
      <c r="DD41" s="336">
        <v>0</v>
      </c>
      <c r="DE41" s="336">
        <v>0</v>
      </c>
      <c r="DF41" s="336">
        <v>0</v>
      </c>
      <c r="DG41" s="336">
        <v>0</v>
      </c>
      <c r="DH41" s="336">
        <v>0</v>
      </c>
      <c r="DI41" s="336">
        <v>0</v>
      </c>
      <c r="DJ41" s="336">
        <v>0</v>
      </c>
      <c r="DK41" s="336">
        <v>0</v>
      </c>
      <c r="DL41" s="336">
        <v>-925824</v>
      </c>
      <c r="DM41" s="336">
        <v>0</v>
      </c>
      <c r="DN41" s="336">
        <v>0</v>
      </c>
      <c r="DO41" s="336">
        <v>0</v>
      </c>
      <c r="DP41" s="336">
        <v>0</v>
      </c>
      <c r="DQ41" s="336">
        <v>0</v>
      </c>
      <c r="DR41" s="336">
        <v>0</v>
      </c>
      <c r="DS41" s="336">
        <v>0</v>
      </c>
      <c r="DT41" s="336">
        <v>-641837</v>
      </c>
      <c r="DU41" s="336">
        <v>-7047846</v>
      </c>
      <c r="DV41" s="336">
        <v>0</v>
      </c>
      <c r="DW41" s="336">
        <v>0</v>
      </c>
      <c r="DX41" s="336">
        <v>0</v>
      </c>
      <c r="DY41" s="336">
        <v>0</v>
      </c>
      <c r="DZ41" s="336">
        <v>0</v>
      </c>
      <c r="EA41" s="336">
        <v>0</v>
      </c>
      <c r="EB41" s="336">
        <v>0</v>
      </c>
      <c r="EC41" s="336">
        <v>0</v>
      </c>
      <c r="ED41" s="336">
        <v>0</v>
      </c>
      <c r="EE41" s="336">
        <v>0</v>
      </c>
      <c r="EF41" s="336">
        <v>0</v>
      </c>
      <c r="EG41" s="336">
        <v>0</v>
      </c>
      <c r="EH41" s="336">
        <v>0</v>
      </c>
      <c r="EI41" s="336">
        <v>0</v>
      </c>
      <c r="EJ41" s="336">
        <v>0</v>
      </c>
      <c r="EK41" s="336">
        <v>0</v>
      </c>
      <c r="EL41" s="336">
        <v>0</v>
      </c>
      <c r="EM41" s="336">
        <v>0</v>
      </c>
      <c r="EN41" s="336">
        <v>0</v>
      </c>
      <c r="EO41" s="336">
        <v>0</v>
      </c>
      <c r="EP41" s="336">
        <v>0</v>
      </c>
      <c r="EQ41" s="336">
        <v>0</v>
      </c>
      <c r="ER41" s="336">
        <v>0</v>
      </c>
      <c r="ES41" s="336">
        <v>0</v>
      </c>
      <c r="ET41" s="336">
        <v>0</v>
      </c>
      <c r="EU41" s="336">
        <v>0</v>
      </c>
      <c r="EV41" s="336">
        <v>0</v>
      </c>
      <c r="EW41" s="336">
        <v>0</v>
      </c>
      <c r="EX41" s="336">
        <v>0</v>
      </c>
      <c r="EY41" s="336">
        <v>0</v>
      </c>
      <c r="EZ41" s="336">
        <v>0</v>
      </c>
      <c r="FA41" s="336">
        <v>0</v>
      </c>
      <c r="FB41" s="336">
        <v>0</v>
      </c>
      <c r="FC41" s="336">
        <v>0</v>
      </c>
      <c r="FD41" s="336">
        <v>0</v>
      </c>
      <c r="FE41" s="336">
        <v>0</v>
      </c>
      <c r="FF41" s="336">
        <v>0</v>
      </c>
      <c r="FG41" s="336">
        <v>0</v>
      </c>
      <c r="FH41" s="336">
        <v>0</v>
      </c>
      <c r="FI41" s="336">
        <v>0</v>
      </c>
      <c r="FJ41" s="336">
        <v>0</v>
      </c>
      <c r="FK41" s="336">
        <v>0</v>
      </c>
      <c r="FL41" s="336">
        <v>0</v>
      </c>
      <c r="FM41" s="336">
        <v>0</v>
      </c>
      <c r="FN41" s="336">
        <v>0</v>
      </c>
      <c r="FO41" s="336">
        <v>0</v>
      </c>
      <c r="FP41" s="336">
        <v>0</v>
      </c>
      <c r="FQ41" s="336">
        <v>0</v>
      </c>
      <c r="FR41" s="336">
        <v>0</v>
      </c>
      <c r="FS41" s="336">
        <v>0</v>
      </c>
      <c r="FT41" s="336">
        <v>0</v>
      </c>
      <c r="FU41" s="336">
        <v>0</v>
      </c>
      <c r="FV41" s="336">
        <v>0</v>
      </c>
      <c r="FW41" s="336">
        <v>0</v>
      </c>
      <c r="FX41" s="336">
        <v>0</v>
      </c>
      <c r="FY41" s="336">
        <v>0</v>
      </c>
      <c r="FZ41" s="336">
        <v>0</v>
      </c>
      <c r="GA41" s="336">
        <v>0</v>
      </c>
      <c r="GB41" s="336">
        <v>0</v>
      </c>
      <c r="GC41" s="336">
        <v>0</v>
      </c>
      <c r="GD41" s="336">
        <v>0</v>
      </c>
      <c r="GE41" s="336">
        <v>0</v>
      </c>
      <c r="GF41" s="336">
        <v>0</v>
      </c>
      <c r="GG41" s="336">
        <v>0</v>
      </c>
      <c r="GH41" s="336">
        <v>0</v>
      </c>
      <c r="GI41" s="336">
        <v>0</v>
      </c>
      <c r="GJ41" s="336">
        <v>0</v>
      </c>
      <c r="GK41" s="336">
        <v>0</v>
      </c>
      <c r="GL41" s="336">
        <v>0</v>
      </c>
      <c r="GM41" s="336">
        <v>0</v>
      </c>
      <c r="GN41" s="336">
        <v>0</v>
      </c>
      <c r="GO41" s="336">
        <v>0</v>
      </c>
      <c r="GP41" s="336">
        <v>0</v>
      </c>
      <c r="GQ41" s="336">
        <v>0</v>
      </c>
      <c r="GR41" s="336">
        <v>0</v>
      </c>
      <c r="GS41" s="336">
        <v>0</v>
      </c>
      <c r="GT41" s="336">
        <v>0</v>
      </c>
      <c r="GU41" s="336">
        <v>0</v>
      </c>
      <c r="GV41" s="336">
        <v>0</v>
      </c>
      <c r="GW41" s="336">
        <v>0</v>
      </c>
      <c r="GX41" s="336">
        <v>0</v>
      </c>
      <c r="GY41" s="336">
        <v>0</v>
      </c>
      <c r="GZ41" s="336">
        <v>0</v>
      </c>
      <c r="HA41" s="336">
        <v>0</v>
      </c>
      <c r="HB41" s="336">
        <v>0</v>
      </c>
      <c r="HC41" s="336">
        <v>0</v>
      </c>
      <c r="HD41" s="336">
        <v>0</v>
      </c>
      <c r="HE41" s="336">
        <v>0</v>
      </c>
      <c r="HF41" s="336">
        <v>0</v>
      </c>
      <c r="HG41" s="336">
        <v>0</v>
      </c>
      <c r="HH41" s="336">
        <v>0</v>
      </c>
      <c r="HI41" s="336">
        <v>0</v>
      </c>
      <c r="HJ41" s="336">
        <v>0</v>
      </c>
      <c r="HK41" s="336">
        <v>0</v>
      </c>
      <c r="HL41" s="336">
        <v>0</v>
      </c>
      <c r="HM41" s="336">
        <v>0</v>
      </c>
      <c r="HN41" s="336">
        <v>0</v>
      </c>
      <c r="HO41" s="336">
        <v>127379</v>
      </c>
      <c r="HP41" s="336">
        <v>0</v>
      </c>
      <c r="HQ41" s="336">
        <v>0</v>
      </c>
      <c r="HR41" s="336">
        <v>13824192</v>
      </c>
      <c r="HS41" s="336">
        <v>0</v>
      </c>
      <c r="HT41" s="336">
        <v>0</v>
      </c>
      <c r="HU41" s="336">
        <v>0</v>
      </c>
      <c r="HV41" s="336">
        <v>0</v>
      </c>
      <c r="HW41" s="336">
        <v>0</v>
      </c>
      <c r="HX41" s="336">
        <v>0</v>
      </c>
      <c r="HY41" s="336">
        <v>0</v>
      </c>
      <c r="HZ41" s="336">
        <v>0</v>
      </c>
      <c r="IA41" s="336">
        <v>0</v>
      </c>
      <c r="IB41" s="336">
        <v>0</v>
      </c>
      <c r="IC41" s="336">
        <v>0</v>
      </c>
      <c r="ID41" s="336">
        <v>0</v>
      </c>
      <c r="IE41" s="336">
        <v>0</v>
      </c>
      <c r="IF41" s="336">
        <v>0</v>
      </c>
      <c r="IG41" s="336">
        <v>0</v>
      </c>
      <c r="IH41" s="336">
        <v>0</v>
      </c>
      <c r="II41" s="336">
        <v>0</v>
      </c>
      <c r="IJ41" s="336">
        <v>0</v>
      </c>
      <c r="IK41" s="336">
        <v>0</v>
      </c>
      <c r="IL41" s="336">
        <v>0</v>
      </c>
      <c r="IM41" s="336">
        <v>0</v>
      </c>
      <c r="IN41" s="336">
        <v>0</v>
      </c>
      <c r="IO41" s="336">
        <v>0</v>
      </c>
      <c r="IP41" s="336">
        <v>0</v>
      </c>
      <c r="IQ41" s="336">
        <v>0</v>
      </c>
      <c r="IR41" s="336">
        <v>0</v>
      </c>
      <c r="IS41" s="336">
        <v>0</v>
      </c>
      <c r="IT41" s="336">
        <v>0</v>
      </c>
      <c r="IU41" s="336">
        <v>0</v>
      </c>
      <c r="IV41" s="336">
        <v>0</v>
      </c>
      <c r="IW41" s="336">
        <v>0</v>
      </c>
      <c r="IX41" s="336">
        <v>0</v>
      </c>
      <c r="IY41" s="336">
        <v>0</v>
      </c>
      <c r="IZ41" s="336">
        <v>0</v>
      </c>
      <c r="JA41" s="336">
        <v>0</v>
      </c>
      <c r="JB41" s="336">
        <v>0</v>
      </c>
      <c r="JC41" s="336">
        <v>0</v>
      </c>
      <c r="JD41" s="336">
        <v>0</v>
      </c>
      <c r="JE41" s="336">
        <v>0</v>
      </c>
      <c r="JF41" s="336">
        <v>0</v>
      </c>
      <c r="JG41" s="336">
        <v>0</v>
      </c>
      <c r="JH41" s="336">
        <v>0</v>
      </c>
      <c r="JI41" s="336">
        <v>172574</v>
      </c>
      <c r="JJ41" s="336">
        <v>0</v>
      </c>
      <c r="JK41" s="336">
        <v>412224</v>
      </c>
      <c r="JL41" s="336">
        <v>0</v>
      </c>
      <c r="JM41" s="336">
        <v>0</v>
      </c>
      <c r="JN41" s="336">
        <v>0</v>
      </c>
      <c r="JO41" s="336">
        <v>0</v>
      </c>
      <c r="JP41" s="336">
        <v>0</v>
      </c>
      <c r="JQ41" s="336">
        <v>0</v>
      </c>
      <c r="JR41" s="336">
        <v>1982442</v>
      </c>
      <c r="JS41" s="336">
        <v>0</v>
      </c>
      <c r="JT41" s="336">
        <v>0</v>
      </c>
      <c r="JU41" s="336">
        <v>0</v>
      </c>
      <c r="JV41" s="336">
        <v>0</v>
      </c>
      <c r="JW41" s="336">
        <v>0</v>
      </c>
      <c r="JX41" s="336">
        <v>0</v>
      </c>
      <c r="JY41" s="336">
        <v>0</v>
      </c>
      <c r="JZ41" s="336">
        <v>0</v>
      </c>
      <c r="KA41" s="336">
        <v>0</v>
      </c>
      <c r="KB41" s="336">
        <v>677002</v>
      </c>
      <c r="KC41" s="336">
        <v>0</v>
      </c>
      <c r="KD41" s="336">
        <v>0</v>
      </c>
      <c r="KE41" s="336">
        <v>0</v>
      </c>
      <c r="KF41" s="336">
        <v>0</v>
      </c>
      <c r="KG41" s="336">
        <v>0</v>
      </c>
      <c r="KH41" s="336">
        <v>0</v>
      </c>
      <c r="KI41" s="336">
        <v>0</v>
      </c>
      <c r="KJ41" s="336">
        <v>0</v>
      </c>
      <c r="KK41" s="336">
        <v>0</v>
      </c>
      <c r="KL41" s="336">
        <v>0</v>
      </c>
      <c r="KM41" s="336">
        <v>0</v>
      </c>
      <c r="KN41" s="336">
        <v>0</v>
      </c>
      <c r="KO41" s="336">
        <v>0</v>
      </c>
      <c r="KP41" s="336">
        <v>0</v>
      </c>
      <c r="KQ41" s="336">
        <v>0</v>
      </c>
      <c r="KR41" s="336">
        <v>22789731</v>
      </c>
      <c r="KS41" s="336">
        <v>4894073</v>
      </c>
      <c r="KT41" s="336">
        <v>14462</v>
      </c>
      <c r="KU41" s="336">
        <v>1500476</v>
      </c>
      <c r="KV41" s="336">
        <v>0</v>
      </c>
      <c r="KW41" s="336">
        <v>0</v>
      </c>
      <c r="KX41" s="336">
        <v>0</v>
      </c>
      <c r="KY41" s="336">
        <v>0</v>
      </c>
      <c r="KZ41" s="336">
        <v>0</v>
      </c>
      <c r="LA41" s="336">
        <v>39301</v>
      </c>
      <c r="LB41" s="336">
        <v>1135</v>
      </c>
      <c r="LC41" s="336">
        <v>608</v>
      </c>
      <c r="LD41" s="336">
        <v>79335</v>
      </c>
      <c r="LE41" s="336">
        <v>0</v>
      </c>
      <c r="LF41" s="336">
        <v>0</v>
      </c>
      <c r="LG41" s="336">
        <v>0</v>
      </c>
      <c r="LH41" s="336">
        <v>0</v>
      </c>
      <c r="LI41" s="336">
        <v>0</v>
      </c>
      <c r="LJ41" s="336">
        <v>0</v>
      </c>
      <c r="LK41" s="336">
        <v>0</v>
      </c>
      <c r="LL41" s="336">
        <v>0</v>
      </c>
      <c r="LM41" s="336">
        <v>0</v>
      </c>
      <c r="LN41" s="336">
        <v>0</v>
      </c>
      <c r="LO41" s="336">
        <v>0</v>
      </c>
      <c r="LP41" s="336">
        <v>0</v>
      </c>
      <c r="LQ41" s="336">
        <v>0</v>
      </c>
      <c r="LR41" s="336">
        <v>0</v>
      </c>
      <c r="LS41" s="336">
        <v>0</v>
      </c>
      <c r="LT41" s="336">
        <v>0</v>
      </c>
      <c r="LU41" s="336">
        <v>0</v>
      </c>
      <c r="LV41" s="336">
        <v>0</v>
      </c>
      <c r="LW41" s="336">
        <v>0</v>
      </c>
      <c r="LX41" s="336">
        <v>0</v>
      </c>
      <c r="LY41" s="336">
        <v>0</v>
      </c>
      <c r="LZ41" s="336">
        <v>0</v>
      </c>
      <c r="MA41" s="336">
        <v>0</v>
      </c>
      <c r="MB41" s="336">
        <v>3615290</v>
      </c>
      <c r="MC41" s="336">
        <v>201396</v>
      </c>
      <c r="MD41" s="336">
        <v>4296</v>
      </c>
      <c r="ME41" s="336">
        <v>507286</v>
      </c>
      <c r="MF41" s="336">
        <v>0</v>
      </c>
      <c r="MG41" s="336">
        <v>0</v>
      </c>
      <c r="MH41" s="336">
        <v>0</v>
      </c>
      <c r="MI41" s="336">
        <v>0</v>
      </c>
      <c r="MJ41" s="336">
        <v>0</v>
      </c>
      <c r="MK41" s="336">
        <v>5434476</v>
      </c>
      <c r="ML41" s="336">
        <v>855097</v>
      </c>
      <c r="MM41" s="336">
        <v>4287</v>
      </c>
      <c r="MN41" s="336">
        <v>220254</v>
      </c>
      <c r="MO41" s="336">
        <v>0</v>
      </c>
      <c r="MP41" s="336">
        <v>0</v>
      </c>
      <c r="MQ41" s="336">
        <v>0</v>
      </c>
      <c r="MR41" s="336">
        <v>0</v>
      </c>
      <c r="MS41" s="336">
        <v>0</v>
      </c>
      <c r="MT41" s="336">
        <v>4543538</v>
      </c>
      <c r="MU41" s="336">
        <v>1528760</v>
      </c>
      <c r="MV41" s="336">
        <v>5827</v>
      </c>
      <c r="MW41" s="336">
        <v>6347</v>
      </c>
      <c r="MX41" s="336">
        <v>0</v>
      </c>
      <c r="MY41" s="336">
        <v>0</v>
      </c>
      <c r="MZ41" s="336">
        <v>0</v>
      </c>
      <c r="NA41" s="336">
        <v>0</v>
      </c>
      <c r="NB41" s="336">
        <v>0</v>
      </c>
      <c r="NC41" s="336">
        <v>2886513</v>
      </c>
      <c r="ND41" s="336">
        <v>1205046</v>
      </c>
      <c r="NE41" s="336">
        <v>1865</v>
      </c>
      <c r="NF41" s="336">
        <v>2031</v>
      </c>
      <c r="NG41" s="336">
        <v>0</v>
      </c>
      <c r="NH41" s="336">
        <v>0</v>
      </c>
      <c r="NI41" s="336">
        <v>0</v>
      </c>
      <c r="NJ41" s="336">
        <v>0</v>
      </c>
      <c r="NK41" s="336">
        <v>0</v>
      </c>
      <c r="NL41" s="336">
        <v>409979</v>
      </c>
      <c r="NM41" s="336">
        <v>4562205</v>
      </c>
      <c r="NN41" s="336">
        <v>0</v>
      </c>
      <c r="NO41" s="336">
        <v>3842154</v>
      </c>
      <c r="NP41" s="336">
        <v>0</v>
      </c>
      <c r="NQ41" s="336">
        <v>0</v>
      </c>
      <c r="NR41" s="336">
        <v>0</v>
      </c>
      <c r="NS41" s="336">
        <v>0</v>
      </c>
      <c r="NT41" s="336">
        <v>0</v>
      </c>
      <c r="NU41" s="336">
        <v>61740</v>
      </c>
      <c r="NV41" s="336">
        <v>1182</v>
      </c>
      <c r="NW41" s="336">
        <v>1660922</v>
      </c>
      <c r="NX41" s="336">
        <v>690</v>
      </c>
      <c r="NY41" s="336">
        <v>0</v>
      </c>
      <c r="NZ41" s="336">
        <v>0</v>
      </c>
      <c r="OA41" s="336">
        <v>0</v>
      </c>
      <c r="OB41" s="336">
        <v>0</v>
      </c>
      <c r="OC41" s="336">
        <v>0</v>
      </c>
      <c r="OD41" s="336">
        <v>128069</v>
      </c>
      <c r="OE41" s="336">
        <v>188989</v>
      </c>
      <c r="OF41" s="336">
        <v>0</v>
      </c>
      <c r="OG41" s="336">
        <v>661193</v>
      </c>
      <c r="OH41" s="336">
        <v>0</v>
      </c>
      <c r="OI41" s="336">
        <v>0</v>
      </c>
      <c r="OJ41" s="336">
        <v>0</v>
      </c>
      <c r="OK41" s="336">
        <v>0</v>
      </c>
      <c r="OL41" s="336">
        <v>0</v>
      </c>
      <c r="OM41" s="336">
        <v>0</v>
      </c>
      <c r="ON41" s="336">
        <v>0</v>
      </c>
      <c r="OO41" s="336">
        <v>0</v>
      </c>
      <c r="OP41" s="336">
        <v>0</v>
      </c>
      <c r="OQ41" s="336">
        <v>0</v>
      </c>
      <c r="OR41" s="336">
        <v>0</v>
      </c>
      <c r="OS41" s="336">
        <v>1461841</v>
      </c>
      <c r="OT41" s="336">
        <v>0</v>
      </c>
      <c r="OU41" s="336">
        <v>79801</v>
      </c>
      <c r="OV41" s="336">
        <v>0</v>
      </c>
      <c r="OW41" s="336">
        <v>0</v>
      </c>
      <c r="OX41" s="336">
        <v>0</v>
      </c>
      <c r="OY41" s="336">
        <v>0</v>
      </c>
      <c r="OZ41" s="336">
        <v>0</v>
      </c>
      <c r="PA41" s="336">
        <v>0</v>
      </c>
      <c r="PB41" s="336">
        <v>-6400604</v>
      </c>
      <c r="PC41" s="336">
        <v>0</v>
      </c>
      <c r="PD41" s="336">
        <v>0</v>
      </c>
      <c r="PE41" s="336">
        <v>-4429639</v>
      </c>
      <c r="PF41" s="336">
        <v>6302456</v>
      </c>
      <c r="PG41" s="336">
        <v>1072903</v>
      </c>
      <c r="PH41" s="336">
        <v>-10195269</v>
      </c>
      <c r="PI41" s="336">
        <v>0</v>
      </c>
      <c r="PJ41" s="336">
        <v>0</v>
      </c>
      <c r="PK41" s="336">
        <v>8463012</v>
      </c>
      <c r="PL41" s="336">
        <v>3221408</v>
      </c>
      <c r="PM41" s="336">
        <v>-3568762</v>
      </c>
      <c r="PN41" s="336">
        <v>0</v>
      </c>
      <c r="PO41" s="336">
        <v>0</v>
      </c>
      <c r="PP41" s="336">
        <v>0</v>
      </c>
      <c r="PQ41" s="336">
        <v>0</v>
      </c>
      <c r="PR41" s="336">
        <v>0</v>
      </c>
      <c r="PS41" s="336">
        <v>0</v>
      </c>
      <c r="PT41" s="336">
        <v>0</v>
      </c>
      <c r="PU41" s="336">
        <v>0</v>
      </c>
      <c r="PV41" s="336">
        <v>0</v>
      </c>
      <c r="PW41" s="336">
        <v>0</v>
      </c>
      <c r="PX41" s="336">
        <v>0</v>
      </c>
      <c r="PY41" s="336">
        <v>0</v>
      </c>
      <c r="PZ41" s="336">
        <v>0</v>
      </c>
      <c r="QA41" s="336">
        <v>0</v>
      </c>
      <c r="QB41" s="336">
        <v>0</v>
      </c>
      <c r="QC41" s="336">
        <v>25787</v>
      </c>
      <c r="QD41" s="336">
        <v>-6135356</v>
      </c>
      <c r="QE41" s="336">
        <v>3058435</v>
      </c>
      <c r="QF41" s="336">
        <v>0</v>
      </c>
      <c r="QG41" s="336">
        <v>0</v>
      </c>
      <c r="QH41" s="336">
        <v>0</v>
      </c>
      <c r="QI41" s="336">
        <v>0</v>
      </c>
      <c r="QJ41" s="336">
        <v>0</v>
      </c>
      <c r="QK41" s="336">
        <v>0</v>
      </c>
      <c r="QL41" s="336">
        <v>0</v>
      </c>
      <c r="QM41" s="336">
        <v>0</v>
      </c>
      <c r="QN41" s="336">
        <v>0</v>
      </c>
      <c r="QO41" s="336">
        <v>0</v>
      </c>
      <c r="QP41" s="336">
        <v>0</v>
      </c>
      <c r="QQ41" s="336">
        <v>0</v>
      </c>
      <c r="QR41" s="336">
        <v>0</v>
      </c>
      <c r="QS41" s="336">
        <v>0</v>
      </c>
      <c r="QT41" s="336">
        <v>0</v>
      </c>
      <c r="QU41" s="336">
        <v>0</v>
      </c>
      <c r="QV41" s="336">
        <v>0</v>
      </c>
      <c r="QW41" s="336">
        <v>0</v>
      </c>
      <c r="QX41" s="336">
        <v>0</v>
      </c>
      <c r="QY41" s="336">
        <v>0</v>
      </c>
      <c r="QZ41" s="336">
        <v>0</v>
      </c>
      <c r="RA41" s="336">
        <v>0</v>
      </c>
      <c r="RB41" s="336">
        <v>0</v>
      </c>
      <c r="RC41" s="336">
        <v>0</v>
      </c>
      <c r="RD41" s="336">
        <v>0</v>
      </c>
      <c r="RE41" s="336">
        <v>0</v>
      </c>
      <c r="RF41" s="336">
        <v>0</v>
      </c>
      <c r="RG41" s="336">
        <v>0</v>
      </c>
      <c r="RH41" s="336">
        <v>0</v>
      </c>
      <c r="RI41" s="336">
        <v>0</v>
      </c>
      <c r="RJ41" s="336">
        <v>0</v>
      </c>
      <c r="RK41" s="336">
        <v>0</v>
      </c>
      <c r="RL41" s="336">
        <v>0</v>
      </c>
      <c r="RM41" s="336">
        <v>0</v>
      </c>
      <c r="RN41" s="336">
        <v>0</v>
      </c>
      <c r="RO41" s="336">
        <v>-3695453</v>
      </c>
      <c r="RP41" s="336">
        <v>0</v>
      </c>
      <c r="RQ41" s="336">
        <v>0</v>
      </c>
      <c r="RR41" s="336">
        <v>0</v>
      </c>
      <c r="RS41" s="336">
        <v>0</v>
      </c>
      <c r="RT41" s="336">
        <v>0</v>
      </c>
      <c r="RU41" s="336">
        <v>0</v>
      </c>
      <c r="RV41" s="336">
        <v>0</v>
      </c>
      <c r="RW41" s="336">
        <v>0</v>
      </c>
      <c r="RX41" s="336">
        <v>0</v>
      </c>
      <c r="RY41" s="336">
        <v>0</v>
      </c>
      <c r="RZ41" s="336">
        <v>0</v>
      </c>
      <c r="SA41" s="336">
        <v>0</v>
      </c>
      <c r="SB41" s="336">
        <v>0</v>
      </c>
      <c r="SC41" s="336">
        <v>0</v>
      </c>
      <c r="SD41" s="336">
        <v>0</v>
      </c>
      <c r="SE41" s="336">
        <v>0</v>
      </c>
      <c r="SF41" s="336">
        <v>0</v>
      </c>
      <c r="SG41" s="336">
        <v>0</v>
      </c>
      <c r="SH41" s="336">
        <v>0</v>
      </c>
      <c r="SI41" s="336">
        <v>0</v>
      </c>
      <c r="SJ41" s="336">
        <v>0</v>
      </c>
      <c r="SK41" s="336">
        <v>0</v>
      </c>
      <c r="SL41" s="336">
        <v>0</v>
      </c>
      <c r="SM41" s="336">
        <v>0</v>
      </c>
      <c r="SN41" s="336">
        <v>0</v>
      </c>
      <c r="SO41" s="336">
        <v>0</v>
      </c>
      <c r="SP41" s="336">
        <v>55000</v>
      </c>
      <c r="SQ41" s="336">
        <v>128069</v>
      </c>
      <c r="SR41" s="336">
        <v>188989</v>
      </c>
      <c r="SS41" s="336">
        <v>0</v>
      </c>
      <c r="ST41" s="336">
        <v>661193</v>
      </c>
      <c r="SU41" s="336">
        <v>0</v>
      </c>
      <c r="SV41" s="336">
        <v>0</v>
      </c>
      <c r="SW41" s="336">
        <v>6400604</v>
      </c>
      <c r="SX41" s="336">
        <v>0</v>
      </c>
      <c r="SY41" s="336">
        <v>0</v>
      </c>
      <c r="SZ41" s="336" t="s">
        <v>1420</v>
      </c>
      <c r="TA41" s="336" t="s">
        <v>1420</v>
      </c>
      <c r="TB41" s="336" t="s">
        <v>1420</v>
      </c>
      <c r="TC41" s="336">
        <v>885200</v>
      </c>
      <c r="TD41" s="336">
        <v>0</v>
      </c>
      <c r="TE41" s="336">
        <v>0</v>
      </c>
      <c r="TF41" s="336">
        <v>0</v>
      </c>
      <c r="TG41" s="336">
        <v>71234</v>
      </c>
      <c r="TH41" s="336">
        <v>0</v>
      </c>
      <c r="TI41" s="336">
        <v>21817</v>
      </c>
      <c r="TJ41" s="336">
        <v>0</v>
      </c>
      <c r="TK41" s="336">
        <v>0</v>
      </c>
      <c r="TL41" s="336">
        <v>0</v>
      </c>
      <c r="TM41" s="336">
        <v>0</v>
      </c>
      <c r="TN41" s="336">
        <v>0</v>
      </c>
      <c r="TO41" s="336">
        <v>0</v>
      </c>
      <c r="TP41" s="336">
        <v>0</v>
      </c>
      <c r="TQ41" s="336">
        <v>0</v>
      </c>
      <c r="TR41" s="336">
        <v>0</v>
      </c>
      <c r="TS41" s="336">
        <v>0</v>
      </c>
      <c r="TT41" s="336">
        <v>0</v>
      </c>
      <c r="TU41" s="336">
        <v>0</v>
      </c>
      <c r="TV41" s="336">
        <v>0</v>
      </c>
      <c r="TW41" s="336">
        <v>0</v>
      </c>
      <c r="TX41" s="336">
        <v>0</v>
      </c>
      <c r="TY41" s="336">
        <v>0</v>
      </c>
      <c r="TZ41" s="336">
        <v>0</v>
      </c>
      <c r="UA41" s="336">
        <v>0</v>
      </c>
      <c r="UB41" s="336">
        <v>0</v>
      </c>
      <c r="UC41" s="336">
        <v>0</v>
      </c>
      <c r="UD41" s="336">
        <v>0</v>
      </c>
      <c r="UE41" s="336">
        <v>0</v>
      </c>
      <c r="UF41" s="336">
        <v>0</v>
      </c>
      <c r="UG41" s="336">
        <v>0</v>
      </c>
      <c r="UH41" s="336">
        <v>29198742</v>
      </c>
      <c r="UI41" s="336">
        <v>120379</v>
      </c>
      <c r="UJ41" s="336">
        <v>0</v>
      </c>
      <c r="UK41" s="336">
        <v>0</v>
      </c>
      <c r="UL41" s="336">
        <v>4328268</v>
      </c>
      <c r="UM41" s="336">
        <v>6514114</v>
      </c>
      <c r="UN41" s="336">
        <v>6084472</v>
      </c>
      <c r="UO41" s="336">
        <v>4095455</v>
      </c>
      <c r="UP41" s="336">
        <v>8814338</v>
      </c>
      <c r="UQ41" s="336">
        <v>1724534</v>
      </c>
      <c r="UR41"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978251</v>
      </c>
      <c r="US41" s="338">
        <f>SUM(Input[[#This Row],[Oth Exp E&amp;G]],Input[[#This Row],[Oth Exp Desg]],Input[[#This Row],[Oth Exp Aux]],Input[[#This Row],[Oth Exp R Exp]],Input[[#This Row],[Oth Exp Loan]],Input[[#This Row],[Oth Exp Annuity]],Input[[#This Row],[Oth Exp Unexp]],Input[[#This Row],[Oth Exp R of Ind]],Input[[#This Row],[Oth Exp Inv in P]])</f>
        <v>1541642</v>
      </c>
      <c r="UT41" s="336">
        <v>0</v>
      </c>
      <c r="UU41" s="336">
        <v>0</v>
      </c>
      <c r="UV41" s="339" t="s">
        <v>1569</v>
      </c>
      <c r="UW41" s="340">
        <v>2547497398</v>
      </c>
      <c r="UX41" s="339" t="s">
        <v>1570</v>
      </c>
      <c r="UY41" s="339" t="s">
        <v>1571</v>
      </c>
      <c r="UZ41" s="340">
        <v>2548673895</v>
      </c>
      <c r="VA41" s="339" t="s">
        <v>1572</v>
      </c>
      <c r="VB41" s="341" cm="1">
        <f t="array" ref="VB41">IFERROR(_xlfn.IFS(Input[[#This Row],[Type]]="HRI",VLOOKUP(Input[[#This Row],[Institution Name]],FTSEHRI[],9,FALSE),Input[[#This Row],[Type]]="UNIV",VLOOKUP(Input[[#This Row],[Institution Name]],FTSEUNIV[],9,FALSE),OR(Input[[#This Row],[Type]]="TSTC",Input[[#This Row],[Type]]="LSC"),VLOOKUP(Input[[#This Row],[Institution Name]],FTSETSTC[],8,FALSE)),"N/A")</f>
        <v>2417.59</v>
      </c>
      <c r="VC41" s="342" t="str" cm="1">
        <f t="array" ref="VC41">IFERROR(_xlfn.IFS(Input[[#This Row],[Type]]="HRI",VLOOKUP(Input[[#This Row],[Institution Name]],FTSEHRI[],11,FALSE),Input[[#This Row],[Type]]="UNIV",VLOOKUP(Input[[#This Row],[Institution Name]],FTSEUNIV[],11,FALSE),Input[[#This Row],[Type]]="TSTC",VLOOKUP(Input[[#This Row],[Institution Name]],FTSETSTC[],10,FALSE)),"N/A")</f>
        <v>N/A</v>
      </c>
      <c r="VD41"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44873047</v>
      </c>
      <c r="VE41"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1827580</v>
      </c>
      <c r="VF41" s="338">
        <f>SUM(Input[[#This Row],[Fed G&amp;C E&amp;G]],Input[[#This Row],[Fed G&amp;C Desg]],Input[[#This Row],[Fed G&amp;C R Exp]],Input[[#This Row],[Fed G&amp;C Loan]],Input[[#This Row],[Fed G&amp;C Annuity]],Input[[#This Row],[Fed G&amp;C Unexp]],Input[[#This Row],[Fed G&amp;C R of Ind]],Input[[#This Row],[Fed G&amp;C Inv in P]])</f>
        <v>13951571</v>
      </c>
      <c r="VG41"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2567240</v>
      </c>
      <c r="VH41"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6816569</v>
      </c>
      <c r="VI41"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J41" s="338">
        <f>SUM(Input[[#This Row],[Oth Inc E&amp;G]],Input[[#This Row],[Oth Exp Desg]],Input[[#This Row],[Oth Exp R Exp]],Input[[#This Row],[Oth Exp Loan]],Input[[#This Row],[Oth Exp Annuity]],Input[[#This Row],[Oth Exp Unexp]],Input[[#This Row],[Oth Exp R of Ind]],Input[[#This Row],[Oth Exp Inv in P]])</f>
        <v>1541642</v>
      </c>
      <c r="VK41" s="343">
        <f>SUM(Input[[#This Row],[Instr E&amp;G]],Input[[#This Row],[Instr Desg]],Input[[#This Row],[Instr R Exp]],Input[[#This Row],[Instr Loan]],Input[[#This Row],[Instr Annuity]],Input[[#This Row],[Instr Unexp]],Input[[#This Row],[Instr R of Ind]],Input[[#This Row],[Instr Inv in P]])</f>
        <v>29184280</v>
      </c>
      <c r="VL41" s="343">
        <f>SUM(Input[[#This Row],[Res E&amp;G]],Input[[#This Row],[Res Desg]],Input[[#This Row],[Res R Exp]],Input[[#This Row],[Res Loan]],Input[[#This Row],[Res Annuity]],Input[[#This Row],[Res Unexp]],Input[[#This Row],[Res R of Ind]],Input[[#This Row],[Res Inv in P]])</f>
        <v>119771</v>
      </c>
      <c r="VM41" s="343">
        <f>SUM(Input[[#This Row],[Acad Sup E&amp;G]],Input[[#This Row],[Acad Sup Desg]],Input[[#This Row],[Acad Sup R Exp]],Input[[#This Row],[Acad Sup Loan]],Input[[#This Row],[Acad Sup Annuity]],Input[[#This Row],[Acad Sup Unexp]],Input[[#This Row],[Acad Sup R of Ind]],Input[[#This Row],[Acad Sup Inv in P]])</f>
        <v>4323972</v>
      </c>
      <c r="VN41" s="343">
        <f>SUM(Input[[#This Row],[Stu Svc E&amp;G]],Input[[#This Row],[Stu Svc Desg]],Input[[#This Row],[Stu Svc R Exp]],Input[[#This Row],[Stu Svc Loan]],Input[[#This Row],[Stu Svc Annuity]],Input[[#This Row],[Stu Svc Unexp]],Input[[#This Row],[Stu Svc R of Ind]],Input[[#This Row],[Stu Svc Inv in P]])</f>
        <v>6509827</v>
      </c>
      <c r="VO41" s="343">
        <f>SUM(Input[[#This Row],[Inst. Spt E&amp;G]],Input[[#This Row],[Inst. Spt Desg]],Input[[#This Row],[Inst. Spt R Exp]],Input[[#This Row],[Inst. Spt Loan]],Input[[#This Row],[Inst. Spt Annuity]],Input[[#This Row],[Inst. Spt Unexp]],Input[[#This Row],[Inst. Spt R of Ind]],Input[[#This Row],[Inst. Spt Inv in P]])</f>
        <v>6078645</v>
      </c>
      <c r="VP41" s="343">
        <f>SUM(Input[[#This Row],[M&amp;O Plnt E&amp;G]],Input[[#This Row],[M&amp;O Plnt Desg]],Input[[#This Row],[M&amp;O Plnt R Exp]],Input[[#This Row],[M&amp;O Plnt Loan]],Input[[#This Row],[M&amp;O Plnt Annuity]],Input[[#This Row],[M&amp;O Plnt Unexp]],Input[[#This Row],[M&amp;O Plnt R of Ind]],Input[[#This Row],[M&amp;O Plnt Inv in P]])</f>
        <v>4093590</v>
      </c>
      <c r="VQ41" s="343">
        <f>SUM(Input[[#This Row],[Schl &amp; Fell E&amp;G]],Input[[#This Row],[Schl &amp; Fell Desg]],Input[[#This Row],[Schl &amp; Fell R Exp]],Input[[#This Row],[Schl &amp; Fell Loan]],Input[[#This Row],[Schl &amp; Fell Annuity]],Input[[#This Row],[Schl &amp; Fell Unexp]],Input[[#This Row],[Schl &amp; Fell R of Ind]],Input[[#This Row],[Schl &amp; Fell Inv in P]])</f>
        <v>8814338</v>
      </c>
      <c r="VR41" s="343">
        <f>SUM(Input[[#This Row],[Cap Out fund E&amp;G]],Input[[#This Row],[Cap Out fund Desg]],Input[[#This Row],[Cap Out fund R Exp]],Input[[#This Row],[Cap Out fund Loan]],Input[[#This Row],[Cap Out fund Annuity]],Input[[#This Row],[Cap Out fund Unexp]],Input[[#This Row],[Cap Out fund R of Ind]],Input[[#This Row],[Cap Out fund Inv in P]])</f>
        <v>978251</v>
      </c>
      <c r="VS41" s="343">
        <f>SUM(Input[[#This Row],[Oth Exp E&amp;G]],Input[[#This Row],[Oth Exp Desg]],Input[[#This Row],[Oth Exp R Exp]],Input[[#This Row],[Oth Exp Loan]],Input[[#This Row],[Oth Exp Annuity]],Input[[#This Row],[Oth Exp Unexp]],Input[[#This Row],[Oth Exp R of Ind]],Input[[#This Row],[Oth Exp Inv in P]],Input[[#This Row],[Oth Exp Inv in P]])</f>
        <v>1621443</v>
      </c>
    </row>
    <row r="42" spans="1:591" s="344" customFormat="1" ht="27" customHeight="1" x14ac:dyDescent="0.55000000000000004">
      <c r="A42" s="339" t="s">
        <v>54</v>
      </c>
      <c r="B42" s="334" t="s">
        <v>20</v>
      </c>
      <c r="C42" s="334" t="s">
        <v>20</v>
      </c>
      <c r="D42" s="334">
        <v>540</v>
      </c>
      <c r="E42" s="334" t="s">
        <v>1622</v>
      </c>
      <c r="F42" s="335">
        <v>33965</v>
      </c>
      <c r="G42" s="336">
        <v>12969283</v>
      </c>
      <c r="H42" s="336">
        <v>0</v>
      </c>
      <c r="I42" s="336">
        <v>0</v>
      </c>
      <c r="J42" s="336">
        <v>0</v>
      </c>
      <c r="K42" s="336">
        <v>0</v>
      </c>
      <c r="L42" s="336">
        <v>0</v>
      </c>
      <c r="M42" s="336">
        <v>0</v>
      </c>
      <c r="N42" s="336">
        <v>0</v>
      </c>
      <c r="O42" s="336">
        <v>0</v>
      </c>
      <c r="P42" s="336">
        <v>0</v>
      </c>
      <c r="Q42" s="336">
        <v>0</v>
      </c>
      <c r="R42" s="336">
        <v>0</v>
      </c>
      <c r="S42" s="336">
        <v>518300</v>
      </c>
      <c r="T42" s="336">
        <v>0</v>
      </c>
      <c r="U42" s="336">
        <v>0</v>
      </c>
      <c r="V42" s="336">
        <v>0</v>
      </c>
      <c r="W42" s="336">
        <v>0</v>
      </c>
      <c r="X42" s="336">
        <v>0</v>
      </c>
      <c r="Y42" s="336">
        <v>310083</v>
      </c>
      <c r="Z42" s="336">
        <v>0</v>
      </c>
      <c r="AA42" s="336">
        <v>0</v>
      </c>
      <c r="AB42" s="336">
        <v>0</v>
      </c>
      <c r="AC42" s="336">
        <v>0</v>
      </c>
      <c r="AD42" s="336">
        <v>0</v>
      </c>
      <c r="AE42" s="336">
        <v>0</v>
      </c>
      <c r="AF42" s="336">
        <v>0</v>
      </c>
      <c r="AG42" s="336">
        <v>0</v>
      </c>
      <c r="AH42" s="336">
        <v>0</v>
      </c>
      <c r="AI42" s="336">
        <v>0</v>
      </c>
      <c r="AJ42" s="336">
        <v>0</v>
      </c>
      <c r="AK42" s="336">
        <v>0</v>
      </c>
      <c r="AL42" s="336">
        <v>0</v>
      </c>
      <c r="AM42" s="336">
        <v>0</v>
      </c>
      <c r="AN42" s="336">
        <v>0</v>
      </c>
      <c r="AO42" s="336">
        <v>0</v>
      </c>
      <c r="AP42" s="336">
        <v>0</v>
      </c>
      <c r="AQ42" s="336">
        <v>-45707</v>
      </c>
      <c r="AR42" s="336">
        <v>0</v>
      </c>
      <c r="AS42" s="336">
        <v>0</v>
      </c>
      <c r="AT42" s="336">
        <v>0</v>
      </c>
      <c r="AU42" s="336">
        <v>0</v>
      </c>
      <c r="AV42" s="336">
        <v>0</v>
      </c>
      <c r="AW42" s="336">
        <v>0</v>
      </c>
      <c r="AX42" s="336">
        <v>0</v>
      </c>
      <c r="AY42" s="336">
        <v>0</v>
      </c>
      <c r="AZ42" s="336">
        <v>0</v>
      </c>
      <c r="BA42" s="336">
        <v>0</v>
      </c>
      <c r="BB42" s="336">
        <v>0</v>
      </c>
      <c r="BC42" s="336">
        <v>0</v>
      </c>
      <c r="BD42" s="336">
        <v>0</v>
      </c>
      <c r="BE42" s="336">
        <v>0</v>
      </c>
      <c r="BF42" s="336">
        <v>0</v>
      </c>
      <c r="BG42" s="336">
        <v>0</v>
      </c>
      <c r="BH42" s="336">
        <v>0</v>
      </c>
      <c r="BI42" s="336">
        <v>0</v>
      </c>
      <c r="BJ42" s="336">
        <v>0</v>
      </c>
      <c r="BK42" s="336">
        <v>0</v>
      </c>
      <c r="BL42" s="336">
        <v>0</v>
      </c>
      <c r="BM42" s="336">
        <v>0</v>
      </c>
      <c r="BN42" s="336">
        <v>0</v>
      </c>
      <c r="BO42" s="336">
        <v>0</v>
      </c>
      <c r="BP42" s="336">
        <v>0</v>
      </c>
      <c r="BQ42" s="336">
        <v>0</v>
      </c>
      <c r="BR42" s="336">
        <v>0</v>
      </c>
      <c r="BS42" s="336">
        <v>0</v>
      </c>
      <c r="BT42" s="336">
        <v>0</v>
      </c>
      <c r="BU42" s="336">
        <v>0</v>
      </c>
      <c r="BV42" s="336">
        <v>0</v>
      </c>
      <c r="BW42" s="336">
        <v>0</v>
      </c>
      <c r="BX42" s="336">
        <v>0</v>
      </c>
      <c r="BY42" s="336">
        <v>0</v>
      </c>
      <c r="BZ42" s="336">
        <v>0</v>
      </c>
      <c r="CA42" s="336">
        <v>438809</v>
      </c>
      <c r="CB42" s="336">
        <v>3515518</v>
      </c>
      <c r="CC42" s="336">
        <v>0</v>
      </c>
      <c r="CD42" s="336">
        <v>0</v>
      </c>
      <c r="CE42" s="336">
        <v>0</v>
      </c>
      <c r="CF42" s="336">
        <v>0</v>
      </c>
      <c r="CG42" s="336">
        <v>0</v>
      </c>
      <c r="CH42" s="336">
        <v>0</v>
      </c>
      <c r="CI42" s="336">
        <v>0</v>
      </c>
      <c r="CJ42" s="336">
        <v>0</v>
      </c>
      <c r="CK42" s="336">
        <v>0</v>
      </c>
      <c r="CL42" s="336">
        <v>0</v>
      </c>
      <c r="CM42" s="336">
        <v>0</v>
      </c>
      <c r="CN42" s="336">
        <v>0</v>
      </c>
      <c r="CO42" s="336">
        <v>0</v>
      </c>
      <c r="CP42" s="336">
        <v>0</v>
      </c>
      <c r="CQ42" s="336">
        <v>0</v>
      </c>
      <c r="CR42" s="336">
        <v>0</v>
      </c>
      <c r="CS42" s="336">
        <v>0</v>
      </c>
      <c r="CT42" s="336">
        <v>0</v>
      </c>
      <c r="CU42" s="336">
        <v>0</v>
      </c>
      <c r="CV42" s="336">
        <v>0</v>
      </c>
      <c r="CW42" s="336">
        <v>0</v>
      </c>
      <c r="CX42" s="336">
        <v>0</v>
      </c>
      <c r="CY42" s="336">
        <v>0</v>
      </c>
      <c r="CZ42" s="336">
        <v>0</v>
      </c>
      <c r="DA42" s="336">
        <v>0</v>
      </c>
      <c r="DB42" s="336">
        <v>-38595</v>
      </c>
      <c r="DC42" s="336">
        <v>0</v>
      </c>
      <c r="DD42" s="336">
        <v>0</v>
      </c>
      <c r="DE42" s="336">
        <v>0</v>
      </c>
      <c r="DF42" s="336">
        <v>0</v>
      </c>
      <c r="DG42" s="336">
        <v>0</v>
      </c>
      <c r="DH42" s="336">
        <v>0</v>
      </c>
      <c r="DI42" s="336">
        <v>0</v>
      </c>
      <c r="DJ42" s="336">
        <v>0</v>
      </c>
      <c r="DK42" s="336">
        <v>0</v>
      </c>
      <c r="DL42" s="336">
        <v>-136982</v>
      </c>
      <c r="DM42" s="336">
        <v>0</v>
      </c>
      <c r="DN42" s="336">
        <v>0</v>
      </c>
      <c r="DO42" s="336">
        <v>0</v>
      </c>
      <c r="DP42" s="336">
        <v>0</v>
      </c>
      <c r="DQ42" s="336">
        <v>0</v>
      </c>
      <c r="DR42" s="336">
        <v>0</v>
      </c>
      <c r="DS42" s="336">
        <v>0</v>
      </c>
      <c r="DT42" s="336">
        <v>-121946</v>
      </c>
      <c r="DU42" s="336">
        <v>-1261649</v>
      </c>
      <c r="DV42" s="336">
        <v>0</v>
      </c>
      <c r="DW42" s="336">
        <v>0</v>
      </c>
      <c r="DX42" s="336">
        <v>0</v>
      </c>
      <c r="DY42" s="336">
        <v>0</v>
      </c>
      <c r="DZ42" s="336">
        <v>0</v>
      </c>
      <c r="EA42" s="336">
        <v>0</v>
      </c>
      <c r="EB42" s="336">
        <v>0</v>
      </c>
      <c r="EC42" s="336">
        <v>0</v>
      </c>
      <c r="ED42" s="336">
        <v>0</v>
      </c>
      <c r="EE42" s="336">
        <v>0</v>
      </c>
      <c r="EF42" s="336">
        <v>0</v>
      </c>
      <c r="EG42" s="336">
        <v>0</v>
      </c>
      <c r="EH42" s="336">
        <v>0</v>
      </c>
      <c r="EI42" s="336">
        <v>0</v>
      </c>
      <c r="EJ42" s="336">
        <v>0</v>
      </c>
      <c r="EK42" s="336">
        <v>0</v>
      </c>
      <c r="EL42" s="336">
        <v>0</v>
      </c>
      <c r="EM42" s="336">
        <v>0</v>
      </c>
      <c r="EN42" s="336">
        <v>0</v>
      </c>
      <c r="EO42" s="336">
        <v>0</v>
      </c>
      <c r="EP42" s="336">
        <v>0</v>
      </c>
      <c r="EQ42" s="336">
        <v>0</v>
      </c>
      <c r="ER42" s="336">
        <v>0</v>
      </c>
      <c r="ES42" s="336">
        <v>0</v>
      </c>
      <c r="ET42" s="336">
        <v>0</v>
      </c>
      <c r="EU42" s="336">
        <v>0</v>
      </c>
      <c r="EV42" s="336">
        <v>0</v>
      </c>
      <c r="EW42" s="336">
        <v>0</v>
      </c>
      <c r="EX42" s="336">
        <v>0</v>
      </c>
      <c r="EY42" s="336">
        <v>0</v>
      </c>
      <c r="EZ42" s="336">
        <v>0</v>
      </c>
      <c r="FA42" s="336">
        <v>0</v>
      </c>
      <c r="FB42" s="336">
        <v>0</v>
      </c>
      <c r="FC42" s="336">
        <v>0</v>
      </c>
      <c r="FD42" s="336">
        <v>0</v>
      </c>
      <c r="FE42" s="336">
        <v>0</v>
      </c>
      <c r="FF42" s="336">
        <v>0</v>
      </c>
      <c r="FG42" s="336">
        <v>0</v>
      </c>
      <c r="FH42" s="336">
        <v>0</v>
      </c>
      <c r="FI42" s="336">
        <v>0</v>
      </c>
      <c r="FJ42" s="336">
        <v>0</v>
      </c>
      <c r="FK42" s="336">
        <v>0</v>
      </c>
      <c r="FL42" s="336">
        <v>0</v>
      </c>
      <c r="FM42" s="336">
        <v>0</v>
      </c>
      <c r="FN42" s="336">
        <v>0</v>
      </c>
      <c r="FO42" s="336">
        <v>0</v>
      </c>
      <c r="FP42" s="336">
        <v>0</v>
      </c>
      <c r="FQ42" s="336">
        <v>0</v>
      </c>
      <c r="FR42" s="336">
        <v>0</v>
      </c>
      <c r="FS42" s="336">
        <v>0</v>
      </c>
      <c r="FT42" s="336">
        <v>0</v>
      </c>
      <c r="FU42" s="336">
        <v>0</v>
      </c>
      <c r="FV42" s="336">
        <v>0</v>
      </c>
      <c r="FW42" s="336">
        <v>0</v>
      </c>
      <c r="FX42" s="336">
        <v>0</v>
      </c>
      <c r="FY42" s="336">
        <v>0</v>
      </c>
      <c r="FZ42" s="336">
        <v>0</v>
      </c>
      <c r="GA42" s="336">
        <v>0</v>
      </c>
      <c r="GB42" s="336">
        <v>0</v>
      </c>
      <c r="GC42" s="336">
        <v>0</v>
      </c>
      <c r="GD42" s="336">
        <v>0</v>
      </c>
      <c r="GE42" s="336">
        <v>0</v>
      </c>
      <c r="GF42" s="336">
        <v>0</v>
      </c>
      <c r="GG42" s="336">
        <v>0</v>
      </c>
      <c r="GH42" s="336">
        <v>0</v>
      </c>
      <c r="GI42" s="336">
        <v>0</v>
      </c>
      <c r="GJ42" s="336">
        <v>0</v>
      </c>
      <c r="GK42" s="336">
        <v>0</v>
      </c>
      <c r="GL42" s="336">
        <v>0</v>
      </c>
      <c r="GM42" s="336">
        <v>0</v>
      </c>
      <c r="GN42" s="336">
        <v>0</v>
      </c>
      <c r="GO42" s="336">
        <v>0</v>
      </c>
      <c r="GP42" s="336">
        <v>0</v>
      </c>
      <c r="GQ42" s="336">
        <v>0</v>
      </c>
      <c r="GR42" s="336">
        <v>0</v>
      </c>
      <c r="GS42" s="336">
        <v>0</v>
      </c>
      <c r="GT42" s="336">
        <v>0</v>
      </c>
      <c r="GU42" s="336">
        <v>0</v>
      </c>
      <c r="GV42" s="336">
        <v>0</v>
      </c>
      <c r="GW42" s="336">
        <v>0</v>
      </c>
      <c r="GX42" s="336">
        <v>0</v>
      </c>
      <c r="GY42" s="336">
        <v>0</v>
      </c>
      <c r="GZ42" s="336">
        <v>0</v>
      </c>
      <c r="HA42" s="336">
        <v>0</v>
      </c>
      <c r="HB42" s="336">
        <v>0</v>
      </c>
      <c r="HC42" s="336">
        <v>0</v>
      </c>
      <c r="HD42" s="336">
        <v>0</v>
      </c>
      <c r="HE42" s="336">
        <v>0</v>
      </c>
      <c r="HF42" s="336">
        <v>0</v>
      </c>
      <c r="HG42" s="336">
        <v>0</v>
      </c>
      <c r="HH42" s="336">
        <v>0</v>
      </c>
      <c r="HI42" s="336">
        <v>0</v>
      </c>
      <c r="HJ42" s="336">
        <v>0</v>
      </c>
      <c r="HK42" s="336">
        <v>0</v>
      </c>
      <c r="HL42" s="336">
        <v>0</v>
      </c>
      <c r="HM42" s="336">
        <v>0</v>
      </c>
      <c r="HN42" s="336">
        <v>0</v>
      </c>
      <c r="HO42" s="336">
        <v>0</v>
      </c>
      <c r="HP42" s="336">
        <v>0</v>
      </c>
      <c r="HQ42" s="336">
        <v>0</v>
      </c>
      <c r="HR42" s="336">
        <v>2117735</v>
      </c>
      <c r="HS42" s="336">
        <v>0</v>
      </c>
      <c r="HT42" s="336">
        <v>0</v>
      </c>
      <c r="HU42" s="336">
        <v>0</v>
      </c>
      <c r="HV42" s="336">
        <v>0</v>
      </c>
      <c r="HW42" s="336">
        <v>0</v>
      </c>
      <c r="HX42" s="336">
        <v>0</v>
      </c>
      <c r="HY42" s="336">
        <v>0</v>
      </c>
      <c r="HZ42" s="336">
        <v>0</v>
      </c>
      <c r="IA42" s="336">
        <v>0</v>
      </c>
      <c r="IB42" s="336">
        <v>0</v>
      </c>
      <c r="IC42" s="336">
        <v>0</v>
      </c>
      <c r="ID42" s="336">
        <v>0</v>
      </c>
      <c r="IE42" s="336">
        <v>0</v>
      </c>
      <c r="IF42" s="336">
        <v>0</v>
      </c>
      <c r="IG42" s="336">
        <v>0</v>
      </c>
      <c r="IH42" s="336">
        <v>0</v>
      </c>
      <c r="II42" s="336">
        <v>0</v>
      </c>
      <c r="IJ42" s="336">
        <v>0</v>
      </c>
      <c r="IK42" s="336">
        <v>0</v>
      </c>
      <c r="IL42" s="336">
        <v>0</v>
      </c>
      <c r="IM42" s="336">
        <v>0</v>
      </c>
      <c r="IN42" s="336">
        <v>0</v>
      </c>
      <c r="IO42" s="336">
        <v>0</v>
      </c>
      <c r="IP42" s="336">
        <v>0</v>
      </c>
      <c r="IQ42" s="336">
        <v>0</v>
      </c>
      <c r="IR42" s="336">
        <v>0</v>
      </c>
      <c r="IS42" s="336">
        <v>0</v>
      </c>
      <c r="IT42" s="336">
        <v>0</v>
      </c>
      <c r="IU42" s="336">
        <v>9118</v>
      </c>
      <c r="IV42" s="336">
        <v>0</v>
      </c>
      <c r="IW42" s="336">
        <v>0</v>
      </c>
      <c r="IX42" s="336">
        <v>0</v>
      </c>
      <c r="IY42" s="336">
        <v>0</v>
      </c>
      <c r="IZ42" s="336">
        <v>0</v>
      </c>
      <c r="JA42" s="336">
        <v>0</v>
      </c>
      <c r="JB42" s="336">
        <v>0</v>
      </c>
      <c r="JC42" s="336">
        <v>0</v>
      </c>
      <c r="JD42" s="336">
        <v>0</v>
      </c>
      <c r="JE42" s="336">
        <v>0</v>
      </c>
      <c r="JF42" s="336">
        <v>0</v>
      </c>
      <c r="JG42" s="336">
        <v>0</v>
      </c>
      <c r="JH42" s="336">
        <v>0</v>
      </c>
      <c r="JI42" s="336">
        <v>58369</v>
      </c>
      <c r="JJ42" s="336">
        <v>0</v>
      </c>
      <c r="JK42" s="336">
        <v>234317</v>
      </c>
      <c r="JL42" s="336">
        <v>0</v>
      </c>
      <c r="JM42" s="336">
        <v>0</v>
      </c>
      <c r="JN42" s="336">
        <v>0</v>
      </c>
      <c r="JO42" s="336">
        <v>0</v>
      </c>
      <c r="JP42" s="336">
        <v>0</v>
      </c>
      <c r="JQ42" s="336">
        <v>0</v>
      </c>
      <c r="JR42" s="336">
        <v>320259</v>
      </c>
      <c r="JS42" s="336">
        <v>0</v>
      </c>
      <c r="JT42" s="336">
        <v>0</v>
      </c>
      <c r="JU42" s="336">
        <v>0</v>
      </c>
      <c r="JV42" s="336">
        <v>0</v>
      </c>
      <c r="JW42" s="336">
        <v>0</v>
      </c>
      <c r="JX42" s="336">
        <v>0</v>
      </c>
      <c r="JY42" s="336">
        <v>0</v>
      </c>
      <c r="JZ42" s="336">
        <v>0</v>
      </c>
      <c r="KA42" s="336">
        <v>0</v>
      </c>
      <c r="KB42" s="336">
        <v>423865</v>
      </c>
      <c r="KC42" s="336">
        <v>0</v>
      </c>
      <c r="KD42" s="336">
        <v>0</v>
      </c>
      <c r="KE42" s="336">
        <v>0</v>
      </c>
      <c r="KF42" s="336">
        <v>0</v>
      </c>
      <c r="KG42" s="336">
        <v>0</v>
      </c>
      <c r="KH42" s="336">
        <v>0</v>
      </c>
      <c r="KI42" s="336">
        <v>0</v>
      </c>
      <c r="KJ42" s="336">
        <v>21000</v>
      </c>
      <c r="KK42" s="336">
        <v>0</v>
      </c>
      <c r="KL42" s="336">
        <v>0</v>
      </c>
      <c r="KM42" s="336">
        <v>0</v>
      </c>
      <c r="KN42" s="336">
        <v>0</v>
      </c>
      <c r="KO42" s="336">
        <v>0</v>
      </c>
      <c r="KP42" s="336">
        <v>0</v>
      </c>
      <c r="KQ42" s="336">
        <v>0</v>
      </c>
      <c r="KR42" s="336">
        <v>5461885</v>
      </c>
      <c r="KS42" s="336">
        <v>814808</v>
      </c>
      <c r="KT42" s="336">
        <v>1733</v>
      </c>
      <c r="KU42" s="336">
        <v>6681</v>
      </c>
      <c r="KV42" s="336">
        <v>0</v>
      </c>
      <c r="KW42" s="336">
        <v>0</v>
      </c>
      <c r="KX42" s="336">
        <v>0</v>
      </c>
      <c r="KY42" s="336">
        <v>0</v>
      </c>
      <c r="KZ42" s="336">
        <v>0</v>
      </c>
      <c r="LA42" s="336">
        <v>6778</v>
      </c>
      <c r="LB42" s="336">
        <v>174</v>
      </c>
      <c r="LC42" s="336">
        <v>73</v>
      </c>
      <c r="LD42" s="336">
        <v>0</v>
      </c>
      <c r="LE42" s="336">
        <v>0</v>
      </c>
      <c r="LF42" s="336">
        <v>0</v>
      </c>
      <c r="LG42" s="336">
        <v>0</v>
      </c>
      <c r="LH42" s="336">
        <v>0</v>
      </c>
      <c r="LI42" s="336">
        <v>0</v>
      </c>
      <c r="LJ42" s="336">
        <v>0</v>
      </c>
      <c r="LK42" s="336">
        <v>0</v>
      </c>
      <c r="LL42" s="336">
        <v>0</v>
      </c>
      <c r="LM42" s="336">
        <v>0</v>
      </c>
      <c r="LN42" s="336">
        <v>0</v>
      </c>
      <c r="LO42" s="336">
        <v>0</v>
      </c>
      <c r="LP42" s="336">
        <v>0</v>
      </c>
      <c r="LQ42" s="336">
        <v>0</v>
      </c>
      <c r="LR42" s="336">
        <v>0</v>
      </c>
      <c r="LS42" s="336">
        <v>0</v>
      </c>
      <c r="LT42" s="336">
        <v>0</v>
      </c>
      <c r="LU42" s="336">
        <v>0</v>
      </c>
      <c r="LV42" s="336">
        <v>0</v>
      </c>
      <c r="LW42" s="336">
        <v>0</v>
      </c>
      <c r="LX42" s="336">
        <v>0</v>
      </c>
      <c r="LY42" s="336">
        <v>0</v>
      </c>
      <c r="LZ42" s="336">
        <v>0</v>
      </c>
      <c r="MA42" s="336">
        <v>0</v>
      </c>
      <c r="MB42" s="336">
        <v>3543097</v>
      </c>
      <c r="MC42" s="336">
        <v>80513</v>
      </c>
      <c r="MD42" s="336">
        <v>515</v>
      </c>
      <c r="ME42" s="336">
        <v>34873</v>
      </c>
      <c r="MF42" s="336">
        <v>0</v>
      </c>
      <c r="MG42" s="336">
        <v>0</v>
      </c>
      <c r="MH42" s="336">
        <v>0</v>
      </c>
      <c r="MI42" s="336">
        <v>0</v>
      </c>
      <c r="MJ42" s="336">
        <v>0</v>
      </c>
      <c r="MK42" s="336">
        <v>1707792</v>
      </c>
      <c r="ML42" s="336">
        <v>295909</v>
      </c>
      <c r="MM42" s="336">
        <v>514</v>
      </c>
      <c r="MN42" s="336">
        <v>6195</v>
      </c>
      <c r="MO42" s="336">
        <v>0</v>
      </c>
      <c r="MP42" s="336">
        <v>0</v>
      </c>
      <c r="MQ42" s="336">
        <v>0</v>
      </c>
      <c r="MR42" s="336">
        <v>0</v>
      </c>
      <c r="MS42" s="336">
        <v>0</v>
      </c>
      <c r="MT42" s="336">
        <v>848249</v>
      </c>
      <c r="MU42" s="336">
        <v>415209</v>
      </c>
      <c r="MV42" s="336">
        <v>698</v>
      </c>
      <c r="MW42" s="336">
        <v>0</v>
      </c>
      <c r="MX42" s="336">
        <v>0</v>
      </c>
      <c r="MY42" s="336">
        <v>0</v>
      </c>
      <c r="MZ42" s="336">
        <v>0</v>
      </c>
      <c r="NA42" s="336">
        <v>0</v>
      </c>
      <c r="NB42" s="336">
        <v>0</v>
      </c>
      <c r="NC42" s="336">
        <v>446771</v>
      </c>
      <c r="ND42" s="336">
        <v>630582</v>
      </c>
      <c r="NE42" s="336">
        <v>223</v>
      </c>
      <c r="NF42" s="336">
        <v>0</v>
      </c>
      <c r="NG42" s="336">
        <v>0</v>
      </c>
      <c r="NH42" s="336">
        <v>0</v>
      </c>
      <c r="NI42" s="336">
        <v>0</v>
      </c>
      <c r="NJ42" s="336">
        <v>0</v>
      </c>
      <c r="NK42" s="336">
        <v>0</v>
      </c>
      <c r="NL42" s="336">
        <v>38595</v>
      </c>
      <c r="NM42" s="336">
        <v>796285</v>
      </c>
      <c r="NN42" s="336">
        <v>0</v>
      </c>
      <c r="NO42" s="336">
        <v>754179</v>
      </c>
      <c r="NP42" s="336">
        <v>0</v>
      </c>
      <c r="NQ42" s="336">
        <v>0</v>
      </c>
      <c r="NR42" s="336">
        <v>0</v>
      </c>
      <c r="NS42" s="336">
        <v>0</v>
      </c>
      <c r="NT42" s="336">
        <v>0</v>
      </c>
      <c r="NU42" s="336">
        <v>13944</v>
      </c>
      <c r="NV42" s="336">
        <v>181</v>
      </c>
      <c r="NW42" s="336">
        <v>854565</v>
      </c>
      <c r="NX42" s="336">
        <v>0</v>
      </c>
      <c r="NY42" s="336">
        <v>0</v>
      </c>
      <c r="NZ42" s="336">
        <v>0</v>
      </c>
      <c r="OA42" s="336">
        <v>0</v>
      </c>
      <c r="OB42" s="336">
        <v>0</v>
      </c>
      <c r="OC42" s="336">
        <v>0</v>
      </c>
      <c r="OD42" s="336">
        <v>0</v>
      </c>
      <c r="OE42" s="336">
        <v>41764</v>
      </c>
      <c r="OF42" s="336">
        <v>0</v>
      </c>
      <c r="OG42" s="336">
        <v>185893</v>
      </c>
      <c r="OH42" s="336">
        <v>0</v>
      </c>
      <c r="OI42" s="336">
        <v>0</v>
      </c>
      <c r="OJ42" s="336">
        <v>0</v>
      </c>
      <c r="OK42" s="336">
        <v>0</v>
      </c>
      <c r="OL42" s="336">
        <v>0</v>
      </c>
      <c r="OM42" s="336">
        <v>0</v>
      </c>
      <c r="ON42" s="336">
        <v>0</v>
      </c>
      <c r="OO42" s="336">
        <v>0</v>
      </c>
      <c r="OP42" s="336">
        <v>0</v>
      </c>
      <c r="OQ42" s="336">
        <v>0</v>
      </c>
      <c r="OR42" s="336">
        <v>0</v>
      </c>
      <c r="OS42" s="336">
        <v>375141</v>
      </c>
      <c r="OT42" s="336">
        <v>0</v>
      </c>
      <c r="OU42" s="336">
        <v>0</v>
      </c>
      <c r="OV42" s="336">
        <v>0</v>
      </c>
      <c r="OW42" s="336">
        <v>0</v>
      </c>
      <c r="OX42" s="336">
        <v>0</v>
      </c>
      <c r="OY42" s="336">
        <v>0</v>
      </c>
      <c r="OZ42" s="336">
        <v>0</v>
      </c>
      <c r="PA42" s="336">
        <v>0</v>
      </c>
      <c r="PB42" s="336">
        <v>-7250979</v>
      </c>
      <c r="PC42" s="336">
        <v>0</v>
      </c>
      <c r="PD42" s="336">
        <v>0</v>
      </c>
      <c r="PE42" s="336">
        <v>-1481956</v>
      </c>
      <c r="PF42" s="336">
        <v>846493</v>
      </c>
      <c r="PG42" s="336">
        <v>273311</v>
      </c>
      <c r="PH42" s="336">
        <v>-1844429</v>
      </c>
      <c r="PI42" s="336">
        <v>0</v>
      </c>
      <c r="PJ42" s="336">
        <v>0</v>
      </c>
      <c r="PK42" s="336">
        <v>6784878</v>
      </c>
      <c r="PL42" s="336">
        <v>768252</v>
      </c>
      <c r="PM42" s="336">
        <v>-5413281</v>
      </c>
      <c r="PN42" s="336">
        <v>0</v>
      </c>
      <c r="PO42" s="336">
        <v>0</v>
      </c>
      <c r="PP42" s="336">
        <v>0</v>
      </c>
      <c r="PQ42" s="336">
        <v>0</v>
      </c>
      <c r="PR42" s="336">
        <v>0</v>
      </c>
      <c r="PS42" s="336">
        <v>0</v>
      </c>
      <c r="PT42" s="336">
        <v>0</v>
      </c>
      <c r="PU42" s="336">
        <v>0</v>
      </c>
      <c r="PV42" s="336">
        <v>0</v>
      </c>
      <c r="PW42" s="336">
        <v>0</v>
      </c>
      <c r="PX42" s="336">
        <v>0</v>
      </c>
      <c r="PY42" s="336">
        <v>0</v>
      </c>
      <c r="PZ42" s="336">
        <v>0</v>
      </c>
      <c r="QA42" s="336">
        <v>0</v>
      </c>
      <c r="QB42" s="336">
        <v>0</v>
      </c>
      <c r="QC42" s="336">
        <v>6551</v>
      </c>
      <c r="QD42" s="336">
        <v>-1456189</v>
      </c>
      <c r="QE42" s="336">
        <v>712748</v>
      </c>
      <c r="QF42" s="336">
        <v>0</v>
      </c>
      <c r="QG42" s="336">
        <v>0</v>
      </c>
      <c r="QH42" s="336">
        <v>0</v>
      </c>
      <c r="QI42" s="336">
        <v>0</v>
      </c>
      <c r="QJ42" s="336">
        <v>0</v>
      </c>
      <c r="QK42" s="336">
        <v>0</v>
      </c>
      <c r="QL42" s="336">
        <v>0</v>
      </c>
      <c r="QM42" s="336">
        <v>0</v>
      </c>
      <c r="QN42" s="336">
        <v>0</v>
      </c>
      <c r="QO42" s="336">
        <v>0</v>
      </c>
      <c r="QP42" s="336">
        <v>0</v>
      </c>
      <c r="QQ42" s="336">
        <v>0</v>
      </c>
      <c r="QR42" s="336">
        <v>0</v>
      </c>
      <c r="QS42" s="336">
        <v>0</v>
      </c>
      <c r="QT42" s="336">
        <v>0</v>
      </c>
      <c r="QU42" s="336">
        <v>0</v>
      </c>
      <c r="QV42" s="336">
        <v>0</v>
      </c>
      <c r="QW42" s="336">
        <v>0</v>
      </c>
      <c r="QX42" s="336">
        <v>0</v>
      </c>
      <c r="QY42" s="336">
        <v>0</v>
      </c>
      <c r="QZ42" s="336">
        <v>0</v>
      </c>
      <c r="RA42" s="336">
        <v>0</v>
      </c>
      <c r="RB42" s="336">
        <v>0</v>
      </c>
      <c r="RC42" s="336">
        <v>0</v>
      </c>
      <c r="RD42" s="336">
        <v>0</v>
      </c>
      <c r="RE42" s="336">
        <v>0</v>
      </c>
      <c r="RF42" s="336">
        <v>0</v>
      </c>
      <c r="RG42" s="336">
        <v>0</v>
      </c>
      <c r="RH42" s="336">
        <v>0</v>
      </c>
      <c r="RI42" s="336">
        <v>0</v>
      </c>
      <c r="RJ42" s="336">
        <v>0</v>
      </c>
      <c r="RK42" s="336">
        <v>0</v>
      </c>
      <c r="RL42" s="336">
        <v>0</v>
      </c>
      <c r="RM42" s="336">
        <v>0</v>
      </c>
      <c r="RN42" s="336">
        <v>0</v>
      </c>
      <c r="RO42" s="336">
        <v>-1087713</v>
      </c>
      <c r="RP42" s="336">
        <v>0</v>
      </c>
      <c r="RQ42" s="336">
        <v>0</v>
      </c>
      <c r="RR42" s="336">
        <v>0</v>
      </c>
      <c r="RS42" s="336">
        <v>0</v>
      </c>
      <c r="RT42" s="336">
        <v>0</v>
      </c>
      <c r="RU42" s="336">
        <v>0</v>
      </c>
      <c r="RV42" s="336">
        <v>0</v>
      </c>
      <c r="RW42" s="336">
        <v>0</v>
      </c>
      <c r="RX42" s="336">
        <v>0</v>
      </c>
      <c r="RY42" s="336">
        <v>0</v>
      </c>
      <c r="RZ42" s="336">
        <v>0</v>
      </c>
      <c r="SA42" s="336">
        <v>0</v>
      </c>
      <c r="SB42" s="336">
        <v>0</v>
      </c>
      <c r="SC42" s="336">
        <v>0</v>
      </c>
      <c r="SD42" s="336">
        <v>0</v>
      </c>
      <c r="SE42" s="336">
        <v>0</v>
      </c>
      <c r="SF42" s="336">
        <v>0</v>
      </c>
      <c r="SG42" s="336">
        <v>0</v>
      </c>
      <c r="SH42" s="336">
        <v>0</v>
      </c>
      <c r="SI42" s="336">
        <v>0</v>
      </c>
      <c r="SJ42" s="336">
        <v>0</v>
      </c>
      <c r="SK42" s="336">
        <v>0</v>
      </c>
      <c r="SL42" s="336">
        <v>0</v>
      </c>
      <c r="SM42" s="336">
        <v>0</v>
      </c>
      <c r="SN42" s="336">
        <v>0</v>
      </c>
      <c r="SO42" s="336">
        <v>0</v>
      </c>
      <c r="SP42" s="336">
        <v>89406</v>
      </c>
      <c r="SQ42" s="336">
        <v>0</v>
      </c>
      <c r="SR42" s="336">
        <v>41764</v>
      </c>
      <c r="SS42" s="336">
        <v>0</v>
      </c>
      <c r="ST42" s="336">
        <v>185893</v>
      </c>
      <c r="SU42" s="336">
        <v>0</v>
      </c>
      <c r="SV42" s="336">
        <v>0</v>
      </c>
      <c r="SW42" s="336">
        <v>7250979</v>
      </c>
      <c r="SX42" s="336">
        <v>0</v>
      </c>
      <c r="SY42" s="336">
        <v>0</v>
      </c>
      <c r="SZ42" s="336" t="s">
        <v>1420</v>
      </c>
      <c r="TA42" s="336" t="s">
        <v>1420</v>
      </c>
      <c r="TB42" s="336" t="s">
        <v>1420</v>
      </c>
      <c r="TC42" s="336">
        <v>216557</v>
      </c>
      <c r="TD42" s="336">
        <v>0</v>
      </c>
      <c r="TE42" s="336">
        <v>0</v>
      </c>
      <c r="TF42" s="336">
        <v>0</v>
      </c>
      <c r="TG42" s="336">
        <v>0</v>
      </c>
      <c r="TH42" s="336">
        <v>11100</v>
      </c>
      <c r="TI42" s="336">
        <v>0</v>
      </c>
      <c r="TJ42" s="336">
        <v>0</v>
      </c>
      <c r="TK42" s="336">
        <v>0</v>
      </c>
      <c r="TL42" s="336">
        <v>0</v>
      </c>
      <c r="TM42" s="336">
        <v>0</v>
      </c>
      <c r="TN42" s="336">
        <v>0</v>
      </c>
      <c r="TO42" s="336">
        <v>0</v>
      </c>
      <c r="TP42" s="336">
        <v>0</v>
      </c>
      <c r="TQ42" s="336">
        <v>0</v>
      </c>
      <c r="TR42" s="336">
        <v>0</v>
      </c>
      <c r="TS42" s="336">
        <v>0</v>
      </c>
      <c r="TT42" s="336">
        <v>0</v>
      </c>
      <c r="TU42" s="336">
        <v>0</v>
      </c>
      <c r="TV42" s="336">
        <v>0</v>
      </c>
      <c r="TW42" s="336">
        <v>0</v>
      </c>
      <c r="TX42" s="336">
        <v>0</v>
      </c>
      <c r="TY42" s="336">
        <v>0</v>
      </c>
      <c r="TZ42" s="336">
        <v>0</v>
      </c>
      <c r="UA42" s="336">
        <v>0</v>
      </c>
      <c r="UB42" s="336">
        <v>0</v>
      </c>
      <c r="UC42" s="336">
        <v>0</v>
      </c>
      <c r="UD42" s="336">
        <v>0</v>
      </c>
      <c r="UE42" s="336">
        <v>0</v>
      </c>
      <c r="UF42" s="336">
        <v>0</v>
      </c>
      <c r="UG42" s="336">
        <v>0</v>
      </c>
      <c r="UH42" s="336">
        <v>6285107</v>
      </c>
      <c r="UI42" s="336">
        <v>7025</v>
      </c>
      <c r="UJ42" s="336">
        <v>0</v>
      </c>
      <c r="UK42" s="336">
        <v>0</v>
      </c>
      <c r="UL42" s="336">
        <v>3658998</v>
      </c>
      <c r="UM42" s="336">
        <v>2010410</v>
      </c>
      <c r="UN42" s="336">
        <v>1264156</v>
      </c>
      <c r="UO42" s="336">
        <v>1077576</v>
      </c>
      <c r="UP42" s="336">
        <v>1589059</v>
      </c>
      <c r="UQ42" s="336">
        <v>868690</v>
      </c>
      <c r="UR42"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227657</v>
      </c>
      <c r="US42" s="338">
        <f>SUM(Input[[#This Row],[Oth Exp E&amp;G]],Input[[#This Row],[Oth Exp Desg]],Input[[#This Row],[Oth Exp Aux]],Input[[#This Row],[Oth Exp R Exp]],Input[[#This Row],[Oth Exp Loan]],Input[[#This Row],[Oth Exp Annuity]],Input[[#This Row],[Oth Exp Unexp]],Input[[#This Row],[Oth Exp R of Ind]],Input[[#This Row],[Oth Exp Inv in P]])</f>
        <v>375141</v>
      </c>
      <c r="UT42" s="336">
        <v>0</v>
      </c>
      <c r="UU42" s="336">
        <v>0</v>
      </c>
      <c r="UV42" s="339" t="s">
        <v>1569</v>
      </c>
      <c r="UW42" s="340">
        <v>2547497398</v>
      </c>
      <c r="UX42" s="339" t="s">
        <v>1570</v>
      </c>
      <c r="UY42" s="339" t="s">
        <v>1571</v>
      </c>
      <c r="UZ42" s="340">
        <v>2548673895</v>
      </c>
      <c r="VA42" s="339" t="s">
        <v>1572</v>
      </c>
      <c r="VB42" s="341" cm="1">
        <f t="array" ref="VB42">IFERROR(_xlfn.IFS(Input[[#This Row],[Type]]="HRI",VLOOKUP(Input[[#This Row],[Institution Name]],FTSEHRI[],9,FALSE),Input[[#This Row],[Type]]="UNIV",VLOOKUP(Input[[#This Row],[Institution Name]],FTSEUNIV[],9,FALSE),OR(Input[[#This Row],[Type]]="TSTC",Input[[#This Row],[Type]]="LSC"),VLOOKUP(Input[[#This Row],[Institution Name]],FTSETSTC[],8,FALSE)),"N/A")</f>
        <v>521.96</v>
      </c>
      <c r="VC42" s="342" t="str" cm="1">
        <f t="array" ref="VC42">IFERROR(_xlfn.IFS(Input[[#This Row],[Type]]="HRI",VLOOKUP(Input[[#This Row],[Institution Name]],FTSEHRI[],11,FALSE),Input[[#This Row],[Type]]="UNIV",VLOOKUP(Input[[#This Row],[Institution Name]],FTSEUNIV[],11,FALSE),Input[[#This Row],[Type]]="TSTC",VLOOKUP(Input[[#This Row],[Institution Name]],FTSETSTC[],10,FALSE)),"N/A")</f>
        <v>N/A</v>
      </c>
      <c r="VD42"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13487583</v>
      </c>
      <c r="VE42"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310083</v>
      </c>
      <c r="VF42" s="338">
        <f>SUM(Input[[#This Row],[Fed G&amp;C E&amp;G]],Input[[#This Row],[Fed G&amp;C Desg]],Input[[#This Row],[Fed G&amp;C R Exp]],Input[[#This Row],[Fed G&amp;C Loan]],Input[[#This Row],[Fed G&amp;C Annuity]],Input[[#This Row],[Fed G&amp;C Unexp]],Input[[#This Row],[Fed G&amp;C R of Ind]],Input[[#This Row],[Fed G&amp;C Inv in P]])</f>
        <v>2117735</v>
      </c>
      <c r="VG42"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643063</v>
      </c>
      <c r="VH42"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2395155</v>
      </c>
      <c r="VI42"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J42" s="338">
        <f>SUM(Input[[#This Row],[Oth Inc E&amp;G]],Input[[#This Row],[Oth Exp Desg]],Input[[#This Row],[Oth Exp R Exp]],Input[[#This Row],[Oth Exp Loan]],Input[[#This Row],[Oth Exp Annuity]],Input[[#This Row],[Oth Exp Unexp]],Input[[#This Row],[Oth Exp R of Ind]],Input[[#This Row],[Oth Exp Inv in P]])</f>
        <v>375141</v>
      </c>
      <c r="VK42" s="343">
        <f>SUM(Input[[#This Row],[Instr E&amp;G]],Input[[#This Row],[Instr Desg]],Input[[#This Row],[Instr R Exp]],Input[[#This Row],[Instr Loan]],Input[[#This Row],[Instr Annuity]],Input[[#This Row],[Instr Unexp]],Input[[#This Row],[Instr R of Ind]],Input[[#This Row],[Instr Inv in P]])</f>
        <v>6283374</v>
      </c>
      <c r="VL42" s="343">
        <f>SUM(Input[[#This Row],[Res E&amp;G]],Input[[#This Row],[Res Desg]],Input[[#This Row],[Res R Exp]],Input[[#This Row],[Res Loan]],Input[[#This Row],[Res Annuity]],Input[[#This Row],[Res Unexp]],Input[[#This Row],[Res R of Ind]],Input[[#This Row],[Res Inv in P]])</f>
        <v>6952</v>
      </c>
      <c r="VM42" s="343">
        <f>SUM(Input[[#This Row],[Acad Sup E&amp;G]],Input[[#This Row],[Acad Sup Desg]],Input[[#This Row],[Acad Sup R Exp]],Input[[#This Row],[Acad Sup Loan]],Input[[#This Row],[Acad Sup Annuity]],Input[[#This Row],[Acad Sup Unexp]],Input[[#This Row],[Acad Sup R of Ind]],Input[[#This Row],[Acad Sup Inv in P]])</f>
        <v>3658483</v>
      </c>
      <c r="VN42" s="343">
        <f>SUM(Input[[#This Row],[Stu Svc E&amp;G]],Input[[#This Row],[Stu Svc Desg]],Input[[#This Row],[Stu Svc R Exp]],Input[[#This Row],[Stu Svc Loan]],Input[[#This Row],[Stu Svc Annuity]],Input[[#This Row],[Stu Svc Unexp]],Input[[#This Row],[Stu Svc R of Ind]],Input[[#This Row],[Stu Svc Inv in P]])</f>
        <v>2009896</v>
      </c>
      <c r="VO42" s="343">
        <f>SUM(Input[[#This Row],[Inst. Spt E&amp;G]],Input[[#This Row],[Inst. Spt Desg]],Input[[#This Row],[Inst. Spt R Exp]],Input[[#This Row],[Inst. Spt Loan]],Input[[#This Row],[Inst. Spt Annuity]],Input[[#This Row],[Inst. Spt Unexp]],Input[[#This Row],[Inst. Spt R of Ind]],Input[[#This Row],[Inst. Spt Inv in P]])</f>
        <v>1263458</v>
      </c>
      <c r="VP42" s="343">
        <f>SUM(Input[[#This Row],[M&amp;O Plnt E&amp;G]],Input[[#This Row],[M&amp;O Plnt Desg]],Input[[#This Row],[M&amp;O Plnt R Exp]],Input[[#This Row],[M&amp;O Plnt Loan]],Input[[#This Row],[M&amp;O Plnt Annuity]],Input[[#This Row],[M&amp;O Plnt Unexp]],Input[[#This Row],[M&amp;O Plnt R of Ind]],Input[[#This Row],[M&amp;O Plnt Inv in P]])</f>
        <v>1077353</v>
      </c>
      <c r="VQ42" s="343">
        <f>SUM(Input[[#This Row],[Schl &amp; Fell E&amp;G]],Input[[#This Row],[Schl &amp; Fell Desg]],Input[[#This Row],[Schl &amp; Fell R Exp]],Input[[#This Row],[Schl &amp; Fell Loan]],Input[[#This Row],[Schl &amp; Fell Annuity]],Input[[#This Row],[Schl &amp; Fell Unexp]],Input[[#This Row],[Schl &amp; Fell R of Ind]],Input[[#This Row],[Schl &amp; Fell Inv in P]])</f>
        <v>1589059</v>
      </c>
      <c r="VR42" s="343">
        <f>SUM(Input[[#This Row],[Cap Out fund E&amp;G]],Input[[#This Row],[Cap Out fund Desg]],Input[[#This Row],[Cap Out fund R Exp]],Input[[#This Row],[Cap Out fund Loan]],Input[[#This Row],[Cap Out fund Annuity]],Input[[#This Row],[Cap Out fund Unexp]],Input[[#This Row],[Cap Out fund R of Ind]],Input[[#This Row],[Cap Out fund Inv in P]])</f>
        <v>227657</v>
      </c>
      <c r="VS42" s="343">
        <f>SUM(Input[[#This Row],[Oth Exp E&amp;G]],Input[[#This Row],[Oth Exp Desg]],Input[[#This Row],[Oth Exp R Exp]],Input[[#This Row],[Oth Exp Loan]],Input[[#This Row],[Oth Exp Annuity]],Input[[#This Row],[Oth Exp Unexp]],Input[[#This Row],[Oth Exp R of Ind]],Input[[#This Row],[Oth Exp Inv in P]],Input[[#This Row],[Oth Exp Inv in P]])</f>
        <v>375141</v>
      </c>
    </row>
    <row r="43" spans="1:591" s="344" customFormat="1" ht="27" customHeight="1" x14ac:dyDescent="0.55000000000000004">
      <c r="A43" s="339" t="s">
        <v>56</v>
      </c>
      <c r="B43" s="334" t="s">
        <v>20</v>
      </c>
      <c r="C43" s="334" t="s">
        <v>20</v>
      </c>
      <c r="D43" s="334">
        <v>552</v>
      </c>
      <c r="E43" s="334" t="s">
        <v>1622</v>
      </c>
      <c r="F43" s="335">
        <v>133965</v>
      </c>
      <c r="G43" s="336">
        <v>8385120</v>
      </c>
      <c r="H43" s="336">
        <v>0</v>
      </c>
      <c r="I43" s="336">
        <v>0</v>
      </c>
      <c r="J43" s="336">
        <v>0</v>
      </c>
      <c r="K43" s="336">
        <v>0</v>
      </c>
      <c r="L43" s="336">
        <v>0</v>
      </c>
      <c r="M43" s="336">
        <v>0</v>
      </c>
      <c r="N43" s="336">
        <v>0</v>
      </c>
      <c r="O43" s="336">
        <v>0</v>
      </c>
      <c r="P43" s="336">
        <v>0</v>
      </c>
      <c r="Q43" s="336">
        <v>0</v>
      </c>
      <c r="R43" s="336">
        <v>0</v>
      </c>
      <c r="S43" s="336">
        <v>349760</v>
      </c>
      <c r="T43" s="336">
        <v>0</v>
      </c>
      <c r="U43" s="336">
        <v>0</v>
      </c>
      <c r="V43" s="336">
        <v>0</v>
      </c>
      <c r="W43" s="336">
        <v>0</v>
      </c>
      <c r="X43" s="336">
        <v>0</v>
      </c>
      <c r="Y43" s="336">
        <v>0</v>
      </c>
      <c r="Z43" s="336">
        <v>0</v>
      </c>
      <c r="AA43" s="336">
        <v>0</v>
      </c>
      <c r="AB43" s="336">
        <v>0</v>
      </c>
      <c r="AC43" s="336">
        <v>0</v>
      </c>
      <c r="AD43" s="336">
        <v>0</v>
      </c>
      <c r="AE43" s="336">
        <v>0</v>
      </c>
      <c r="AF43" s="336">
        <v>0</v>
      </c>
      <c r="AG43" s="336">
        <v>0</v>
      </c>
      <c r="AH43" s="336">
        <v>0</v>
      </c>
      <c r="AI43" s="336">
        <v>0</v>
      </c>
      <c r="AJ43" s="336">
        <v>0</v>
      </c>
      <c r="AK43" s="336">
        <v>0</v>
      </c>
      <c r="AL43" s="336">
        <v>0</v>
      </c>
      <c r="AM43" s="336">
        <v>0</v>
      </c>
      <c r="AN43" s="336">
        <v>0</v>
      </c>
      <c r="AO43" s="336">
        <v>0</v>
      </c>
      <c r="AP43" s="336">
        <v>0</v>
      </c>
      <c r="AQ43" s="336">
        <v>-3696</v>
      </c>
      <c r="AR43" s="336">
        <v>0</v>
      </c>
      <c r="AS43" s="336">
        <v>0</v>
      </c>
      <c r="AT43" s="336">
        <v>0</v>
      </c>
      <c r="AU43" s="336">
        <v>0</v>
      </c>
      <c r="AV43" s="336">
        <v>0</v>
      </c>
      <c r="AW43" s="336">
        <v>0</v>
      </c>
      <c r="AX43" s="336">
        <v>0</v>
      </c>
      <c r="AY43" s="336">
        <v>0</v>
      </c>
      <c r="AZ43" s="336">
        <v>0</v>
      </c>
      <c r="BA43" s="336">
        <v>0</v>
      </c>
      <c r="BB43" s="336">
        <v>0</v>
      </c>
      <c r="BC43" s="336">
        <v>0</v>
      </c>
      <c r="BD43" s="336">
        <v>0</v>
      </c>
      <c r="BE43" s="336">
        <v>0</v>
      </c>
      <c r="BF43" s="336">
        <v>0</v>
      </c>
      <c r="BG43" s="336">
        <v>0</v>
      </c>
      <c r="BH43" s="336">
        <v>0</v>
      </c>
      <c r="BI43" s="336">
        <v>0</v>
      </c>
      <c r="BJ43" s="336">
        <v>0</v>
      </c>
      <c r="BK43" s="336">
        <v>0</v>
      </c>
      <c r="BL43" s="336">
        <v>0</v>
      </c>
      <c r="BM43" s="336">
        <v>0</v>
      </c>
      <c r="BN43" s="336">
        <v>0</v>
      </c>
      <c r="BO43" s="336">
        <v>0</v>
      </c>
      <c r="BP43" s="336">
        <v>0</v>
      </c>
      <c r="BQ43" s="336">
        <v>0</v>
      </c>
      <c r="BR43" s="336">
        <v>0</v>
      </c>
      <c r="BS43" s="336">
        <v>0</v>
      </c>
      <c r="BT43" s="336">
        <v>0</v>
      </c>
      <c r="BU43" s="336">
        <v>0</v>
      </c>
      <c r="BV43" s="336">
        <v>0</v>
      </c>
      <c r="BW43" s="336">
        <v>0</v>
      </c>
      <c r="BX43" s="336">
        <v>0</v>
      </c>
      <c r="BY43" s="336">
        <v>0</v>
      </c>
      <c r="BZ43" s="336">
        <v>0</v>
      </c>
      <c r="CA43" s="336">
        <v>357521</v>
      </c>
      <c r="CB43" s="336">
        <v>1783951</v>
      </c>
      <c r="CC43" s="336">
        <v>0</v>
      </c>
      <c r="CD43" s="336">
        <v>0</v>
      </c>
      <c r="CE43" s="336">
        <v>0</v>
      </c>
      <c r="CF43" s="336">
        <v>0</v>
      </c>
      <c r="CG43" s="336">
        <v>0</v>
      </c>
      <c r="CH43" s="336">
        <v>0</v>
      </c>
      <c r="CI43" s="336">
        <v>0</v>
      </c>
      <c r="CJ43" s="336">
        <v>0</v>
      </c>
      <c r="CK43" s="336">
        <v>0</v>
      </c>
      <c r="CL43" s="336">
        <v>0</v>
      </c>
      <c r="CM43" s="336">
        <v>0</v>
      </c>
      <c r="CN43" s="336">
        <v>0</v>
      </c>
      <c r="CO43" s="336">
        <v>0</v>
      </c>
      <c r="CP43" s="336">
        <v>0</v>
      </c>
      <c r="CQ43" s="336">
        <v>0</v>
      </c>
      <c r="CR43" s="336">
        <v>0</v>
      </c>
      <c r="CS43" s="336">
        <v>0</v>
      </c>
      <c r="CT43" s="336">
        <v>0</v>
      </c>
      <c r="CU43" s="336">
        <v>0</v>
      </c>
      <c r="CV43" s="336">
        <v>0</v>
      </c>
      <c r="CW43" s="336">
        <v>0</v>
      </c>
      <c r="CX43" s="336">
        <v>0</v>
      </c>
      <c r="CY43" s="336">
        <v>0</v>
      </c>
      <c r="CZ43" s="336">
        <v>0</v>
      </c>
      <c r="DA43" s="336">
        <v>0</v>
      </c>
      <c r="DB43" s="336">
        <v>-148026</v>
      </c>
      <c r="DC43" s="336">
        <v>0</v>
      </c>
      <c r="DD43" s="336">
        <v>0</v>
      </c>
      <c r="DE43" s="336">
        <v>0</v>
      </c>
      <c r="DF43" s="336">
        <v>0</v>
      </c>
      <c r="DG43" s="336">
        <v>0</v>
      </c>
      <c r="DH43" s="336">
        <v>0</v>
      </c>
      <c r="DI43" s="336">
        <v>0</v>
      </c>
      <c r="DJ43" s="336">
        <v>0</v>
      </c>
      <c r="DK43" s="336">
        <v>0</v>
      </c>
      <c r="DL43" s="336">
        <v>-168087</v>
      </c>
      <c r="DM43" s="336">
        <v>0</v>
      </c>
      <c r="DN43" s="336">
        <v>0</v>
      </c>
      <c r="DO43" s="336">
        <v>0</v>
      </c>
      <c r="DP43" s="336">
        <v>0</v>
      </c>
      <c r="DQ43" s="336">
        <v>0</v>
      </c>
      <c r="DR43" s="336">
        <v>0</v>
      </c>
      <c r="DS43" s="336">
        <v>0</v>
      </c>
      <c r="DT43" s="336">
        <v>23130</v>
      </c>
      <c r="DU43" s="336">
        <v>-795341</v>
      </c>
      <c r="DV43" s="336">
        <v>0</v>
      </c>
      <c r="DW43" s="336">
        <v>0</v>
      </c>
      <c r="DX43" s="336">
        <v>0</v>
      </c>
      <c r="DY43" s="336">
        <v>0</v>
      </c>
      <c r="DZ43" s="336">
        <v>0</v>
      </c>
      <c r="EA43" s="336">
        <v>0</v>
      </c>
      <c r="EB43" s="336">
        <v>0</v>
      </c>
      <c r="EC43" s="336">
        <v>0</v>
      </c>
      <c r="ED43" s="336">
        <v>0</v>
      </c>
      <c r="EE43" s="336">
        <v>0</v>
      </c>
      <c r="EF43" s="336">
        <v>0</v>
      </c>
      <c r="EG43" s="336">
        <v>0</v>
      </c>
      <c r="EH43" s="336">
        <v>0</v>
      </c>
      <c r="EI43" s="336">
        <v>0</v>
      </c>
      <c r="EJ43" s="336">
        <v>0</v>
      </c>
      <c r="EK43" s="336">
        <v>0</v>
      </c>
      <c r="EL43" s="336">
        <v>0</v>
      </c>
      <c r="EM43" s="336">
        <v>0</v>
      </c>
      <c r="EN43" s="336">
        <v>0</v>
      </c>
      <c r="EO43" s="336">
        <v>0</v>
      </c>
      <c r="EP43" s="336">
        <v>0</v>
      </c>
      <c r="EQ43" s="336">
        <v>0</v>
      </c>
      <c r="ER43" s="336">
        <v>0</v>
      </c>
      <c r="ES43" s="336">
        <v>0</v>
      </c>
      <c r="ET43" s="336">
        <v>0</v>
      </c>
      <c r="EU43" s="336">
        <v>0</v>
      </c>
      <c r="EV43" s="336">
        <v>0</v>
      </c>
      <c r="EW43" s="336">
        <v>0</v>
      </c>
      <c r="EX43" s="336">
        <v>0</v>
      </c>
      <c r="EY43" s="336">
        <v>0</v>
      </c>
      <c r="EZ43" s="336">
        <v>0</v>
      </c>
      <c r="FA43" s="336">
        <v>0</v>
      </c>
      <c r="FB43" s="336">
        <v>0</v>
      </c>
      <c r="FC43" s="336">
        <v>0</v>
      </c>
      <c r="FD43" s="336">
        <v>0</v>
      </c>
      <c r="FE43" s="336">
        <v>0</v>
      </c>
      <c r="FF43" s="336">
        <v>0</v>
      </c>
      <c r="FG43" s="336">
        <v>0</v>
      </c>
      <c r="FH43" s="336">
        <v>0</v>
      </c>
      <c r="FI43" s="336">
        <v>0</v>
      </c>
      <c r="FJ43" s="336">
        <v>0</v>
      </c>
      <c r="FK43" s="336">
        <v>0</v>
      </c>
      <c r="FL43" s="336">
        <v>0</v>
      </c>
      <c r="FM43" s="336">
        <v>0</v>
      </c>
      <c r="FN43" s="336">
        <v>0</v>
      </c>
      <c r="FO43" s="336">
        <v>0</v>
      </c>
      <c r="FP43" s="336">
        <v>0</v>
      </c>
      <c r="FQ43" s="336">
        <v>0</v>
      </c>
      <c r="FR43" s="336">
        <v>0</v>
      </c>
      <c r="FS43" s="336">
        <v>0</v>
      </c>
      <c r="FT43" s="336">
        <v>0</v>
      </c>
      <c r="FU43" s="336">
        <v>0</v>
      </c>
      <c r="FV43" s="336">
        <v>0</v>
      </c>
      <c r="FW43" s="336">
        <v>0</v>
      </c>
      <c r="FX43" s="336">
        <v>0</v>
      </c>
      <c r="FY43" s="336">
        <v>0</v>
      </c>
      <c r="FZ43" s="336">
        <v>0</v>
      </c>
      <c r="GA43" s="336">
        <v>0</v>
      </c>
      <c r="GB43" s="336">
        <v>0</v>
      </c>
      <c r="GC43" s="336">
        <v>0</v>
      </c>
      <c r="GD43" s="336">
        <v>0</v>
      </c>
      <c r="GE43" s="336">
        <v>0</v>
      </c>
      <c r="GF43" s="336">
        <v>0</v>
      </c>
      <c r="GG43" s="336">
        <v>0</v>
      </c>
      <c r="GH43" s="336">
        <v>0</v>
      </c>
      <c r="GI43" s="336">
        <v>0</v>
      </c>
      <c r="GJ43" s="336">
        <v>0</v>
      </c>
      <c r="GK43" s="336">
        <v>0</v>
      </c>
      <c r="GL43" s="336">
        <v>0</v>
      </c>
      <c r="GM43" s="336">
        <v>0</v>
      </c>
      <c r="GN43" s="336">
        <v>0</v>
      </c>
      <c r="GO43" s="336">
        <v>0</v>
      </c>
      <c r="GP43" s="336">
        <v>0</v>
      </c>
      <c r="GQ43" s="336">
        <v>0</v>
      </c>
      <c r="GR43" s="336">
        <v>0</v>
      </c>
      <c r="GS43" s="336">
        <v>0</v>
      </c>
      <c r="GT43" s="336">
        <v>0</v>
      </c>
      <c r="GU43" s="336">
        <v>0</v>
      </c>
      <c r="GV43" s="336">
        <v>0</v>
      </c>
      <c r="GW43" s="336">
        <v>0</v>
      </c>
      <c r="GX43" s="336">
        <v>0</v>
      </c>
      <c r="GY43" s="336">
        <v>0</v>
      </c>
      <c r="GZ43" s="336">
        <v>0</v>
      </c>
      <c r="HA43" s="336">
        <v>0</v>
      </c>
      <c r="HB43" s="336">
        <v>0</v>
      </c>
      <c r="HC43" s="336">
        <v>0</v>
      </c>
      <c r="HD43" s="336">
        <v>0</v>
      </c>
      <c r="HE43" s="336">
        <v>0</v>
      </c>
      <c r="HF43" s="336">
        <v>0</v>
      </c>
      <c r="HG43" s="336">
        <v>0</v>
      </c>
      <c r="HH43" s="336">
        <v>0</v>
      </c>
      <c r="HI43" s="336">
        <v>0</v>
      </c>
      <c r="HJ43" s="336">
        <v>0</v>
      </c>
      <c r="HK43" s="336">
        <v>0</v>
      </c>
      <c r="HL43" s="336">
        <v>0</v>
      </c>
      <c r="HM43" s="336">
        <v>0</v>
      </c>
      <c r="HN43" s="336">
        <v>0</v>
      </c>
      <c r="HO43" s="336">
        <v>0</v>
      </c>
      <c r="HP43" s="336">
        <v>0</v>
      </c>
      <c r="HQ43" s="336">
        <v>0</v>
      </c>
      <c r="HR43" s="336">
        <v>1272743</v>
      </c>
      <c r="HS43" s="336">
        <v>0</v>
      </c>
      <c r="HT43" s="336">
        <v>0</v>
      </c>
      <c r="HU43" s="336">
        <v>0</v>
      </c>
      <c r="HV43" s="336">
        <v>0</v>
      </c>
      <c r="HW43" s="336">
        <v>0</v>
      </c>
      <c r="HX43" s="336">
        <v>0</v>
      </c>
      <c r="HY43" s="336">
        <v>0</v>
      </c>
      <c r="HZ43" s="336">
        <v>0</v>
      </c>
      <c r="IA43" s="336">
        <v>0</v>
      </c>
      <c r="IB43" s="336">
        <v>0</v>
      </c>
      <c r="IC43" s="336">
        <v>0</v>
      </c>
      <c r="ID43" s="336">
        <v>0</v>
      </c>
      <c r="IE43" s="336">
        <v>0</v>
      </c>
      <c r="IF43" s="336">
        <v>0</v>
      </c>
      <c r="IG43" s="336">
        <v>0</v>
      </c>
      <c r="IH43" s="336">
        <v>0</v>
      </c>
      <c r="II43" s="336">
        <v>0</v>
      </c>
      <c r="IJ43" s="336">
        <v>0</v>
      </c>
      <c r="IK43" s="336">
        <v>0</v>
      </c>
      <c r="IL43" s="336">
        <v>0</v>
      </c>
      <c r="IM43" s="336">
        <v>0</v>
      </c>
      <c r="IN43" s="336">
        <v>0</v>
      </c>
      <c r="IO43" s="336">
        <v>0</v>
      </c>
      <c r="IP43" s="336">
        <v>0</v>
      </c>
      <c r="IQ43" s="336">
        <v>0</v>
      </c>
      <c r="IR43" s="336">
        <v>0</v>
      </c>
      <c r="IS43" s="336">
        <v>0</v>
      </c>
      <c r="IT43" s="336">
        <v>0</v>
      </c>
      <c r="IU43" s="336">
        <v>0</v>
      </c>
      <c r="IV43" s="336">
        <v>0</v>
      </c>
      <c r="IW43" s="336">
        <v>0</v>
      </c>
      <c r="IX43" s="336">
        <v>0</v>
      </c>
      <c r="IY43" s="336">
        <v>0</v>
      </c>
      <c r="IZ43" s="336">
        <v>0</v>
      </c>
      <c r="JA43" s="336">
        <v>0</v>
      </c>
      <c r="JB43" s="336">
        <v>0</v>
      </c>
      <c r="JC43" s="336">
        <v>0</v>
      </c>
      <c r="JD43" s="336">
        <v>0</v>
      </c>
      <c r="JE43" s="336">
        <v>0</v>
      </c>
      <c r="JF43" s="336">
        <v>0</v>
      </c>
      <c r="JG43" s="336">
        <v>0</v>
      </c>
      <c r="JH43" s="336">
        <v>0</v>
      </c>
      <c r="JI43" s="336">
        <v>35573</v>
      </c>
      <c r="JJ43" s="336">
        <v>0</v>
      </c>
      <c r="JK43" s="336">
        <v>65522</v>
      </c>
      <c r="JL43" s="336">
        <v>0</v>
      </c>
      <c r="JM43" s="336">
        <v>0</v>
      </c>
      <c r="JN43" s="336">
        <v>0</v>
      </c>
      <c r="JO43" s="336">
        <v>0</v>
      </c>
      <c r="JP43" s="336">
        <v>0</v>
      </c>
      <c r="JQ43" s="336">
        <v>0</v>
      </c>
      <c r="JR43" s="336">
        <v>217872</v>
      </c>
      <c r="JS43" s="336">
        <v>0</v>
      </c>
      <c r="JT43" s="336">
        <v>0</v>
      </c>
      <c r="JU43" s="336">
        <v>0</v>
      </c>
      <c r="JV43" s="336">
        <v>0</v>
      </c>
      <c r="JW43" s="336">
        <v>0</v>
      </c>
      <c r="JX43" s="336">
        <v>0</v>
      </c>
      <c r="JY43" s="336">
        <v>0</v>
      </c>
      <c r="JZ43" s="336">
        <v>0</v>
      </c>
      <c r="KA43" s="336">
        <v>0</v>
      </c>
      <c r="KB43" s="336">
        <v>-268</v>
      </c>
      <c r="KC43" s="336">
        <v>0</v>
      </c>
      <c r="KD43" s="336">
        <v>0</v>
      </c>
      <c r="KE43" s="336">
        <v>0</v>
      </c>
      <c r="KF43" s="336">
        <v>0</v>
      </c>
      <c r="KG43" s="336">
        <v>0</v>
      </c>
      <c r="KH43" s="336">
        <v>0</v>
      </c>
      <c r="KI43" s="336">
        <v>0</v>
      </c>
      <c r="KJ43" s="336">
        <v>0</v>
      </c>
      <c r="KK43" s="336">
        <v>0</v>
      </c>
      <c r="KL43" s="336">
        <v>0</v>
      </c>
      <c r="KM43" s="336">
        <v>0</v>
      </c>
      <c r="KN43" s="336">
        <v>0</v>
      </c>
      <c r="KO43" s="336">
        <v>0</v>
      </c>
      <c r="KP43" s="336">
        <v>0</v>
      </c>
      <c r="KQ43" s="336">
        <v>0</v>
      </c>
      <c r="KR43" s="336">
        <v>3919186</v>
      </c>
      <c r="KS43" s="336">
        <v>393000</v>
      </c>
      <c r="KT43" s="336">
        <v>0</v>
      </c>
      <c r="KU43" s="336">
        <v>19094</v>
      </c>
      <c r="KV43" s="336">
        <v>0</v>
      </c>
      <c r="KW43" s="336">
        <v>0</v>
      </c>
      <c r="KX43" s="336">
        <v>0</v>
      </c>
      <c r="KY43" s="336">
        <v>0</v>
      </c>
      <c r="KZ43" s="336">
        <v>0</v>
      </c>
      <c r="LA43" s="336">
        <v>4675</v>
      </c>
      <c r="LB43" s="336">
        <v>80</v>
      </c>
      <c r="LC43" s="336">
        <v>0</v>
      </c>
      <c r="LD43" s="336">
        <v>52</v>
      </c>
      <c r="LE43" s="336">
        <v>0</v>
      </c>
      <c r="LF43" s="336">
        <v>0</v>
      </c>
      <c r="LG43" s="336">
        <v>0</v>
      </c>
      <c r="LH43" s="336">
        <v>0</v>
      </c>
      <c r="LI43" s="336">
        <v>0</v>
      </c>
      <c r="LJ43" s="336">
        <v>0</v>
      </c>
      <c r="LK43" s="336">
        <v>0</v>
      </c>
      <c r="LL43" s="336">
        <v>0</v>
      </c>
      <c r="LM43" s="336">
        <v>0</v>
      </c>
      <c r="LN43" s="336">
        <v>0</v>
      </c>
      <c r="LO43" s="336">
        <v>0</v>
      </c>
      <c r="LP43" s="336">
        <v>0</v>
      </c>
      <c r="LQ43" s="336">
        <v>0</v>
      </c>
      <c r="LR43" s="336">
        <v>0</v>
      </c>
      <c r="LS43" s="336">
        <v>0</v>
      </c>
      <c r="LT43" s="336">
        <v>0</v>
      </c>
      <c r="LU43" s="336">
        <v>0</v>
      </c>
      <c r="LV43" s="336">
        <v>0</v>
      </c>
      <c r="LW43" s="336">
        <v>0</v>
      </c>
      <c r="LX43" s="336">
        <v>0</v>
      </c>
      <c r="LY43" s="336">
        <v>0</v>
      </c>
      <c r="LZ43" s="336">
        <v>0</v>
      </c>
      <c r="MA43" s="336">
        <v>0</v>
      </c>
      <c r="MB43" s="336">
        <v>715949</v>
      </c>
      <c r="MC43" s="336">
        <v>31261</v>
      </c>
      <c r="MD43" s="336">
        <v>0</v>
      </c>
      <c r="ME43" s="336">
        <v>4010</v>
      </c>
      <c r="MF43" s="336">
        <v>0</v>
      </c>
      <c r="MG43" s="336">
        <v>0</v>
      </c>
      <c r="MH43" s="336">
        <v>0</v>
      </c>
      <c r="MI43" s="336">
        <v>0</v>
      </c>
      <c r="MJ43" s="336">
        <v>0</v>
      </c>
      <c r="MK43" s="336">
        <v>786452</v>
      </c>
      <c r="ML43" s="336">
        <v>494003</v>
      </c>
      <c r="MM43" s="336">
        <v>0</v>
      </c>
      <c r="MN43" s="336">
        <v>74544</v>
      </c>
      <c r="MO43" s="336">
        <v>0</v>
      </c>
      <c r="MP43" s="336">
        <v>0</v>
      </c>
      <c r="MQ43" s="336">
        <v>0</v>
      </c>
      <c r="MR43" s="336">
        <v>0</v>
      </c>
      <c r="MS43" s="336">
        <v>0</v>
      </c>
      <c r="MT43" s="336">
        <v>1028617</v>
      </c>
      <c r="MU43" s="336">
        <v>312477</v>
      </c>
      <c r="MV43" s="336">
        <v>0</v>
      </c>
      <c r="MW43" s="336">
        <v>63678</v>
      </c>
      <c r="MX43" s="336">
        <v>0</v>
      </c>
      <c r="MY43" s="336">
        <v>0</v>
      </c>
      <c r="MZ43" s="336">
        <v>0</v>
      </c>
      <c r="NA43" s="336">
        <v>0</v>
      </c>
      <c r="NB43" s="336">
        <v>0</v>
      </c>
      <c r="NC43" s="336">
        <v>140098</v>
      </c>
      <c r="ND43" s="336">
        <v>261398</v>
      </c>
      <c r="NE43" s="336">
        <v>0</v>
      </c>
      <c r="NF43" s="336">
        <v>161</v>
      </c>
      <c r="NG43" s="336">
        <v>0</v>
      </c>
      <c r="NH43" s="336">
        <v>0</v>
      </c>
      <c r="NI43" s="336">
        <v>0</v>
      </c>
      <c r="NJ43" s="336">
        <v>0</v>
      </c>
      <c r="NK43" s="336">
        <v>0</v>
      </c>
      <c r="NL43" s="336">
        <v>148026</v>
      </c>
      <c r="NM43" s="336">
        <v>517862</v>
      </c>
      <c r="NN43" s="336">
        <v>0</v>
      </c>
      <c r="NO43" s="336">
        <v>209024</v>
      </c>
      <c r="NP43" s="336">
        <v>0</v>
      </c>
      <c r="NQ43" s="336">
        <v>0</v>
      </c>
      <c r="NR43" s="336">
        <v>0</v>
      </c>
      <c r="NS43" s="336">
        <v>0</v>
      </c>
      <c r="NT43" s="336">
        <v>0</v>
      </c>
      <c r="NU43" s="336">
        <v>4871</v>
      </c>
      <c r="NV43" s="336">
        <v>83</v>
      </c>
      <c r="NW43" s="336">
        <v>0</v>
      </c>
      <c r="NX43" s="336">
        <v>55</v>
      </c>
      <c r="NY43" s="336">
        <v>0</v>
      </c>
      <c r="NZ43" s="336">
        <v>0</v>
      </c>
      <c r="OA43" s="336">
        <v>0</v>
      </c>
      <c r="OB43" s="336">
        <v>0</v>
      </c>
      <c r="OC43" s="336">
        <v>0</v>
      </c>
      <c r="OD43" s="336">
        <v>0</v>
      </c>
      <c r="OE43" s="336">
        <v>21368</v>
      </c>
      <c r="OF43" s="336">
        <v>0</v>
      </c>
      <c r="OG43" s="336">
        <v>147756</v>
      </c>
      <c r="OH43" s="336">
        <v>0</v>
      </c>
      <c r="OI43" s="336">
        <v>0</v>
      </c>
      <c r="OJ43" s="336">
        <v>0</v>
      </c>
      <c r="OK43" s="336">
        <v>0</v>
      </c>
      <c r="OL43" s="336">
        <v>0</v>
      </c>
      <c r="OM43" s="336">
        <v>0</v>
      </c>
      <c r="ON43" s="336">
        <v>0</v>
      </c>
      <c r="OO43" s="336">
        <v>0</v>
      </c>
      <c r="OP43" s="336">
        <v>0</v>
      </c>
      <c r="OQ43" s="336">
        <v>0</v>
      </c>
      <c r="OR43" s="336">
        <v>0</v>
      </c>
      <c r="OS43" s="336">
        <v>265657</v>
      </c>
      <c r="OT43" s="336">
        <v>0</v>
      </c>
      <c r="OU43" s="336">
        <v>0</v>
      </c>
      <c r="OV43" s="336">
        <v>0</v>
      </c>
      <c r="OW43" s="336">
        <v>0</v>
      </c>
      <c r="OX43" s="336">
        <v>0</v>
      </c>
      <c r="OY43" s="336">
        <v>0</v>
      </c>
      <c r="OZ43" s="336">
        <v>0</v>
      </c>
      <c r="PA43" s="336">
        <v>0</v>
      </c>
      <c r="PB43" s="336">
        <v>-246276</v>
      </c>
      <c r="PC43" s="336">
        <v>0</v>
      </c>
      <c r="PD43" s="336">
        <v>0</v>
      </c>
      <c r="PE43" s="336">
        <v>-1772141</v>
      </c>
      <c r="PF43" s="336">
        <v>592169</v>
      </c>
      <c r="PG43" s="336">
        <v>0</v>
      </c>
      <c r="PH43" s="336">
        <v>-1101978</v>
      </c>
      <c r="PI43" s="336">
        <v>0</v>
      </c>
      <c r="PJ43" s="336">
        <v>0</v>
      </c>
      <c r="PK43" s="336">
        <v>451455</v>
      </c>
      <c r="PL43" s="336">
        <v>289750</v>
      </c>
      <c r="PM43" s="336">
        <v>420000</v>
      </c>
      <c r="PN43" s="336">
        <v>0</v>
      </c>
      <c r="PO43" s="336">
        <v>0</v>
      </c>
      <c r="PP43" s="336">
        <v>0</v>
      </c>
      <c r="PQ43" s="336">
        <v>0</v>
      </c>
      <c r="PR43" s="336">
        <v>0</v>
      </c>
      <c r="PS43" s="336">
        <v>0</v>
      </c>
      <c r="PT43" s="336">
        <v>0</v>
      </c>
      <c r="PU43" s="336">
        <v>0</v>
      </c>
      <c r="PV43" s="336">
        <v>0</v>
      </c>
      <c r="PW43" s="336">
        <v>0</v>
      </c>
      <c r="PX43" s="336">
        <v>0</v>
      </c>
      <c r="PY43" s="336">
        <v>0</v>
      </c>
      <c r="PZ43" s="336">
        <v>0</v>
      </c>
      <c r="QA43" s="336">
        <v>0</v>
      </c>
      <c r="QB43" s="336">
        <v>0</v>
      </c>
      <c r="QC43" s="336">
        <v>0</v>
      </c>
      <c r="QD43" s="336">
        <v>-709750</v>
      </c>
      <c r="QE43" s="336">
        <v>480879</v>
      </c>
      <c r="QF43" s="336">
        <v>0</v>
      </c>
      <c r="QG43" s="336">
        <v>0</v>
      </c>
      <c r="QH43" s="336">
        <v>0</v>
      </c>
      <c r="QI43" s="336">
        <v>0</v>
      </c>
      <c r="QJ43" s="336">
        <v>0</v>
      </c>
      <c r="QK43" s="336">
        <v>0</v>
      </c>
      <c r="QL43" s="336">
        <v>0</v>
      </c>
      <c r="QM43" s="336">
        <v>0</v>
      </c>
      <c r="QN43" s="336">
        <v>0</v>
      </c>
      <c r="QO43" s="336">
        <v>0</v>
      </c>
      <c r="QP43" s="336">
        <v>0</v>
      </c>
      <c r="QQ43" s="336">
        <v>0</v>
      </c>
      <c r="QR43" s="336">
        <v>0</v>
      </c>
      <c r="QS43" s="336">
        <v>0</v>
      </c>
      <c r="QT43" s="336">
        <v>0</v>
      </c>
      <c r="QU43" s="336">
        <v>0</v>
      </c>
      <c r="QV43" s="336">
        <v>0</v>
      </c>
      <c r="QW43" s="336">
        <v>0</v>
      </c>
      <c r="QX43" s="336">
        <v>0</v>
      </c>
      <c r="QY43" s="336">
        <v>0</v>
      </c>
      <c r="QZ43" s="336">
        <v>0</v>
      </c>
      <c r="RA43" s="336">
        <v>0</v>
      </c>
      <c r="RB43" s="336">
        <v>0</v>
      </c>
      <c r="RC43" s="336">
        <v>0</v>
      </c>
      <c r="RD43" s="336">
        <v>0</v>
      </c>
      <c r="RE43" s="336">
        <v>0</v>
      </c>
      <c r="RF43" s="336">
        <v>0</v>
      </c>
      <c r="RG43" s="336">
        <v>0</v>
      </c>
      <c r="RH43" s="336">
        <v>0</v>
      </c>
      <c r="RI43" s="336">
        <v>0</v>
      </c>
      <c r="RJ43" s="336">
        <v>0</v>
      </c>
      <c r="RK43" s="336">
        <v>0</v>
      </c>
      <c r="RL43" s="336">
        <v>0</v>
      </c>
      <c r="RM43" s="336">
        <v>0</v>
      </c>
      <c r="RN43" s="336">
        <v>0</v>
      </c>
      <c r="RO43" s="336">
        <v>-925370</v>
      </c>
      <c r="RP43" s="336">
        <v>0</v>
      </c>
      <c r="RQ43" s="336">
        <v>0</v>
      </c>
      <c r="RR43" s="336">
        <v>0</v>
      </c>
      <c r="RS43" s="336">
        <v>0</v>
      </c>
      <c r="RT43" s="336">
        <v>0</v>
      </c>
      <c r="RU43" s="336">
        <v>0</v>
      </c>
      <c r="RV43" s="336">
        <v>0</v>
      </c>
      <c r="RW43" s="336">
        <v>0</v>
      </c>
      <c r="RX43" s="336">
        <v>0</v>
      </c>
      <c r="RY43" s="336">
        <v>0</v>
      </c>
      <c r="RZ43" s="336">
        <v>0</v>
      </c>
      <c r="SA43" s="336">
        <v>0</v>
      </c>
      <c r="SB43" s="336">
        <v>0</v>
      </c>
      <c r="SC43" s="336">
        <v>0</v>
      </c>
      <c r="SD43" s="336">
        <v>0</v>
      </c>
      <c r="SE43" s="336">
        <v>0</v>
      </c>
      <c r="SF43" s="336">
        <v>0</v>
      </c>
      <c r="SG43" s="336">
        <v>0</v>
      </c>
      <c r="SH43" s="336">
        <v>0</v>
      </c>
      <c r="SI43" s="336">
        <v>0</v>
      </c>
      <c r="SJ43" s="336">
        <v>0</v>
      </c>
      <c r="SK43" s="336">
        <v>0</v>
      </c>
      <c r="SL43" s="336">
        <v>0</v>
      </c>
      <c r="SM43" s="336">
        <v>0</v>
      </c>
      <c r="SN43" s="336">
        <v>0</v>
      </c>
      <c r="SO43" s="336">
        <v>0</v>
      </c>
      <c r="SP43" s="336">
        <v>50000</v>
      </c>
      <c r="SQ43" s="336">
        <v>0</v>
      </c>
      <c r="SR43" s="336">
        <v>21368</v>
      </c>
      <c r="SS43" s="336">
        <v>0</v>
      </c>
      <c r="ST43" s="336">
        <v>147756</v>
      </c>
      <c r="SU43" s="336">
        <v>0</v>
      </c>
      <c r="SV43" s="336">
        <v>0</v>
      </c>
      <c r="SW43" s="336">
        <v>246276</v>
      </c>
      <c r="SX43" s="336">
        <v>0</v>
      </c>
      <c r="SY43" s="336">
        <v>0</v>
      </c>
      <c r="SZ43" s="336" t="s">
        <v>1420</v>
      </c>
      <c r="TA43" s="336" t="s">
        <v>1420</v>
      </c>
      <c r="TB43" s="336" t="s">
        <v>1420</v>
      </c>
      <c r="TC43" s="336">
        <v>27263</v>
      </c>
      <c r="TD43" s="336">
        <v>0</v>
      </c>
      <c r="TE43" s="336">
        <v>0</v>
      </c>
      <c r="TF43" s="336">
        <v>0</v>
      </c>
      <c r="TG43" s="336">
        <v>141861</v>
      </c>
      <c r="TH43" s="336">
        <v>0</v>
      </c>
      <c r="TI43" s="336">
        <v>0</v>
      </c>
      <c r="TJ43" s="336">
        <v>0</v>
      </c>
      <c r="TK43" s="336">
        <v>0</v>
      </c>
      <c r="TL43" s="336">
        <v>0</v>
      </c>
      <c r="TM43" s="336">
        <v>0</v>
      </c>
      <c r="TN43" s="336">
        <v>0</v>
      </c>
      <c r="TO43" s="336">
        <v>0</v>
      </c>
      <c r="TP43" s="336">
        <v>0</v>
      </c>
      <c r="TQ43" s="336">
        <v>0</v>
      </c>
      <c r="TR43" s="336">
        <v>0</v>
      </c>
      <c r="TS43" s="336">
        <v>0</v>
      </c>
      <c r="TT43" s="336">
        <v>0</v>
      </c>
      <c r="TU43" s="336">
        <v>0</v>
      </c>
      <c r="TV43" s="336">
        <v>0</v>
      </c>
      <c r="TW43" s="336">
        <v>0</v>
      </c>
      <c r="TX43" s="336">
        <v>0</v>
      </c>
      <c r="TY43" s="336">
        <v>0</v>
      </c>
      <c r="TZ43" s="336">
        <v>0</v>
      </c>
      <c r="UA43" s="336">
        <v>0</v>
      </c>
      <c r="UB43" s="336">
        <v>0</v>
      </c>
      <c r="UC43" s="336">
        <v>0</v>
      </c>
      <c r="UD43" s="336">
        <v>0</v>
      </c>
      <c r="UE43" s="336">
        <v>0</v>
      </c>
      <c r="UF43" s="336">
        <v>0</v>
      </c>
      <c r="UG43" s="336">
        <v>0</v>
      </c>
      <c r="UH43" s="336">
        <v>4331280</v>
      </c>
      <c r="UI43" s="336">
        <v>4807</v>
      </c>
      <c r="UJ43" s="336">
        <v>0</v>
      </c>
      <c r="UK43" s="336">
        <v>0</v>
      </c>
      <c r="UL43" s="336">
        <v>751220</v>
      </c>
      <c r="UM43" s="336">
        <v>1354999</v>
      </c>
      <c r="UN43" s="336">
        <v>1404772</v>
      </c>
      <c r="UO43" s="336">
        <v>401657</v>
      </c>
      <c r="UP43" s="336">
        <v>874912</v>
      </c>
      <c r="UQ43" s="336">
        <v>5009</v>
      </c>
      <c r="UR43"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169124</v>
      </c>
      <c r="US43" s="338">
        <f>SUM(Input[[#This Row],[Oth Exp E&amp;G]],Input[[#This Row],[Oth Exp Desg]],Input[[#This Row],[Oth Exp Aux]],Input[[#This Row],[Oth Exp R Exp]],Input[[#This Row],[Oth Exp Loan]],Input[[#This Row],[Oth Exp Annuity]],Input[[#This Row],[Oth Exp Unexp]],Input[[#This Row],[Oth Exp R of Ind]],Input[[#This Row],[Oth Exp Inv in P]])</f>
        <v>265657</v>
      </c>
      <c r="UT43" s="336">
        <v>0</v>
      </c>
      <c r="UU43" s="336">
        <v>0</v>
      </c>
      <c r="UV43" s="339" t="s">
        <v>1569</v>
      </c>
      <c r="UW43" s="340">
        <v>2547497398</v>
      </c>
      <c r="UX43" s="339" t="s">
        <v>1570</v>
      </c>
      <c r="UY43" s="339" t="s">
        <v>1571</v>
      </c>
      <c r="UZ43" s="340">
        <v>2548673895</v>
      </c>
      <c r="VA43" s="339" t="s">
        <v>1572</v>
      </c>
      <c r="VB43" s="341" cm="1">
        <f t="array" ref="VB43">IFERROR(_xlfn.IFS(Input[[#This Row],[Type]]="HRI",VLOOKUP(Input[[#This Row],[Institution Name]],FTSEHRI[],9,FALSE),Input[[#This Row],[Type]]="UNIV",VLOOKUP(Input[[#This Row],[Institution Name]],FTSEUNIV[],9,FALSE),OR(Input[[#This Row],[Type]]="TSTC",Input[[#This Row],[Type]]="LSC"),VLOOKUP(Input[[#This Row],[Institution Name]],FTSETSTC[],8,FALSE)),"N/A")</f>
        <v>262.23</v>
      </c>
      <c r="VC43" s="342" t="str" cm="1">
        <f t="array" ref="VC43">IFERROR(_xlfn.IFS(Input[[#This Row],[Type]]="HRI",VLOOKUP(Input[[#This Row],[Institution Name]],FTSEHRI[],11,FALSE),Input[[#This Row],[Type]]="UNIV",VLOOKUP(Input[[#This Row],[Institution Name]],FTSEUNIV[],11,FALSE),Input[[#This Row],[Type]]="TSTC",VLOOKUP(Input[[#This Row],[Institution Name]],FTSETSTC[],10,FALSE)),"N/A")</f>
        <v>N/A</v>
      </c>
      <c r="VD43"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8734880</v>
      </c>
      <c r="VE43"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43" s="338">
        <f>SUM(Input[[#This Row],[Fed G&amp;C E&amp;G]],Input[[#This Row],[Fed G&amp;C Desg]],Input[[#This Row],[Fed G&amp;C R Exp]],Input[[#This Row],[Fed G&amp;C Loan]],Input[[#This Row],[Fed G&amp;C Annuity]],Input[[#This Row],[Fed G&amp;C Unexp]],Input[[#This Row],[Fed G&amp;C R of Ind]],Input[[#This Row],[Fed G&amp;C Inv in P]])</f>
        <v>1272743</v>
      </c>
      <c r="VG43"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318967</v>
      </c>
      <c r="VH43"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1053148</v>
      </c>
      <c r="VI43"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J43" s="338">
        <f>SUM(Input[[#This Row],[Oth Inc E&amp;G]],Input[[#This Row],[Oth Exp Desg]],Input[[#This Row],[Oth Exp R Exp]],Input[[#This Row],[Oth Exp Loan]],Input[[#This Row],[Oth Exp Annuity]],Input[[#This Row],[Oth Exp Unexp]],Input[[#This Row],[Oth Exp R of Ind]],Input[[#This Row],[Oth Exp Inv in P]])</f>
        <v>265657</v>
      </c>
      <c r="VK43" s="343">
        <f>SUM(Input[[#This Row],[Instr E&amp;G]],Input[[#This Row],[Instr Desg]],Input[[#This Row],[Instr R Exp]],Input[[#This Row],[Instr Loan]],Input[[#This Row],[Instr Annuity]],Input[[#This Row],[Instr Unexp]],Input[[#This Row],[Instr R of Ind]],Input[[#This Row],[Instr Inv in P]])</f>
        <v>4331280</v>
      </c>
      <c r="VL43" s="343">
        <f>SUM(Input[[#This Row],[Res E&amp;G]],Input[[#This Row],[Res Desg]],Input[[#This Row],[Res R Exp]],Input[[#This Row],[Res Loan]],Input[[#This Row],[Res Annuity]],Input[[#This Row],[Res Unexp]],Input[[#This Row],[Res R of Ind]],Input[[#This Row],[Res Inv in P]])</f>
        <v>4807</v>
      </c>
      <c r="VM43" s="343">
        <f>SUM(Input[[#This Row],[Acad Sup E&amp;G]],Input[[#This Row],[Acad Sup Desg]],Input[[#This Row],[Acad Sup R Exp]],Input[[#This Row],[Acad Sup Loan]],Input[[#This Row],[Acad Sup Annuity]],Input[[#This Row],[Acad Sup Unexp]],Input[[#This Row],[Acad Sup R of Ind]],Input[[#This Row],[Acad Sup Inv in P]])</f>
        <v>751220</v>
      </c>
      <c r="VN43" s="343">
        <f>SUM(Input[[#This Row],[Stu Svc E&amp;G]],Input[[#This Row],[Stu Svc Desg]],Input[[#This Row],[Stu Svc R Exp]],Input[[#This Row],[Stu Svc Loan]],Input[[#This Row],[Stu Svc Annuity]],Input[[#This Row],[Stu Svc Unexp]],Input[[#This Row],[Stu Svc R of Ind]],Input[[#This Row],[Stu Svc Inv in P]])</f>
        <v>1354999</v>
      </c>
      <c r="VO43" s="343">
        <f>SUM(Input[[#This Row],[Inst. Spt E&amp;G]],Input[[#This Row],[Inst. Spt Desg]],Input[[#This Row],[Inst. Spt R Exp]],Input[[#This Row],[Inst. Spt Loan]],Input[[#This Row],[Inst. Spt Annuity]],Input[[#This Row],[Inst. Spt Unexp]],Input[[#This Row],[Inst. Spt R of Ind]],Input[[#This Row],[Inst. Spt Inv in P]])</f>
        <v>1404772</v>
      </c>
      <c r="VP43" s="343">
        <f>SUM(Input[[#This Row],[M&amp;O Plnt E&amp;G]],Input[[#This Row],[M&amp;O Plnt Desg]],Input[[#This Row],[M&amp;O Plnt R Exp]],Input[[#This Row],[M&amp;O Plnt Loan]],Input[[#This Row],[M&amp;O Plnt Annuity]],Input[[#This Row],[M&amp;O Plnt Unexp]],Input[[#This Row],[M&amp;O Plnt R of Ind]],Input[[#This Row],[M&amp;O Plnt Inv in P]])</f>
        <v>401657</v>
      </c>
      <c r="VQ43" s="343">
        <f>SUM(Input[[#This Row],[Schl &amp; Fell E&amp;G]],Input[[#This Row],[Schl &amp; Fell Desg]],Input[[#This Row],[Schl &amp; Fell R Exp]],Input[[#This Row],[Schl &amp; Fell Loan]],Input[[#This Row],[Schl &amp; Fell Annuity]],Input[[#This Row],[Schl &amp; Fell Unexp]],Input[[#This Row],[Schl &amp; Fell R of Ind]],Input[[#This Row],[Schl &amp; Fell Inv in P]])</f>
        <v>874912</v>
      </c>
      <c r="VR43" s="343">
        <f>SUM(Input[[#This Row],[Cap Out fund E&amp;G]],Input[[#This Row],[Cap Out fund Desg]],Input[[#This Row],[Cap Out fund R Exp]],Input[[#This Row],[Cap Out fund Loan]],Input[[#This Row],[Cap Out fund Annuity]],Input[[#This Row],[Cap Out fund Unexp]],Input[[#This Row],[Cap Out fund R of Ind]],Input[[#This Row],[Cap Out fund Inv in P]])</f>
        <v>169124</v>
      </c>
      <c r="VS43" s="343">
        <f>SUM(Input[[#This Row],[Oth Exp E&amp;G]],Input[[#This Row],[Oth Exp Desg]],Input[[#This Row],[Oth Exp R Exp]],Input[[#This Row],[Oth Exp Loan]],Input[[#This Row],[Oth Exp Annuity]],Input[[#This Row],[Oth Exp Unexp]],Input[[#This Row],[Oth Exp R of Ind]],Input[[#This Row],[Oth Exp Inv in P]],Input[[#This Row],[Oth Exp Inv in P]])</f>
        <v>265657</v>
      </c>
    </row>
    <row r="44" spans="1:591" s="344" customFormat="1" ht="27" customHeight="1" x14ac:dyDescent="0.55000000000000004">
      <c r="A44" s="339" t="s">
        <v>55</v>
      </c>
      <c r="B44" s="334" t="s">
        <v>20</v>
      </c>
      <c r="C44" s="334" t="s">
        <v>20</v>
      </c>
      <c r="D44" s="334">
        <v>550</v>
      </c>
      <c r="E44" s="334" t="s">
        <v>1622</v>
      </c>
      <c r="F44" s="335">
        <v>3634</v>
      </c>
      <c r="G44" s="336">
        <v>67160003</v>
      </c>
      <c r="H44" s="336">
        <v>0</v>
      </c>
      <c r="I44" s="336">
        <v>0</v>
      </c>
      <c r="J44" s="336">
        <v>0</v>
      </c>
      <c r="K44" s="336">
        <v>0</v>
      </c>
      <c r="L44" s="336">
        <v>0</v>
      </c>
      <c r="M44" s="336">
        <v>0</v>
      </c>
      <c r="N44" s="336">
        <v>0</v>
      </c>
      <c r="O44" s="336">
        <v>0</v>
      </c>
      <c r="P44" s="336">
        <v>0</v>
      </c>
      <c r="Q44" s="336">
        <v>0</v>
      </c>
      <c r="R44" s="336">
        <v>0</v>
      </c>
      <c r="S44" s="336">
        <v>4446770</v>
      </c>
      <c r="T44" s="336">
        <v>0</v>
      </c>
      <c r="U44" s="336">
        <v>0</v>
      </c>
      <c r="V44" s="336">
        <v>0</v>
      </c>
      <c r="W44" s="336">
        <v>0</v>
      </c>
      <c r="X44" s="336">
        <v>0</v>
      </c>
      <c r="Y44" s="336">
        <v>5235201</v>
      </c>
      <c r="Z44" s="336">
        <v>0</v>
      </c>
      <c r="AA44" s="336">
        <v>0</v>
      </c>
      <c r="AB44" s="336">
        <v>0</v>
      </c>
      <c r="AC44" s="336">
        <v>0</v>
      </c>
      <c r="AD44" s="336">
        <v>0</v>
      </c>
      <c r="AE44" s="336">
        <v>0</v>
      </c>
      <c r="AF44" s="336">
        <v>0</v>
      </c>
      <c r="AG44" s="336">
        <v>0</v>
      </c>
      <c r="AH44" s="336">
        <v>0</v>
      </c>
      <c r="AI44" s="336">
        <v>0</v>
      </c>
      <c r="AJ44" s="336">
        <v>0</v>
      </c>
      <c r="AK44" s="336">
        <v>0</v>
      </c>
      <c r="AL44" s="336">
        <v>0</v>
      </c>
      <c r="AM44" s="336">
        <v>0</v>
      </c>
      <c r="AN44" s="336">
        <v>0</v>
      </c>
      <c r="AO44" s="336">
        <v>0</v>
      </c>
      <c r="AP44" s="336">
        <v>0</v>
      </c>
      <c r="AQ44" s="336">
        <v>-157244</v>
      </c>
      <c r="AR44" s="336">
        <v>0</v>
      </c>
      <c r="AS44" s="336">
        <v>0</v>
      </c>
      <c r="AT44" s="336">
        <v>0</v>
      </c>
      <c r="AU44" s="336">
        <v>0</v>
      </c>
      <c r="AV44" s="336">
        <v>0</v>
      </c>
      <c r="AW44" s="336">
        <v>0</v>
      </c>
      <c r="AX44" s="336">
        <v>0</v>
      </c>
      <c r="AY44" s="336">
        <v>0</v>
      </c>
      <c r="AZ44" s="336">
        <v>0</v>
      </c>
      <c r="BA44" s="336">
        <v>0</v>
      </c>
      <c r="BB44" s="336">
        <v>0</v>
      </c>
      <c r="BC44" s="336">
        <v>0</v>
      </c>
      <c r="BD44" s="336">
        <v>0</v>
      </c>
      <c r="BE44" s="336">
        <v>0</v>
      </c>
      <c r="BF44" s="336">
        <v>0</v>
      </c>
      <c r="BG44" s="336">
        <v>0</v>
      </c>
      <c r="BH44" s="336">
        <v>0</v>
      </c>
      <c r="BI44" s="336">
        <v>0</v>
      </c>
      <c r="BJ44" s="336">
        <v>0</v>
      </c>
      <c r="BK44" s="336">
        <v>0</v>
      </c>
      <c r="BL44" s="336">
        <v>0</v>
      </c>
      <c r="BM44" s="336">
        <v>0</v>
      </c>
      <c r="BN44" s="336">
        <v>0</v>
      </c>
      <c r="BO44" s="336">
        <v>0</v>
      </c>
      <c r="BP44" s="336">
        <v>0</v>
      </c>
      <c r="BQ44" s="336">
        <v>0</v>
      </c>
      <c r="BR44" s="336">
        <v>0</v>
      </c>
      <c r="BS44" s="336">
        <v>0</v>
      </c>
      <c r="BT44" s="336">
        <v>0</v>
      </c>
      <c r="BU44" s="336">
        <v>0</v>
      </c>
      <c r="BV44" s="336">
        <v>0</v>
      </c>
      <c r="BW44" s="336">
        <v>0</v>
      </c>
      <c r="BX44" s="336">
        <v>0</v>
      </c>
      <c r="BY44" s="336">
        <v>0</v>
      </c>
      <c r="BZ44" s="336">
        <v>0</v>
      </c>
      <c r="CA44" s="336">
        <v>4354898</v>
      </c>
      <c r="CB44" s="336">
        <v>28699603</v>
      </c>
      <c r="CC44" s="336">
        <v>0</v>
      </c>
      <c r="CD44" s="336">
        <v>0</v>
      </c>
      <c r="CE44" s="336">
        <v>0</v>
      </c>
      <c r="CF44" s="336">
        <v>0</v>
      </c>
      <c r="CG44" s="336">
        <v>0</v>
      </c>
      <c r="CH44" s="336">
        <v>0</v>
      </c>
      <c r="CI44" s="336">
        <v>0</v>
      </c>
      <c r="CJ44" s="336">
        <v>0</v>
      </c>
      <c r="CK44" s="336">
        <v>0</v>
      </c>
      <c r="CL44" s="336">
        <v>0</v>
      </c>
      <c r="CM44" s="336">
        <v>0</v>
      </c>
      <c r="CN44" s="336">
        <v>0</v>
      </c>
      <c r="CO44" s="336">
        <v>0</v>
      </c>
      <c r="CP44" s="336">
        <v>0</v>
      </c>
      <c r="CQ44" s="336">
        <v>0</v>
      </c>
      <c r="CR44" s="336">
        <v>0</v>
      </c>
      <c r="CS44" s="336">
        <v>0</v>
      </c>
      <c r="CT44" s="336">
        <v>0</v>
      </c>
      <c r="CU44" s="336">
        <v>0</v>
      </c>
      <c r="CV44" s="336">
        <v>0</v>
      </c>
      <c r="CW44" s="336">
        <v>0</v>
      </c>
      <c r="CX44" s="336">
        <v>0</v>
      </c>
      <c r="CY44" s="336">
        <v>0</v>
      </c>
      <c r="CZ44" s="336">
        <v>0</v>
      </c>
      <c r="DA44" s="336">
        <v>0</v>
      </c>
      <c r="DB44" s="336">
        <v>-690341</v>
      </c>
      <c r="DC44" s="336">
        <v>-1433683</v>
      </c>
      <c r="DD44" s="336">
        <v>0</v>
      </c>
      <c r="DE44" s="336">
        <v>0</v>
      </c>
      <c r="DF44" s="336">
        <v>0</v>
      </c>
      <c r="DG44" s="336">
        <v>0</v>
      </c>
      <c r="DH44" s="336">
        <v>0</v>
      </c>
      <c r="DI44" s="336">
        <v>0</v>
      </c>
      <c r="DJ44" s="336">
        <v>0</v>
      </c>
      <c r="DK44" s="336">
        <v>0</v>
      </c>
      <c r="DL44" s="336">
        <v>0</v>
      </c>
      <c r="DM44" s="336">
        <v>0</v>
      </c>
      <c r="DN44" s="336">
        <v>0</v>
      </c>
      <c r="DO44" s="336">
        <v>0</v>
      </c>
      <c r="DP44" s="336">
        <v>0</v>
      </c>
      <c r="DQ44" s="336">
        <v>0</v>
      </c>
      <c r="DR44" s="336">
        <v>0</v>
      </c>
      <c r="DS44" s="336">
        <v>0</v>
      </c>
      <c r="DT44" s="336">
        <v>-981779</v>
      </c>
      <c r="DU44" s="336">
        <v>-11122085</v>
      </c>
      <c r="DV44" s="336">
        <v>0</v>
      </c>
      <c r="DW44" s="336">
        <v>0</v>
      </c>
      <c r="DX44" s="336">
        <v>0</v>
      </c>
      <c r="DY44" s="336">
        <v>0</v>
      </c>
      <c r="DZ44" s="336">
        <v>0</v>
      </c>
      <c r="EA44" s="336">
        <v>0</v>
      </c>
      <c r="EB44" s="336">
        <v>0</v>
      </c>
      <c r="EC44" s="336">
        <v>0</v>
      </c>
      <c r="ED44" s="336">
        <v>0</v>
      </c>
      <c r="EE44" s="336">
        <v>0</v>
      </c>
      <c r="EF44" s="336">
        <v>0</v>
      </c>
      <c r="EG44" s="336">
        <v>0</v>
      </c>
      <c r="EH44" s="336">
        <v>0</v>
      </c>
      <c r="EI44" s="336">
        <v>0</v>
      </c>
      <c r="EJ44" s="336">
        <v>0</v>
      </c>
      <c r="EK44" s="336">
        <v>0</v>
      </c>
      <c r="EL44" s="336">
        <v>0</v>
      </c>
      <c r="EM44" s="336">
        <v>0</v>
      </c>
      <c r="EN44" s="336">
        <v>0</v>
      </c>
      <c r="EO44" s="336">
        <v>0</v>
      </c>
      <c r="EP44" s="336">
        <v>0</v>
      </c>
      <c r="EQ44" s="336">
        <v>0</v>
      </c>
      <c r="ER44" s="336">
        <v>0</v>
      </c>
      <c r="ES44" s="336">
        <v>0</v>
      </c>
      <c r="ET44" s="336">
        <v>0</v>
      </c>
      <c r="EU44" s="336">
        <v>0</v>
      </c>
      <c r="EV44" s="336">
        <v>0</v>
      </c>
      <c r="EW44" s="336">
        <v>0</v>
      </c>
      <c r="EX44" s="336">
        <v>0</v>
      </c>
      <c r="EY44" s="336">
        <v>0</v>
      </c>
      <c r="EZ44" s="336">
        <v>0</v>
      </c>
      <c r="FA44" s="336">
        <v>0</v>
      </c>
      <c r="FB44" s="336">
        <v>0</v>
      </c>
      <c r="FC44" s="336">
        <v>0</v>
      </c>
      <c r="FD44" s="336">
        <v>0</v>
      </c>
      <c r="FE44" s="336">
        <v>0</v>
      </c>
      <c r="FF44" s="336">
        <v>0</v>
      </c>
      <c r="FG44" s="336">
        <v>0</v>
      </c>
      <c r="FH44" s="336">
        <v>0</v>
      </c>
      <c r="FI44" s="336">
        <v>0</v>
      </c>
      <c r="FJ44" s="336">
        <v>0</v>
      </c>
      <c r="FK44" s="336">
        <v>0</v>
      </c>
      <c r="FL44" s="336">
        <v>0</v>
      </c>
      <c r="FM44" s="336">
        <v>5566</v>
      </c>
      <c r="FN44" s="336">
        <v>2262696</v>
      </c>
      <c r="FO44" s="336">
        <v>0</v>
      </c>
      <c r="FP44" s="336">
        <v>0</v>
      </c>
      <c r="FQ44" s="336">
        <v>0</v>
      </c>
      <c r="FR44" s="336">
        <v>0</v>
      </c>
      <c r="FS44" s="336">
        <v>0</v>
      </c>
      <c r="FT44" s="336">
        <v>0</v>
      </c>
      <c r="FU44" s="336">
        <v>0</v>
      </c>
      <c r="FV44" s="336">
        <v>0</v>
      </c>
      <c r="FW44" s="336">
        <v>0</v>
      </c>
      <c r="FX44" s="336">
        <v>0</v>
      </c>
      <c r="FY44" s="336">
        <v>0</v>
      </c>
      <c r="FZ44" s="336">
        <v>0</v>
      </c>
      <c r="GA44" s="336">
        <v>0</v>
      </c>
      <c r="GB44" s="336">
        <v>0</v>
      </c>
      <c r="GC44" s="336">
        <v>0</v>
      </c>
      <c r="GD44" s="336">
        <v>0</v>
      </c>
      <c r="GE44" s="336">
        <v>0</v>
      </c>
      <c r="GF44" s="336">
        <v>0</v>
      </c>
      <c r="GG44" s="336">
        <v>0</v>
      </c>
      <c r="GH44" s="336">
        <v>0</v>
      </c>
      <c r="GI44" s="336">
        <v>0</v>
      </c>
      <c r="GJ44" s="336">
        <v>0</v>
      </c>
      <c r="GK44" s="336">
        <v>0</v>
      </c>
      <c r="GL44" s="336">
        <v>0</v>
      </c>
      <c r="GM44" s="336">
        <v>0</v>
      </c>
      <c r="GN44" s="336">
        <v>0</v>
      </c>
      <c r="GO44" s="336">
        <v>0</v>
      </c>
      <c r="GP44" s="336">
        <v>0</v>
      </c>
      <c r="GQ44" s="336">
        <v>0</v>
      </c>
      <c r="GR44" s="336">
        <v>0</v>
      </c>
      <c r="GS44" s="336">
        <v>0</v>
      </c>
      <c r="GT44" s="336">
        <v>0</v>
      </c>
      <c r="GU44" s="336">
        <v>0</v>
      </c>
      <c r="GV44" s="336">
        <v>0</v>
      </c>
      <c r="GW44" s="336">
        <v>0</v>
      </c>
      <c r="GX44" s="336">
        <v>0</v>
      </c>
      <c r="GY44" s="336">
        <v>0</v>
      </c>
      <c r="GZ44" s="336">
        <v>0</v>
      </c>
      <c r="HA44" s="336">
        <v>0</v>
      </c>
      <c r="HB44" s="336">
        <v>0</v>
      </c>
      <c r="HC44" s="336">
        <v>0</v>
      </c>
      <c r="HD44" s="336">
        <v>0</v>
      </c>
      <c r="HE44" s="336">
        <v>0</v>
      </c>
      <c r="HF44" s="336">
        <v>0</v>
      </c>
      <c r="HG44" s="336">
        <v>0</v>
      </c>
      <c r="HH44" s="336">
        <v>0</v>
      </c>
      <c r="HI44" s="336">
        <v>0</v>
      </c>
      <c r="HJ44" s="336">
        <v>0</v>
      </c>
      <c r="HK44" s="336">
        <v>0</v>
      </c>
      <c r="HL44" s="336">
        <v>0</v>
      </c>
      <c r="HM44" s="336">
        <v>0</v>
      </c>
      <c r="HN44" s="336">
        <v>0</v>
      </c>
      <c r="HO44" s="336">
        <v>0</v>
      </c>
      <c r="HP44" s="336">
        <v>0</v>
      </c>
      <c r="HQ44" s="336">
        <v>0</v>
      </c>
      <c r="HR44" s="336">
        <v>23295099</v>
      </c>
      <c r="HS44" s="336">
        <v>0</v>
      </c>
      <c r="HT44" s="336">
        <v>0</v>
      </c>
      <c r="HU44" s="336">
        <v>0</v>
      </c>
      <c r="HV44" s="336">
        <v>0</v>
      </c>
      <c r="HW44" s="336">
        <v>0</v>
      </c>
      <c r="HX44" s="336">
        <v>0</v>
      </c>
      <c r="HY44" s="336">
        <v>0</v>
      </c>
      <c r="HZ44" s="336">
        <v>0</v>
      </c>
      <c r="IA44" s="336">
        <v>0</v>
      </c>
      <c r="IB44" s="336">
        <v>0</v>
      </c>
      <c r="IC44" s="336">
        <v>0</v>
      </c>
      <c r="ID44" s="336">
        <v>0</v>
      </c>
      <c r="IE44" s="336">
        <v>0</v>
      </c>
      <c r="IF44" s="336">
        <v>0</v>
      </c>
      <c r="IG44" s="336">
        <v>0</v>
      </c>
      <c r="IH44" s="336">
        <v>0</v>
      </c>
      <c r="II44" s="336">
        <v>0</v>
      </c>
      <c r="IJ44" s="336">
        <v>0</v>
      </c>
      <c r="IK44" s="336">
        <v>0</v>
      </c>
      <c r="IL44" s="336">
        <v>0</v>
      </c>
      <c r="IM44" s="336">
        <v>0</v>
      </c>
      <c r="IN44" s="336">
        <v>0</v>
      </c>
      <c r="IO44" s="336">
        <v>0</v>
      </c>
      <c r="IP44" s="336">
        <v>0</v>
      </c>
      <c r="IQ44" s="336">
        <v>138</v>
      </c>
      <c r="IR44" s="336">
        <v>0</v>
      </c>
      <c r="IS44" s="336">
        <v>3903</v>
      </c>
      <c r="IT44" s="336">
        <v>0</v>
      </c>
      <c r="IU44" s="336">
        <v>0</v>
      </c>
      <c r="IV44" s="336">
        <v>233674</v>
      </c>
      <c r="IW44" s="336">
        <v>22002</v>
      </c>
      <c r="IX44" s="336">
        <v>0</v>
      </c>
      <c r="IY44" s="336">
        <v>0</v>
      </c>
      <c r="IZ44" s="336">
        <v>0</v>
      </c>
      <c r="JA44" s="336">
        <v>0</v>
      </c>
      <c r="JB44" s="336">
        <v>2264026</v>
      </c>
      <c r="JC44" s="336">
        <v>0</v>
      </c>
      <c r="JD44" s="336">
        <v>0</v>
      </c>
      <c r="JE44" s="336">
        <v>0</v>
      </c>
      <c r="JF44" s="336">
        <v>0</v>
      </c>
      <c r="JG44" s="336">
        <v>0</v>
      </c>
      <c r="JH44" s="336">
        <v>0</v>
      </c>
      <c r="JI44" s="336">
        <v>378032</v>
      </c>
      <c r="JJ44" s="336">
        <v>0</v>
      </c>
      <c r="JK44" s="336">
        <v>241810</v>
      </c>
      <c r="JL44" s="336">
        <v>0</v>
      </c>
      <c r="JM44" s="336">
        <v>0</v>
      </c>
      <c r="JN44" s="336">
        <v>0</v>
      </c>
      <c r="JO44" s="336">
        <v>1139860</v>
      </c>
      <c r="JP44" s="336">
        <v>0</v>
      </c>
      <c r="JQ44" s="336">
        <v>0</v>
      </c>
      <c r="JR44" s="336">
        <v>2638530</v>
      </c>
      <c r="JS44" s="336">
        <v>0</v>
      </c>
      <c r="JT44" s="336">
        <v>171437</v>
      </c>
      <c r="JU44" s="336">
        <v>0</v>
      </c>
      <c r="JV44" s="336">
        <v>0</v>
      </c>
      <c r="JW44" s="336">
        <v>0</v>
      </c>
      <c r="JX44" s="336">
        <v>0</v>
      </c>
      <c r="JY44" s="336">
        <v>0</v>
      </c>
      <c r="JZ44" s="336">
        <v>0</v>
      </c>
      <c r="KA44" s="336">
        <v>0</v>
      </c>
      <c r="KB44" s="336">
        <v>4835929</v>
      </c>
      <c r="KC44" s="336">
        <v>0</v>
      </c>
      <c r="KD44" s="336">
        <v>0</v>
      </c>
      <c r="KE44" s="336">
        <v>0</v>
      </c>
      <c r="KF44" s="336">
        <v>0</v>
      </c>
      <c r="KG44" s="336">
        <v>0</v>
      </c>
      <c r="KH44" s="336">
        <v>0</v>
      </c>
      <c r="KI44" s="336">
        <v>0</v>
      </c>
      <c r="KJ44" s="336">
        <v>3074</v>
      </c>
      <c r="KK44" s="336">
        <v>0</v>
      </c>
      <c r="KL44" s="336">
        <v>0</v>
      </c>
      <c r="KM44" s="336">
        <v>1457</v>
      </c>
      <c r="KN44" s="336">
        <v>0</v>
      </c>
      <c r="KO44" s="336">
        <v>149427</v>
      </c>
      <c r="KP44" s="336">
        <v>-1327722</v>
      </c>
      <c r="KQ44" s="336">
        <v>0</v>
      </c>
      <c r="KR44" s="336">
        <v>36877422</v>
      </c>
      <c r="KS44" s="336">
        <v>6329457</v>
      </c>
      <c r="KT44" s="336">
        <v>29806</v>
      </c>
      <c r="KU44" s="336">
        <v>1569932</v>
      </c>
      <c r="KV44" s="336">
        <v>0</v>
      </c>
      <c r="KW44" s="336">
        <v>0</v>
      </c>
      <c r="KX44" s="336">
        <v>0</v>
      </c>
      <c r="KY44" s="336">
        <v>0</v>
      </c>
      <c r="KZ44" s="336">
        <v>0</v>
      </c>
      <c r="LA44" s="336">
        <v>45463</v>
      </c>
      <c r="LB44" s="336">
        <v>-16524</v>
      </c>
      <c r="LC44" s="336">
        <v>1254</v>
      </c>
      <c r="LD44" s="336">
        <v>5986</v>
      </c>
      <c r="LE44" s="336">
        <v>0</v>
      </c>
      <c r="LF44" s="336">
        <v>0</v>
      </c>
      <c r="LG44" s="336">
        <v>0</v>
      </c>
      <c r="LH44" s="336">
        <v>0</v>
      </c>
      <c r="LI44" s="336">
        <v>0</v>
      </c>
      <c r="LJ44" s="336">
        <v>0</v>
      </c>
      <c r="LK44" s="336">
        <v>0</v>
      </c>
      <c r="LL44" s="336">
        <v>0</v>
      </c>
      <c r="LM44" s="336">
        <v>0</v>
      </c>
      <c r="LN44" s="336">
        <v>0</v>
      </c>
      <c r="LO44" s="336">
        <v>0</v>
      </c>
      <c r="LP44" s="336">
        <v>0</v>
      </c>
      <c r="LQ44" s="336">
        <v>0</v>
      </c>
      <c r="LR44" s="336">
        <v>0</v>
      </c>
      <c r="LS44" s="336">
        <v>0</v>
      </c>
      <c r="LT44" s="336">
        <v>0</v>
      </c>
      <c r="LU44" s="336">
        <v>0</v>
      </c>
      <c r="LV44" s="336">
        <v>0</v>
      </c>
      <c r="LW44" s="336">
        <v>0</v>
      </c>
      <c r="LX44" s="336">
        <v>0</v>
      </c>
      <c r="LY44" s="336">
        <v>0</v>
      </c>
      <c r="LZ44" s="336">
        <v>0</v>
      </c>
      <c r="MA44" s="336">
        <v>0</v>
      </c>
      <c r="MB44" s="336">
        <v>8745950</v>
      </c>
      <c r="MC44" s="336">
        <v>1623927</v>
      </c>
      <c r="MD44" s="336">
        <v>8854</v>
      </c>
      <c r="ME44" s="336">
        <v>252503</v>
      </c>
      <c r="MF44" s="336">
        <v>0</v>
      </c>
      <c r="MG44" s="336">
        <v>0</v>
      </c>
      <c r="MH44" s="336">
        <v>0</v>
      </c>
      <c r="MI44" s="336">
        <v>0</v>
      </c>
      <c r="MJ44" s="336">
        <v>0</v>
      </c>
      <c r="MK44" s="336">
        <v>5961650</v>
      </c>
      <c r="ML44" s="336">
        <v>3121510</v>
      </c>
      <c r="MM44" s="336">
        <v>8836</v>
      </c>
      <c r="MN44" s="336">
        <v>545609</v>
      </c>
      <c r="MO44" s="336">
        <v>0</v>
      </c>
      <c r="MP44" s="336">
        <v>0</v>
      </c>
      <c r="MQ44" s="336">
        <v>0</v>
      </c>
      <c r="MR44" s="336">
        <v>0</v>
      </c>
      <c r="MS44" s="336">
        <v>0</v>
      </c>
      <c r="MT44" s="336">
        <v>9019115</v>
      </c>
      <c r="MU44" s="336">
        <v>4264038</v>
      </c>
      <c r="MV44" s="336">
        <v>12008</v>
      </c>
      <c r="MW44" s="336">
        <v>1486</v>
      </c>
      <c r="MX44" s="336">
        <v>0</v>
      </c>
      <c r="MY44" s="336">
        <v>0</v>
      </c>
      <c r="MZ44" s="336">
        <v>0</v>
      </c>
      <c r="NA44" s="336">
        <v>0</v>
      </c>
      <c r="NB44" s="336">
        <v>0</v>
      </c>
      <c r="NC44" s="336">
        <v>3968202</v>
      </c>
      <c r="ND44" s="336">
        <v>2925649</v>
      </c>
      <c r="NE44" s="336">
        <v>3844</v>
      </c>
      <c r="NF44" s="336">
        <v>101192</v>
      </c>
      <c r="NG44" s="336">
        <v>0</v>
      </c>
      <c r="NH44" s="336">
        <v>0</v>
      </c>
      <c r="NI44" s="336">
        <v>0</v>
      </c>
      <c r="NJ44" s="336">
        <v>0</v>
      </c>
      <c r="NK44" s="336">
        <v>0</v>
      </c>
      <c r="NL44" s="336">
        <v>690341</v>
      </c>
      <c r="NM44" s="336">
        <v>6544454</v>
      </c>
      <c r="NN44" s="336">
        <v>0</v>
      </c>
      <c r="NO44" s="336">
        <v>6057929</v>
      </c>
      <c r="NP44" s="336">
        <v>0</v>
      </c>
      <c r="NQ44" s="336">
        <v>0</v>
      </c>
      <c r="NR44" s="336">
        <v>0</v>
      </c>
      <c r="NS44" s="336">
        <v>0</v>
      </c>
      <c r="NT44" s="336">
        <v>0</v>
      </c>
      <c r="NU44" s="336">
        <v>141286</v>
      </c>
      <c r="NV44" s="336">
        <v>1143</v>
      </c>
      <c r="NW44" s="336">
        <v>5926699</v>
      </c>
      <c r="NX44" s="336">
        <v>162</v>
      </c>
      <c r="NY44" s="336">
        <v>0</v>
      </c>
      <c r="NZ44" s="336">
        <v>0</v>
      </c>
      <c r="OA44" s="336">
        <v>0</v>
      </c>
      <c r="OB44" s="336">
        <v>0</v>
      </c>
      <c r="OC44" s="336">
        <v>0</v>
      </c>
      <c r="OD44" s="336">
        <v>20000</v>
      </c>
      <c r="OE44" s="336">
        <v>2799217</v>
      </c>
      <c r="OF44" s="336">
        <v>44598</v>
      </c>
      <c r="OG44" s="336">
        <v>4561299</v>
      </c>
      <c r="OH44" s="336">
        <v>0</v>
      </c>
      <c r="OI44" s="336">
        <v>0</v>
      </c>
      <c r="OJ44" s="336">
        <v>0</v>
      </c>
      <c r="OK44" s="336">
        <v>0</v>
      </c>
      <c r="OL44" s="336">
        <v>0</v>
      </c>
      <c r="OM44" s="336">
        <v>0</v>
      </c>
      <c r="ON44" s="336">
        <v>0</v>
      </c>
      <c r="OO44" s="336">
        <v>0</v>
      </c>
      <c r="OP44" s="336">
        <v>0</v>
      </c>
      <c r="OQ44" s="336">
        <v>0</v>
      </c>
      <c r="OR44" s="336">
        <v>0</v>
      </c>
      <c r="OS44" s="336">
        <v>3891068</v>
      </c>
      <c r="OT44" s="336">
        <v>0</v>
      </c>
      <c r="OU44" s="336">
        <v>0</v>
      </c>
      <c r="OV44" s="336">
        <v>0</v>
      </c>
      <c r="OW44" s="336">
        <v>0</v>
      </c>
      <c r="OX44" s="336">
        <v>0</v>
      </c>
      <c r="OY44" s="336">
        <v>0</v>
      </c>
      <c r="OZ44" s="336">
        <v>0</v>
      </c>
      <c r="PA44" s="336">
        <v>0</v>
      </c>
      <c r="PB44" s="336">
        <v>-24369811</v>
      </c>
      <c r="PC44" s="336">
        <v>0</v>
      </c>
      <c r="PD44" s="336">
        <v>0</v>
      </c>
      <c r="PE44" s="336">
        <v>-9055470</v>
      </c>
      <c r="PF44" s="336">
        <v>8312049</v>
      </c>
      <c r="PG44" s="336">
        <v>1975170</v>
      </c>
      <c r="PH44" s="336">
        <v>-17057738</v>
      </c>
      <c r="PI44" s="336">
        <v>0</v>
      </c>
      <c r="PJ44" s="336">
        <v>0</v>
      </c>
      <c r="PK44" s="336">
        <v>27885784</v>
      </c>
      <c r="PL44" s="336">
        <v>7077088</v>
      </c>
      <c r="PM44" s="336">
        <v>0</v>
      </c>
      <c r="PN44" s="336">
        <v>0</v>
      </c>
      <c r="PO44" s="336">
        <v>0</v>
      </c>
      <c r="PP44" s="336">
        <v>0</v>
      </c>
      <c r="PQ44" s="336">
        <v>0</v>
      </c>
      <c r="PR44" s="336">
        <v>0</v>
      </c>
      <c r="PS44" s="336">
        <v>0</v>
      </c>
      <c r="PT44" s="336">
        <v>0</v>
      </c>
      <c r="PU44" s="336">
        <v>0</v>
      </c>
      <c r="PV44" s="336">
        <v>0</v>
      </c>
      <c r="PW44" s="336">
        <v>0</v>
      </c>
      <c r="PX44" s="336">
        <v>0</v>
      </c>
      <c r="PY44" s="336">
        <v>0</v>
      </c>
      <c r="PZ44" s="336">
        <v>0</v>
      </c>
      <c r="QA44" s="336">
        <v>0</v>
      </c>
      <c r="QB44" s="336">
        <v>0</v>
      </c>
      <c r="QC44" s="336">
        <v>66503</v>
      </c>
      <c r="QD44" s="336">
        <v>-15310819</v>
      </c>
      <c r="QE44" s="336">
        <v>7890737</v>
      </c>
      <c r="QF44" s="336">
        <v>0</v>
      </c>
      <c r="QG44" s="336">
        <v>0</v>
      </c>
      <c r="QH44" s="336">
        <v>0</v>
      </c>
      <c r="QI44" s="336">
        <v>0</v>
      </c>
      <c r="QJ44" s="336">
        <v>0</v>
      </c>
      <c r="QK44" s="336">
        <v>0</v>
      </c>
      <c r="QL44" s="336">
        <v>0</v>
      </c>
      <c r="QM44" s="336">
        <v>0</v>
      </c>
      <c r="QN44" s="336">
        <v>0</v>
      </c>
      <c r="QO44" s="336">
        <v>0</v>
      </c>
      <c r="QP44" s="336">
        <v>0</v>
      </c>
      <c r="QQ44" s="336">
        <v>0</v>
      </c>
      <c r="QR44" s="336">
        <v>0</v>
      </c>
      <c r="QS44" s="336">
        <v>0</v>
      </c>
      <c r="QT44" s="336">
        <v>0</v>
      </c>
      <c r="QU44" s="336">
        <v>0</v>
      </c>
      <c r="QV44" s="336">
        <v>0</v>
      </c>
      <c r="QW44" s="336">
        <v>0</v>
      </c>
      <c r="QX44" s="336">
        <v>0</v>
      </c>
      <c r="QY44" s="336">
        <v>0</v>
      </c>
      <c r="QZ44" s="336">
        <v>0</v>
      </c>
      <c r="RA44" s="336">
        <v>0</v>
      </c>
      <c r="RB44" s="336">
        <v>0</v>
      </c>
      <c r="RC44" s="336">
        <v>0</v>
      </c>
      <c r="RD44" s="336">
        <v>0</v>
      </c>
      <c r="RE44" s="336">
        <v>0</v>
      </c>
      <c r="RF44" s="336">
        <v>0</v>
      </c>
      <c r="RG44" s="336">
        <v>0</v>
      </c>
      <c r="RH44" s="336">
        <v>0</v>
      </c>
      <c r="RI44" s="336">
        <v>0</v>
      </c>
      <c r="RJ44" s="336">
        <v>0</v>
      </c>
      <c r="RK44" s="336">
        <v>0</v>
      </c>
      <c r="RL44" s="336">
        <v>0</v>
      </c>
      <c r="RM44" s="336">
        <v>0</v>
      </c>
      <c r="RN44" s="336">
        <v>0</v>
      </c>
      <c r="RO44" s="336">
        <v>-8743274</v>
      </c>
      <c r="RP44" s="336">
        <v>0</v>
      </c>
      <c r="RQ44" s="336">
        <v>0</v>
      </c>
      <c r="RR44" s="336">
        <v>0</v>
      </c>
      <c r="RS44" s="336">
        <v>0</v>
      </c>
      <c r="RT44" s="336">
        <v>0</v>
      </c>
      <c r="RU44" s="336">
        <v>0</v>
      </c>
      <c r="RV44" s="336">
        <v>0</v>
      </c>
      <c r="RW44" s="336">
        <v>0</v>
      </c>
      <c r="RX44" s="336">
        <v>-14089938</v>
      </c>
      <c r="RY44" s="336">
        <v>0</v>
      </c>
      <c r="RZ44" s="336">
        <v>0</v>
      </c>
      <c r="SA44" s="336">
        <v>0</v>
      </c>
      <c r="SB44" s="336">
        <v>0</v>
      </c>
      <c r="SC44" s="336">
        <v>0</v>
      </c>
      <c r="SD44" s="336">
        <v>0</v>
      </c>
      <c r="SE44" s="336">
        <v>0</v>
      </c>
      <c r="SF44" s="336">
        <v>0</v>
      </c>
      <c r="SG44" s="336">
        <v>0</v>
      </c>
      <c r="SH44" s="336">
        <v>0</v>
      </c>
      <c r="SI44" s="336">
        <v>0</v>
      </c>
      <c r="SJ44" s="336">
        <v>0</v>
      </c>
      <c r="SK44" s="336">
        <v>0</v>
      </c>
      <c r="SL44" s="336">
        <v>0</v>
      </c>
      <c r="SM44" s="336">
        <v>0</v>
      </c>
      <c r="SN44" s="336">
        <v>0</v>
      </c>
      <c r="SO44" s="336">
        <v>0</v>
      </c>
      <c r="SP44" s="336">
        <v>-113314</v>
      </c>
      <c r="SQ44" s="336">
        <v>20000</v>
      </c>
      <c r="SR44" s="336">
        <v>2799217</v>
      </c>
      <c r="SS44" s="336">
        <v>44598</v>
      </c>
      <c r="ST44" s="336">
        <v>4561299</v>
      </c>
      <c r="SU44" s="336">
        <v>0</v>
      </c>
      <c r="SV44" s="336">
        <v>0</v>
      </c>
      <c r="SW44" s="336">
        <v>24369811</v>
      </c>
      <c r="SX44" s="336">
        <v>0</v>
      </c>
      <c r="SY44" s="336">
        <v>0</v>
      </c>
      <c r="SZ44" s="336" t="s">
        <v>1420</v>
      </c>
      <c r="TA44" s="336" t="s">
        <v>1420</v>
      </c>
      <c r="TB44" s="336" t="s">
        <v>1420</v>
      </c>
      <c r="TC44" s="336">
        <v>4169678</v>
      </c>
      <c r="TD44" s="336">
        <v>0</v>
      </c>
      <c r="TE44" s="336">
        <v>0</v>
      </c>
      <c r="TF44" s="336">
        <v>0</v>
      </c>
      <c r="TG44" s="336">
        <v>143649</v>
      </c>
      <c r="TH44" s="336">
        <v>5114</v>
      </c>
      <c r="TI44" s="336">
        <v>6275</v>
      </c>
      <c r="TJ44" s="336">
        <v>3055800</v>
      </c>
      <c r="TK44" s="336">
        <v>0</v>
      </c>
      <c r="TL44" s="336">
        <v>44598</v>
      </c>
      <c r="TM44" s="336">
        <v>0</v>
      </c>
      <c r="TN44" s="336">
        <v>0</v>
      </c>
      <c r="TO44" s="336">
        <v>0</v>
      </c>
      <c r="TP44" s="336">
        <v>0</v>
      </c>
      <c r="TQ44" s="336">
        <v>0</v>
      </c>
      <c r="TR44" s="336">
        <v>0</v>
      </c>
      <c r="TS44" s="336">
        <v>0</v>
      </c>
      <c r="TT44" s="336">
        <v>0</v>
      </c>
      <c r="TU44" s="336">
        <v>0</v>
      </c>
      <c r="TV44" s="336">
        <v>0</v>
      </c>
      <c r="TW44" s="336">
        <v>0</v>
      </c>
      <c r="TX44" s="336">
        <v>0</v>
      </c>
      <c r="TY44" s="336">
        <v>0</v>
      </c>
      <c r="TZ44" s="336">
        <v>0</v>
      </c>
      <c r="UA44" s="336">
        <v>0</v>
      </c>
      <c r="UB44" s="336">
        <v>0</v>
      </c>
      <c r="UC44" s="336">
        <v>0</v>
      </c>
      <c r="UD44" s="336">
        <v>0</v>
      </c>
      <c r="UE44" s="336">
        <v>0</v>
      </c>
      <c r="UF44" s="336">
        <v>0</v>
      </c>
      <c r="UG44" s="336">
        <v>0</v>
      </c>
      <c r="UH44" s="336">
        <v>44806617</v>
      </c>
      <c r="UI44" s="336">
        <v>36179</v>
      </c>
      <c r="UJ44" s="336">
        <v>0</v>
      </c>
      <c r="UK44" s="336">
        <v>0</v>
      </c>
      <c r="UL44" s="336">
        <v>10631234</v>
      </c>
      <c r="UM44" s="336">
        <v>9637605</v>
      </c>
      <c r="UN44" s="336">
        <v>13296647</v>
      </c>
      <c r="UO44" s="336">
        <v>6998887</v>
      </c>
      <c r="UP44" s="336">
        <v>13292724</v>
      </c>
      <c r="UQ44" s="336">
        <v>6069290</v>
      </c>
      <c r="UR44"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7425114</v>
      </c>
      <c r="US44" s="338">
        <f>SUM(Input[[#This Row],[Oth Exp E&amp;G]],Input[[#This Row],[Oth Exp Desg]],Input[[#This Row],[Oth Exp Aux]],Input[[#This Row],[Oth Exp R Exp]],Input[[#This Row],[Oth Exp Loan]],Input[[#This Row],[Oth Exp Annuity]],Input[[#This Row],[Oth Exp Unexp]],Input[[#This Row],[Oth Exp R of Ind]],Input[[#This Row],[Oth Exp Inv in P]])</f>
        <v>3891068</v>
      </c>
      <c r="UT44" s="336">
        <v>0</v>
      </c>
      <c r="UU44" s="336">
        <v>0</v>
      </c>
      <c r="UV44" s="339" t="s">
        <v>1569</v>
      </c>
      <c r="UW44" s="340">
        <v>2547497398</v>
      </c>
      <c r="UX44" s="339" t="s">
        <v>1570</v>
      </c>
      <c r="UY44" s="339" t="s">
        <v>1571</v>
      </c>
      <c r="UZ44" s="340">
        <v>2548673895</v>
      </c>
      <c r="VA44" s="339" t="s">
        <v>1572</v>
      </c>
      <c r="VB44" s="341" cm="1">
        <f t="array" ref="VB44">IFERROR(_xlfn.IFS(Input[[#This Row],[Type]]="HRI",VLOOKUP(Input[[#This Row],[Institution Name]],FTSEHRI[],9,FALSE),Input[[#This Row],[Type]]="UNIV",VLOOKUP(Input[[#This Row],[Institution Name]],FTSEUNIV[],9,FALSE),OR(Input[[#This Row],[Type]]="TSTC",Input[[#This Row],[Type]]="LSC"),VLOOKUP(Input[[#This Row],[Institution Name]],FTSETSTC[],8,FALSE)),"N/A")</f>
        <v>4359.9799999999996</v>
      </c>
      <c r="VC44" s="342" t="str" cm="1">
        <f t="array" ref="VC44">IFERROR(_xlfn.IFS(Input[[#This Row],[Type]]="HRI",VLOOKUP(Input[[#This Row],[Institution Name]],FTSEHRI[],11,FALSE),Input[[#This Row],[Type]]="UNIV",VLOOKUP(Input[[#This Row],[Institution Name]],FTSEUNIV[],11,FALSE),Input[[#This Row],[Type]]="TSTC",VLOOKUP(Input[[#This Row],[Institution Name]],FTSETSTC[],10,FALSE)),"N/A")</f>
        <v>N/A</v>
      </c>
      <c r="VD44"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71606773</v>
      </c>
      <c r="VE44"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5235201</v>
      </c>
      <c r="VF44" s="338">
        <f>SUM(Input[[#This Row],[Fed G&amp;C E&amp;G]],Input[[#This Row],[Fed G&amp;C Desg]],Input[[#This Row],[Fed G&amp;C R Exp]],Input[[#This Row],[Fed G&amp;C Loan]],Input[[#This Row],[Fed G&amp;C Annuity]],Input[[#This Row],[Fed G&amp;C Unexp]],Input[[#This Row],[Fed G&amp;C R of Ind]],Input[[#This Row],[Fed G&amp;C Inv in P]])</f>
        <v>23295099</v>
      </c>
      <c r="VG44"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5919648</v>
      </c>
      <c r="VH44"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18826613</v>
      </c>
      <c r="VI44"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2268262</v>
      </c>
      <c r="VJ44" s="338">
        <f>SUM(Input[[#This Row],[Oth Inc E&amp;G]],Input[[#This Row],[Oth Exp Desg]],Input[[#This Row],[Oth Exp R Exp]],Input[[#This Row],[Oth Exp Loan]],Input[[#This Row],[Oth Exp Annuity]],Input[[#This Row],[Oth Exp Unexp]],Input[[#This Row],[Oth Exp R of Ind]],Input[[#This Row],[Oth Exp Inv in P]])</f>
        <v>3891068</v>
      </c>
      <c r="VK44" s="343">
        <f>SUM(Input[[#This Row],[Instr E&amp;G]],Input[[#This Row],[Instr Desg]],Input[[#This Row],[Instr R Exp]],Input[[#This Row],[Instr Loan]],Input[[#This Row],[Instr Annuity]],Input[[#This Row],[Instr Unexp]],Input[[#This Row],[Instr R of Ind]],Input[[#This Row],[Instr Inv in P]])</f>
        <v>44776811</v>
      </c>
      <c r="VL44" s="343">
        <f>SUM(Input[[#This Row],[Res E&amp;G]],Input[[#This Row],[Res Desg]],Input[[#This Row],[Res R Exp]],Input[[#This Row],[Res Loan]],Input[[#This Row],[Res Annuity]],Input[[#This Row],[Res Unexp]],Input[[#This Row],[Res R of Ind]],Input[[#This Row],[Res Inv in P]])</f>
        <v>34925</v>
      </c>
      <c r="VM44" s="343">
        <f>SUM(Input[[#This Row],[Acad Sup E&amp;G]],Input[[#This Row],[Acad Sup Desg]],Input[[#This Row],[Acad Sup R Exp]],Input[[#This Row],[Acad Sup Loan]],Input[[#This Row],[Acad Sup Annuity]],Input[[#This Row],[Acad Sup Unexp]],Input[[#This Row],[Acad Sup R of Ind]],Input[[#This Row],[Acad Sup Inv in P]])</f>
        <v>10622380</v>
      </c>
      <c r="VN44" s="343">
        <f>SUM(Input[[#This Row],[Stu Svc E&amp;G]],Input[[#This Row],[Stu Svc Desg]],Input[[#This Row],[Stu Svc R Exp]],Input[[#This Row],[Stu Svc Loan]],Input[[#This Row],[Stu Svc Annuity]],Input[[#This Row],[Stu Svc Unexp]],Input[[#This Row],[Stu Svc R of Ind]],Input[[#This Row],[Stu Svc Inv in P]])</f>
        <v>9628769</v>
      </c>
      <c r="VO44" s="343">
        <f>SUM(Input[[#This Row],[Inst. Spt E&amp;G]],Input[[#This Row],[Inst. Spt Desg]],Input[[#This Row],[Inst. Spt R Exp]],Input[[#This Row],[Inst. Spt Loan]],Input[[#This Row],[Inst. Spt Annuity]],Input[[#This Row],[Inst. Spt Unexp]],Input[[#This Row],[Inst. Spt R of Ind]],Input[[#This Row],[Inst. Spt Inv in P]])</f>
        <v>13284639</v>
      </c>
      <c r="VP44" s="343">
        <f>SUM(Input[[#This Row],[M&amp;O Plnt E&amp;G]],Input[[#This Row],[M&amp;O Plnt Desg]],Input[[#This Row],[M&amp;O Plnt R Exp]],Input[[#This Row],[M&amp;O Plnt Loan]],Input[[#This Row],[M&amp;O Plnt Annuity]],Input[[#This Row],[M&amp;O Plnt Unexp]],Input[[#This Row],[M&amp;O Plnt R of Ind]],Input[[#This Row],[M&amp;O Plnt Inv in P]])</f>
        <v>6995043</v>
      </c>
      <c r="VQ44" s="343">
        <f>SUM(Input[[#This Row],[Schl &amp; Fell E&amp;G]],Input[[#This Row],[Schl &amp; Fell Desg]],Input[[#This Row],[Schl &amp; Fell R Exp]],Input[[#This Row],[Schl &amp; Fell Loan]],Input[[#This Row],[Schl &amp; Fell Annuity]],Input[[#This Row],[Schl &amp; Fell Unexp]],Input[[#This Row],[Schl &amp; Fell R of Ind]],Input[[#This Row],[Schl &amp; Fell Inv in P]])</f>
        <v>13292724</v>
      </c>
      <c r="VR44" s="343">
        <f>SUM(Input[[#This Row],[Cap Out fund E&amp;G]],Input[[#This Row],[Cap Out fund Desg]],Input[[#This Row],[Cap Out fund R Exp]],Input[[#This Row],[Cap Out fund Loan]],Input[[#This Row],[Cap Out fund Annuity]],Input[[#This Row],[Cap Out fund Unexp]],Input[[#This Row],[Cap Out fund R of Ind]],Input[[#This Row],[Cap Out fund Inv in P]])</f>
        <v>7380516</v>
      </c>
      <c r="VS44" s="343">
        <f>SUM(Input[[#This Row],[Oth Exp E&amp;G]],Input[[#This Row],[Oth Exp Desg]],Input[[#This Row],[Oth Exp R Exp]],Input[[#This Row],[Oth Exp Loan]],Input[[#This Row],[Oth Exp Annuity]],Input[[#This Row],[Oth Exp Unexp]],Input[[#This Row],[Oth Exp R of Ind]],Input[[#This Row],[Oth Exp Inv in P]],Input[[#This Row],[Oth Exp Inv in P]])</f>
        <v>3891068</v>
      </c>
    </row>
    <row r="45" spans="1:591" s="344" customFormat="1" ht="27" customHeight="1" x14ac:dyDescent="0.55000000000000004">
      <c r="A45" s="339" t="s">
        <v>53</v>
      </c>
      <c r="B45" s="334" t="s">
        <v>20</v>
      </c>
      <c r="C45" s="334" t="s">
        <v>20</v>
      </c>
      <c r="D45" s="334">
        <v>530</v>
      </c>
      <c r="E45" s="334" t="s">
        <v>1622</v>
      </c>
      <c r="F45" s="335">
        <v>9932</v>
      </c>
      <c r="G45" s="336">
        <v>21618173</v>
      </c>
      <c r="H45" s="336">
        <v>0</v>
      </c>
      <c r="I45" s="336">
        <v>0</v>
      </c>
      <c r="J45" s="336">
        <v>0</v>
      </c>
      <c r="K45" s="336">
        <v>0</v>
      </c>
      <c r="L45" s="336">
        <v>0</v>
      </c>
      <c r="M45" s="336">
        <v>0</v>
      </c>
      <c r="N45" s="336">
        <v>0</v>
      </c>
      <c r="O45" s="336">
        <v>0</v>
      </c>
      <c r="P45" s="336">
        <v>374543</v>
      </c>
      <c r="Q45" s="336">
        <v>0</v>
      </c>
      <c r="R45" s="336">
        <v>0</v>
      </c>
      <c r="S45" s="336">
        <v>955099</v>
      </c>
      <c r="T45" s="336">
        <v>0</v>
      </c>
      <c r="U45" s="336">
        <v>0</v>
      </c>
      <c r="V45" s="336">
        <v>0</v>
      </c>
      <c r="W45" s="336">
        <v>0</v>
      </c>
      <c r="X45" s="336">
        <v>0</v>
      </c>
      <c r="Y45" s="336">
        <v>697595</v>
      </c>
      <c r="Z45" s="336">
        <v>0</v>
      </c>
      <c r="AA45" s="336">
        <v>0</v>
      </c>
      <c r="AB45" s="336">
        <v>0</v>
      </c>
      <c r="AC45" s="336">
        <v>0</v>
      </c>
      <c r="AD45" s="336">
        <v>0</v>
      </c>
      <c r="AE45" s="336">
        <v>0</v>
      </c>
      <c r="AF45" s="336">
        <v>0</v>
      </c>
      <c r="AG45" s="336">
        <v>0</v>
      </c>
      <c r="AH45" s="336">
        <v>0</v>
      </c>
      <c r="AI45" s="336">
        <v>0</v>
      </c>
      <c r="AJ45" s="336">
        <v>0</v>
      </c>
      <c r="AK45" s="336">
        <v>0</v>
      </c>
      <c r="AL45" s="336">
        <v>0</v>
      </c>
      <c r="AM45" s="336">
        <v>0</v>
      </c>
      <c r="AN45" s="336">
        <v>0</v>
      </c>
      <c r="AO45" s="336">
        <v>0</v>
      </c>
      <c r="AP45" s="336">
        <v>0</v>
      </c>
      <c r="AQ45" s="336">
        <v>0</v>
      </c>
      <c r="AR45" s="336">
        <v>0</v>
      </c>
      <c r="AS45" s="336">
        <v>0</v>
      </c>
      <c r="AT45" s="336">
        <v>0</v>
      </c>
      <c r="AU45" s="336">
        <v>0</v>
      </c>
      <c r="AV45" s="336">
        <v>0</v>
      </c>
      <c r="AW45" s="336">
        <v>0</v>
      </c>
      <c r="AX45" s="336">
        <v>0</v>
      </c>
      <c r="AY45" s="336">
        <v>0</v>
      </c>
      <c r="AZ45" s="336">
        <v>-49842</v>
      </c>
      <c r="BA45" s="336">
        <v>0</v>
      </c>
      <c r="BB45" s="336">
        <v>0</v>
      </c>
      <c r="BC45" s="336">
        <v>0</v>
      </c>
      <c r="BD45" s="336">
        <v>0</v>
      </c>
      <c r="BE45" s="336">
        <v>0</v>
      </c>
      <c r="BF45" s="336">
        <v>0</v>
      </c>
      <c r="BG45" s="336">
        <v>0</v>
      </c>
      <c r="BH45" s="336">
        <v>0</v>
      </c>
      <c r="BI45" s="336">
        <v>0</v>
      </c>
      <c r="BJ45" s="336">
        <v>0</v>
      </c>
      <c r="BK45" s="336">
        <v>0</v>
      </c>
      <c r="BL45" s="336">
        <v>0</v>
      </c>
      <c r="BM45" s="336">
        <v>0</v>
      </c>
      <c r="BN45" s="336">
        <v>0</v>
      </c>
      <c r="BO45" s="336">
        <v>0</v>
      </c>
      <c r="BP45" s="336">
        <v>0</v>
      </c>
      <c r="BQ45" s="336">
        <v>0</v>
      </c>
      <c r="BR45" s="336">
        <v>0</v>
      </c>
      <c r="BS45" s="336">
        <v>0</v>
      </c>
      <c r="BT45" s="336">
        <v>0</v>
      </c>
      <c r="BU45" s="336">
        <v>0</v>
      </c>
      <c r="BV45" s="336">
        <v>0</v>
      </c>
      <c r="BW45" s="336">
        <v>0</v>
      </c>
      <c r="BX45" s="336">
        <v>0</v>
      </c>
      <c r="BY45" s="336">
        <v>0</v>
      </c>
      <c r="BZ45" s="336">
        <v>0</v>
      </c>
      <c r="CA45" s="336">
        <v>949972</v>
      </c>
      <c r="CB45" s="336">
        <v>6033220</v>
      </c>
      <c r="CC45" s="336">
        <v>0</v>
      </c>
      <c r="CD45" s="336">
        <v>0</v>
      </c>
      <c r="CE45" s="336">
        <v>0</v>
      </c>
      <c r="CF45" s="336">
        <v>0</v>
      </c>
      <c r="CG45" s="336">
        <v>0</v>
      </c>
      <c r="CH45" s="336">
        <v>0</v>
      </c>
      <c r="CI45" s="336">
        <v>0</v>
      </c>
      <c r="CJ45" s="336">
        <v>0</v>
      </c>
      <c r="CK45" s="336">
        <v>0</v>
      </c>
      <c r="CL45" s="336">
        <v>0</v>
      </c>
      <c r="CM45" s="336">
        <v>0</v>
      </c>
      <c r="CN45" s="336">
        <v>0</v>
      </c>
      <c r="CO45" s="336">
        <v>0</v>
      </c>
      <c r="CP45" s="336">
        <v>0</v>
      </c>
      <c r="CQ45" s="336">
        <v>0</v>
      </c>
      <c r="CR45" s="336">
        <v>0</v>
      </c>
      <c r="CS45" s="336">
        <v>0</v>
      </c>
      <c r="CT45" s="336">
        <v>0</v>
      </c>
      <c r="CU45" s="336">
        <v>0</v>
      </c>
      <c r="CV45" s="336">
        <v>0</v>
      </c>
      <c r="CW45" s="336">
        <v>0</v>
      </c>
      <c r="CX45" s="336">
        <v>0</v>
      </c>
      <c r="CY45" s="336">
        <v>0</v>
      </c>
      <c r="CZ45" s="336">
        <v>0</v>
      </c>
      <c r="DA45" s="336">
        <v>0</v>
      </c>
      <c r="DB45" s="336">
        <v>-212464</v>
      </c>
      <c r="DC45" s="336">
        <v>0</v>
      </c>
      <c r="DD45" s="336">
        <v>0</v>
      </c>
      <c r="DE45" s="336">
        <v>0</v>
      </c>
      <c r="DF45" s="336">
        <v>0</v>
      </c>
      <c r="DG45" s="336">
        <v>0</v>
      </c>
      <c r="DH45" s="336">
        <v>0</v>
      </c>
      <c r="DI45" s="336">
        <v>0</v>
      </c>
      <c r="DJ45" s="336">
        <v>0</v>
      </c>
      <c r="DK45" s="336">
        <v>0</v>
      </c>
      <c r="DL45" s="336">
        <v>-402650</v>
      </c>
      <c r="DM45" s="336">
        <v>0</v>
      </c>
      <c r="DN45" s="336">
        <v>0</v>
      </c>
      <c r="DO45" s="336">
        <v>0</v>
      </c>
      <c r="DP45" s="336">
        <v>0</v>
      </c>
      <c r="DQ45" s="336">
        <v>0</v>
      </c>
      <c r="DR45" s="336">
        <v>0</v>
      </c>
      <c r="DS45" s="336">
        <v>0</v>
      </c>
      <c r="DT45" s="336">
        <v>-122210</v>
      </c>
      <c r="DU45" s="336">
        <v>-2229952</v>
      </c>
      <c r="DV45" s="336">
        <v>0</v>
      </c>
      <c r="DW45" s="336">
        <v>0</v>
      </c>
      <c r="DX45" s="336">
        <v>0</v>
      </c>
      <c r="DY45" s="336">
        <v>0</v>
      </c>
      <c r="DZ45" s="336">
        <v>0</v>
      </c>
      <c r="EA45" s="336">
        <v>0</v>
      </c>
      <c r="EB45" s="336">
        <v>0</v>
      </c>
      <c r="EC45" s="336">
        <v>0</v>
      </c>
      <c r="ED45" s="336">
        <v>0</v>
      </c>
      <c r="EE45" s="336">
        <v>0</v>
      </c>
      <c r="EF45" s="336">
        <v>0</v>
      </c>
      <c r="EG45" s="336">
        <v>0</v>
      </c>
      <c r="EH45" s="336">
        <v>0</v>
      </c>
      <c r="EI45" s="336">
        <v>0</v>
      </c>
      <c r="EJ45" s="336">
        <v>0</v>
      </c>
      <c r="EK45" s="336">
        <v>0</v>
      </c>
      <c r="EL45" s="336">
        <v>0</v>
      </c>
      <c r="EM45" s="336">
        <v>0</v>
      </c>
      <c r="EN45" s="336">
        <v>0</v>
      </c>
      <c r="EO45" s="336">
        <v>0</v>
      </c>
      <c r="EP45" s="336">
        <v>0</v>
      </c>
      <c r="EQ45" s="336">
        <v>0</v>
      </c>
      <c r="ER45" s="336">
        <v>0</v>
      </c>
      <c r="ES45" s="336">
        <v>0</v>
      </c>
      <c r="ET45" s="336">
        <v>0</v>
      </c>
      <c r="EU45" s="336">
        <v>0</v>
      </c>
      <c r="EV45" s="336">
        <v>0</v>
      </c>
      <c r="EW45" s="336">
        <v>0</v>
      </c>
      <c r="EX45" s="336">
        <v>0</v>
      </c>
      <c r="EY45" s="336">
        <v>0</v>
      </c>
      <c r="EZ45" s="336">
        <v>0</v>
      </c>
      <c r="FA45" s="336">
        <v>0</v>
      </c>
      <c r="FB45" s="336">
        <v>0</v>
      </c>
      <c r="FC45" s="336">
        <v>0</v>
      </c>
      <c r="FD45" s="336">
        <v>0</v>
      </c>
      <c r="FE45" s="336">
        <v>0</v>
      </c>
      <c r="FF45" s="336">
        <v>0</v>
      </c>
      <c r="FG45" s="336">
        <v>0</v>
      </c>
      <c r="FH45" s="336">
        <v>0</v>
      </c>
      <c r="FI45" s="336">
        <v>0</v>
      </c>
      <c r="FJ45" s="336">
        <v>0</v>
      </c>
      <c r="FK45" s="336">
        <v>0</v>
      </c>
      <c r="FL45" s="336">
        <v>0</v>
      </c>
      <c r="FM45" s="336">
        <v>0</v>
      </c>
      <c r="FN45" s="336">
        <v>0</v>
      </c>
      <c r="FO45" s="336">
        <v>0</v>
      </c>
      <c r="FP45" s="336">
        <v>0</v>
      </c>
      <c r="FQ45" s="336">
        <v>0</v>
      </c>
      <c r="FR45" s="336">
        <v>0</v>
      </c>
      <c r="FS45" s="336">
        <v>0</v>
      </c>
      <c r="FT45" s="336">
        <v>0</v>
      </c>
      <c r="FU45" s="336">
        <v>0</v>
      </c>
      <c r="FV45" s="336">
        <v>0</v>
      </c>
      <c r="FW45" s="336">
        <v>0</v>
      </c>
      <c r="FX45" s="336">
        <v>0</v>
      </c>
      <c r="FY45" s="336">
        <v>0</v>
      </c>
      <c r="FZ45" s="336">
        <v>0</v>
      </c>
      <c r="GA45" s="336">
        <v>0</v>
      </c>
      <c r="GB45" s="336">
        <v>0</v>
      </c>
      <c r="GC45" s="336">
        <v>0</v>
      </c>
      <c r="GD45" s="336">
        <v>0</v>
      </c>
      <c r="GE45" s="336">
        <v>0</v>
      </c>
      <c r="GF45" s="336">
        <v>0</v>
      </c>
      <c r="GG45" s="336">
        <v>0</v>
      </c>
      <c r="GH45" s="336">
        <v>0</v>
      </c>
      <c r="GI45" s="336">
        <v>0</v>
      </c>
      <c r="GJ45" s="336">
        <v>0</v>
      </c>
      <c r="GK45" s="336">
        <v>0</v>
      </c>
      <c r="GL45" s="336">
        <v>0</v>
      </c>
      <c r="GM45" s="336">
        <v>0</v>
      </c>
      <c r="GN45" s="336">
        <v>0</v>
      </c>
      <c r="GO45" s="336">
        <v>0</v>
      </c>
      <c r="GP45" s="336">
        <v>0</v>
      </c>
      <c r="GQ45" s="336">
        <v>0</v>
      </c>
      <c r="GR45" s="336">
        <v>0</v>
      </c>
      <c r="GS45" s="336">
        <v>0</v>
      </c>
      <c r="GT45" s="336">
        <v>0</v>
      </c>
      <c r="GU45" s="336">
        <v>0</v>
      </c>
      <c r="GV45" s="336">
        <v>0</v>
      </c>
      <c r="GW45" s="336">
        <v>0</v>
      </c>
      <c r="GX45" s="336">
        <v>0</v>
      </c>
      <c r="GY45" s="336">
        <v>0</v>
      </c>
      <c r="GZ45" s="336">
        <v>0</v>
      </c>
      <c r="HA45" s="336">
        <v>0</v>
      </c>
      <c r="HB45" s="336">
        <v>0</v>
      </c>
      <c r="HC45" s="336">
        <v>0</v>
      </c>
      <c r="HD45" s="336">
        <v>0</v>
      </c>
      <c r="HE45" s="336">
        <v>0</v>
      </c>
      <c r="HF45" s="336">
        <v>0</v>
      </c>
      <c r="HG45" s="336">
        <v>0</v>
      </c>
      <c r="HH45" s="336">
        <v>0</v>
      </c>
      <c r="HI45" s="336">
        <v>0</v>
      </c>
      <c r="HJ45" s="336">
        <v>0</v>
      </c>
      <c r="HK45" s="336">
        <v>0</v>
      </c>
      <c r="HL45" s="336">
        <v>0</v>
      </c>
      <c r="HM45" s="336">
        <v>0</v>
      </c>
      <c r="HN45" s="336">
        <v>0</v>
      </c>
      <c r="HO45" s="336">
        <v>0</v>
      </c>
      <c r="HP45" s="336">
        <v>0</v>
      </c>
      <c r="HQ45" s="336">
        <v>0</v>
      </c>
      <c r="HR45" s="336">
        <v>4152512</v>
      </c>
      <c r="HS45" s="336">
        <v>0</v>
      </c>
      <c r="HT45" s="336">
        <v>0</v>
      </c>
      <c r="HU45" s="336">
        <v>0</v>
      </c>
      <c r="HV45" s="336">
        <v>0</v>
      </c>
      <c r="HW45" s="336">
        <v>0</v>
      </c>
      <c r="HX45" s="336">
        <v>0</v>
      </c>
      <c r="HY45" s="336">
        <v>0</v>
      </c>
      <c r="HZ45" s="336">
        <v>0</v>
      </c>
      <c r="IA45" s="336">
        <v>0</v>
      </c>
      <c r="IB45" s="336">
        <v>0</v>
      </c>
      <c r="IC45" s="336">
        <v>0</v>
      </c>
      <c r="ID45" s="336">
        <v>0</v>
      </c>
      <c r="IE45" s="336">
        <v>0</v>
      </c>
      <c r="IF45" s="336">
        <v>0</v>
      </c>
      <c r="IG45" s="336">
        <v>0</v>
      </c>
      <c r="IH45" s="336">
        <v>0</v>
      </c>
      <c r="II45" s="336">
        <v>0</v>
      </c>
      <c r="IJ45" s="336">
        <v>0</v>
      </c>
      <c r="IK45" s="336">
        <v>0</v>
      </c>
      <c r="IL45" s="336">
        <v>0</v>
      </c>
      <c r="IM45" s="336">
        <v>0</v>
      </c>
      <c r="IN45" s="336">
        <v>0</v>
      </c>
      <c r="IO45" s="336">
        <v>0</v>
      </c>
      <c r="IP45" s="336">
        <v>0</v>
      </c>
      <c r="IQ45" s="336">
        <v>0</v>
      </c>
      <c r="IR45" s="336">
        <v>0</v>
      </c>
      <c r="IS45" s="336">
        <v>4396</v>
      </c>
      <c r="IT45" s="336">
        <v>0</v>
      </c>
      <c r="IU45" s="336">
        <v>0</v>
      </c>
      <c r="IV45" s="336">
        <v>0</v>
      </c>
      <c r="IW45" s="336">
        <v>0</v>
      </c>
      <c r="IX45" s="336">
        <v>0</v>
      </c>
      <c r="IY45" s="336">
        <v>0</v>
      </c>
      <c r="IZ45" s="336">
        <v>0</v>
      </c>
      <c r="JA45" s="336">
        <v>0</v>
      </c>
      <c r="JB45" s="336">
        <v>0</v>
      </c>
      <c r="JC45" s="336">
        <v>0</v>
      </c>
      <c r="JD45" s="336">
        <v>0</v>
      </c>
      <c r="JE45" s="336">
        <v>0</v>
      </c>
      <c r="JF45" s="336">
        <v>0</v>
      </c>
      <c r="JG45" s="336">
        <v>0</v>
      </c>
      <c r="JH45" s="336">
        <v>0</v>
      </c>
      <c r="JI45" s="336">
        <v>284735</v>
      </c>
      <c r="JJ45" s="336">
        <v>0</v>
      </c>
      <c r="JK45" s="336">
        <v>249250</v>
      </c>
      <c r="JL45" s="336">
        <v>0</v>
      </c>
      <c r="JM45" s="336">
        <v>0</v>
      </c>
      <c r="JN45" s="336">
        <v>0</v>
      </c>
      <c r="JO45" s="336">
        <v>0</v>
      </c>
      <c r="JP45" s="336">
        <v>0</v>
      </c>
      <c r="JQ45" s="336">
        <v>0</v>
      </c>
      <c r="JR45" s="336">
        <v>1641050</v>
      </c>
      <c r="JS45" s="336">
        <v>0</v>
      </c>
      <c r="JT45" s="336">
        <v>0</v>
      </c>
      <c r="JU45" s="336">
        <v>0</v>
      </c>
      <c r="JV45" s="336">
        <v>0</v>
      </c>
      <c r="JW45" s="336">
        <v>0</v>
      </c>
      <c r="JX45" s="336">
        <v>0</v>
      </c>
      <c r="JY45" s="336">
        <v>0</v>
      </c>
      <c r="JZ45" s="336">
        <v>0</v>
      </c>
      <c r="KA45" s="336">
        <v>0</v>
      </c>
      <c r="KB45" s="336">
        <v>668783</v>
      </c>
      <c r="KC45" s="336">
        <v>0</v>
      </c>
      <c r="KD45" s="336">
        <v>0</v>
      </c>
      <c r="KE45" s="336">
        <v>0</v>
      </c>
      <c r="KF45" s="336">
        <v>0</v>
      </c>
      <c r="KG45" s="336">
        <v>0</v>
      </c>
      <c r="KH45" s="336">
        <v>0</v>
      </c>
      <c r="KI45" s="336">
        <v>0</v>
      </c>
      <c r="KJ45" s="336">
        <v>0</v>
      </c>
      <c r="KK45" s="336">
        <v>0</v>
      </c>
      <c r="KL45" s="336">
        <v>0</v>
      </c>
      <c r="KM45" s="336">
        <v>0</v>
      </c>
      <c r="KN45" s="336">
        <v>0</v>
      </c>
      <c r="KO45" s="336">
        <v>0</v>
      </c>
      <c r="KP45" s="336">
        <v>0</v>
      </c>
      <c r="KQ45" s="336">
        <v>840296</v>
      </c>
      <c r="KR45" s="336">
        <v>9686353</v>
      </c>
      <c r="KS45" s="336">
        <v>2011848</v>
      </c>
      <c r="KT45" s="336">
        <v>13310</v>
      </c>
      <c r="KU45" s="336">
        <v>507833</v>
      </c>
      <c r="KV45" s="336">
        <v>0</v>
      </c>
      <c r="KW45" s="336">
        <v>0</v>
      </c>
      <c r="KX45" s="336">
        <v>0</v>
      </c>
      <c r="KY45" s="336">
        <v>0</v>
      </c>
      <c r="KZ45" s="336">
        <v>0</v>
      </c>
      <c r="LA45" s="336">
        <v>14451</v>
      </c>
      <c r="LB45" s="336">
        <v>685</v>
      </c>
      <c r="LC45" s="336">
        <v>560</v>
      </c>
      <c r="LD45" s="336">
        <v>0</v>
      </c>
      <c r="LE45" s="336">
        <v>0</v>
      </c>
      <c r="LF45" s="336">
        <v>0</v>
      </c>
      <c r="LG45" s="336">
        <v>0</v>
      </c>
      <c r="LH45" s="336">
        <v>0</v>
      </c>
      <c r="LI45" s="336">
        <v>0</v>
      </c>
      <c r="LJ45" s="336">
        <v>0</v>
      </c>
      <c r="LK45" s="336">
        <v>0</v>
      </c>
      <c r="LL45" s="336">
        <v>0</v>
      </c>
      <c r="LM45" s="336">
        <v>0</v>
      </c>
      <c r="LN45" s="336">
        <v>0</v>
      </c>
      <c r="LO45" s="336">
        <v>0</v>
      </c>
      <c r="LP45" s="336">
        <v>0</v>
      </c>
      <c r="LQ45" s="336">
        <v>0</v>
      </c>
      <c r="LR45" s="336">
        <v>0</v>
      </c>
      <c r="LS45" s="336">
        <v>0</v>
      </c>
      <c r="LT45" s="336">
        <v>0</v>
      </c>
      <c r="LU45" s="336">
        <v>0</v>
      </c>
      <c r="LV45" s="336">
        <v>0</v>
      </c>
      <c r="LW45" s="336">
        <v>0</v>
      </c>
      <c r="LX45" s="336">
        <v>0</v>
      </c>
      <c r="LY45" s="336">
        <v>0</v>
      </c>
      <c r="LZ45" s="336">
        <v>0</v>
      </c>
      <c r="MA45" s="336">
        <v>0</v>
      </c>
      <c r="MB45" s="336">
        <v>4389213</v>
      </c>
      <c r="MC45" s="336">
        <v>191611</v>
      </c>
      <c r="MD45" s="336">
        <v>3954</v>
      </c>
      <c r="ME45" s="336">
        <v>12357</v>
      </c>
      <c r="MF45" s="336">
        <v>0</v>
      </c>
      <c r="MG45" s="336">
        <v>0</v>
      </c>
      <c r="MH45" s="336">
        <v>0</v>
      </c>
      <c r="MI45" s="336">
        <v>0</v>
      </c>
      <c r="MJ45" s="336">
        <v>0</v>
      </c>
      <c r="MK45" s="336">
        <v>2466480</v>
      </c>
      <c r="ML45" s="336">
        <v>804504</v>
      </c>
      <c r="MM45" s="336">
        <v>3946</v>
      </c>
      <c r="MN45" s="336">
        <v>65543</v>
      </c>
      <c r="MO45" s="336">
        <v>0</v>
      </c>
      <c r="MP45" s="336">
        <v>0</v>
      </c>
      <c r="MQ45" s="336">
        <v>0</v>
      </c>
      <c r="MR45" s="336">
        <v>0</v>
      </c>
      <c r="MS45" s="336">
        <v>0</v>
      </c>
      <c r="MT45" s="336">
        <v>2419914</v>
      </c>
      <c r="MU45" s="336">
        <v>779213</v>
      </c>
      <c r="MV45" s="336">
        <v>5363</v>
      </c>
      <c r="MW45" s="336">
        <v>0</v>
      </c>
      <c r="MX45" s="336">
        <v>0</v>
      </c>
      <c r="MY45" s="336">
        <v>0</v>
      </c>
      <c r="MZ45" s="336">
        <v>0</v>
      </c>
      <c r="NA45" s="336">
        <v>0</v>
      </c>
      <c r="NB45" s="336">
        <v>0</v>
      </c>
      <c r="NC45" s="336">
        <v>1761882</v>
      </c>
      <c r="ND45" s="336">
        <v>1859860</v>
      </c>
      <c r="NE45" s="336">
        <v>1716</v>
      </c>
      <c r="NF45" s="336">
        <v>0</v>
      </c>
      <c r="NG45" s="336">
        <v>0</v>
      </c>
      <c r="NH45" s="336">
        <v>0</v>
      </c>
      <c r="NI45" s="336">
        <v>0</v>
      </c>
      <c r="NJ45" s="336">
        <v>0</v>
      </c>
      <c r="NK45" s="336">
        <v>0</v>
      </c>
      <c r="NL45" s="336">
        <v>212464</v>
      </c>
      <c r="NM45" s="336">
        <v>1292607</v>
      </c>
      <c r="NN45" s="336">
        <v>0</v>
      </c>
      <c r="NO45" s="336">
        <v>805429</v>
      </c>
      <c r="NP45" s="336">
        <v>0</v>
      </c>
      <c r="NQ45" s="336">
        <v>0</v>
      </c>
      <c r="NR45" s="336">
        <v>0</v>
      </c>
      <c r="NS45" s="336">
        <v>0</v>
      </c>
      <c r="NT45" s="336">
        <v>0</v>
      </c>
      <c r="NU45" s="336">
        <v>38551</v>
      </c>
      <c r="NV45" s="336">
        <v>714</v>
      </c>
      <c r="NW45" s="336">
        <v>1018893</v>
      </c>
      <c r="NX45" s="336">
        <v>0</v>
      </c>
      <c r="NY45" s="336">
        <v>0</v>
      </c>
      <c r="NZ45" s="336">
        <v>0</v>
      </c>
      <c r="OA45" s="336">
        <v>0</v>
      </c>
      <c r="OB45" s="336">
        <v>0</v>
      </c>
      <c r="OC45" s="336">
        <v>0</v>
      </c>
      <c r="OD45" s="336">
        <v>121119</v>
      </c>
      <c r="OE45" s="336">
        <v>124039</v>
      </c>
      <c r="OF45" s="336">
        <v>0</v>
      </c>
      <c r="OG45" s="336">
        <v>371390</v>
      </c>
      <c r="OH45" s="336">
        <v>0</v>
      </c>
      <c r="OI45" s="336">
        <v>0</v>
      </c>
      <c r="OJ45" s="336">
        <v>0</v>
      </c>
      <c r="OK45" s="336">
        <v>0</v>
      </c>
      <c r="OL45" s="336">
        <v>0</v>
      </c>
      <c r="OM45" s="336">
        <v>0</v>
      </c>
      <c r="ON45" s="336">
        <v>0</v>
      </c>
      <c r="OO45" s="336">
        <v>0</v>
      </c>
      <c r="OP45" s="336">
        <v>0</v>
      </c>
      <c r="OQ45" s="336">
        <v>0</v>
      </c>
      <c r="OR45" s="336">
        <v>0</v>
      </c>
      <c r="OS45" s="336">
        <v>1020531</v>
      </c>
      <c r="OT45" s="336">
        <v>0</v>
      </c>
      <c r="OU45" s="336">
        <v>0</v>
      </c>
      <c r="OV45" s="336">
        <v>0</v>
      </c>
      <c r="OW45" s="336">
        <v>0</v>
      </c>
      <c r="OX45" s="336">
        <v>0</v>
      </c>
      <c r="OY45" s="336">
        <v>0</v>
      </c>
      <c r="OZ45" s="336">
        <v>0</v>
      </c>
      <c r="PA45" s="336">
        <v>0</v>
      </c>
      <c r="PB45" s="336">
        <v>-7426263</v>
      </c>
      <c r="PC45" s="336">
        <v>0</v>
      </c>
      <c r="PD45" s="336">
        <v>0</v>
      </c>
      <c r="PE45" s="336">
        <v>-2443364</v>
      </c>
      <c r="PF45" s="336">
        <v>1210582</v>
      </c>
      <c r="PG45" s="336">
        <v>524396</v>
      </c>
      <c r="PH45" s="336">
        <v>-3556384</v>
      </c>
      <c r="PI45" s="336">
        <v>0</v>
      </c>
      <c r="PJ45" s="336">
        <v>0</v>
      </c>
      <c r="PK45" s="336">
        <v>9325320</v>
      </c>
      <c r="PL45" s="336">
        <v>1647281</v>
      </c>
      <c r="PM45" s="336">
        <v>-6133992</v>
      </c>
      <c r="PN45" s="336">
        <v>0</v>
      </c>
      <c r="PO45" s="336">
        <v>0</v>
      </c>
      <c r="PP45" s="336">
        <v>0</v>
      </c>
      <c r="PQ45" s="336">
        <v>0</v>
      </c>
      <c r="PR45" s="336">
        <v>0</v>
      </c>
      <c r="PS45" s="336">
        <v>0</v>
      </c>
      <c r="PT45" s="336">
        <v>0</v>
      </c>
      <c r="PU45" s="336">
        <v>0</v>
      </c>
      <c r="PV45" s="336">
        <v>0</v>
      </c>
      <c r="PW45" s="336">
        <v>0</v>
      </c>
      <c r="PX45" s="336">
        <v>0</v>
      </c>
      <c r="PY45" s="336">
        <v>0</v>
      </c>
      <c r="PZ45" s="336">
        <v>0</v>
      </c>
      <c r="QA45" s="336">
        <v>0</v>
      </c>
      <c r="QB45" s="336">
        <v>0</v>
      </c>
      <c r="QC45" s="336">
        <v>11042</v>
      </c>
      <c r="QD45" s="336">
        <v>-2996999</v>
      </c>
      <c r="QE45" s="336">
        <v>1465163</v>
      </c>
      <c r="QF45" s="336">
        <v>0</v>
      </c>
      <c r="QG45" s="336">
        <v>0</v>
      </c>
      <c r="QH45" s="336">
        <v>0</v>
      </c>
      <c r="QI45" s="336">
        <v>0</v>
      </c>
      <c r="QJ45" s="336">
        <v>0</v>
      </c>
      <c r="QK45" s="336">
        <v>0</v>
      </c>
      <c r="QL45" s="336">
        <v>0</v>
      </c>
      <c r="QM45" s="336">
        <v>0</v>
      </c>
      <c r="QN45" s="336">
        <v>0</v>
      </c>
      <c r="QO45" s="336">
        <v>0</v>
      </c>
      <c r="QP45" s="336">
        <v>0</v>
      </c>
      <c r="QQ45" s="336">
        <v>0</v>
      </c>
      <c r="QR45" s="336">
        <v>0</v>
      </c>
      <c r="QS45" s="336">
        <v>0</v>
      </c>
      <c r="QT45" s="336">
        <v>0</v>
      </c>
      <c r="QU45" s="336">
        <v>0</v>
      </c>
      <c r="QV45" s="336">
        <v>0</v>
      </c>
      <c r="QW45" s="336">
        <v>0</v>
      </c>
      <c r="QX45" s="336">
        <v>0</v>
      </c>
      <c r="QY45" s="336">
        <v>0</v>
      </c>
      <c r="QZ45" s="336">
        <v>0</v>
      </c>
      <c r="RA45" s="336">
        <v>0</v>
      </c>
      <c r="RB45" s="336">
        <v>0</v>
      </c>
      <c r="RC45" s="336">
        <v>0</v>
      </c>
      <c r="RD45" s="336">
        <v>0</v>
      </c>
      <c r="RE45" s="336">
        <v>0</v>
      </c>
      <c r="RF45" s="336">
        <v>0</v>
      </c>
      <c r="RG45" s="336">
        <v>0</v>
      </c>
      <c r="RH45" s="336">
        <v>0</v>
      </c>
      <c r="RI45" s="336">
        <v>0</v>
      </c>
      <c r="RJ45" s="336">
        <v>0</v>
      </c>
      <c r="RK45" s="336">
        <v>0</v>
      </c>
      <c r="RL45" s="336">
        <v>0</v>
      </c>
      <c r="RM45" s="336">
        <v>0</v>
      </c>
      <c r="RN45" s="336">
        <v>0</v>
      </c>
      <c r="RO45" s="336">
        <v>-2679894</v>
      </c>
      <c r="RP45" s="336">
        <v>0</v>
      </c>
      <c r="RQ45" s="336">
        <v>0</v>
      </c>
      <c r="RR45" s="336">
        <v>0</v>
      </c>
      <c r="RS45" s="336">
        <v>0</v>
      </c>
      <c r="RT45" s="336">
        <v>0</v>
      </c>
      <c r="RU45" s="336">
        <v>0</v>
      </c>
      <c r="RV45" s="336">
        <v>0</v>
      </c>
      <c r="RW45" s="336">
        <v>0</v>
      </c>
      <c r="RX45" s="336">
        <v>0</v>
      </c>
      <c r="RY45" s="336">
        <v>0</v>
      </c>
      <c r="RZ45" s="336">
        <v>0</v>
      </c>
      <c r="SA45" s="336">
        <v>0</v>
      </c>
      <c r="SB45" s="336">
        <v>0</v>
      </c>
      <c r="SC45" s="336">
        <v>0</v>
      </c>
      <c r="SD45" s="336">
        <v>0</v>
      </c>
      <c r="SE45" s="336">
        <v>0</v>
      </c>
      <c r="SF45" s="336">
        <v>0</v>
      </c>
      <c r="SG45" s="336">
        <v>0</v>
      </c>
      <c r="SH45" s="336">
        <v>0</v>
      </c>
      <c r="SI45" s="336">
        <v>0</v>
      </c>
      <c r="SJ45" s="336">
        <v>0</v>
      </c>
      <c r="SK45" s="336">
        <v>0</v>
      </c>
      <c r="SL45" s="336">
        <v>0</v>
      </c>
      <c r="SM45" s="336">
        <v>0</v>
      </c>
      <c r="SN45" s="336">
        <v>0</v>
      </c>
      <c r="SO45" s="336">
        <v>0</v>
      </c>
      <c r="SP45" s="336">
        <v>0</v>
      </c>
      <c r="SQ45" s="336">
        <v>121119</v>
      </c>
      <c r="SR45" s="336">
        <v>124039</v>
      </c>
      <c r="SS45" s="336">
        <v>0</v>
      </c>
      <c r="ST45" s="336">
        <v>371390</v>
      </c>
      <c r="SU45" s="336">
        <v>0</v>
      </c>
      <c r="SV45" s="336">
        <v>0</v>
      </c>
      <c r="SW45" s="336">
        <v>7426263</v>
      </c>
      <c r="SX45" s="336">
        <v>0</v>
      </c>
      <c r="SY45" s="336">
        <v>0</v>
      </c>
      <c r="SZ45" s="336" t="s">
        <v>1420</v>
      </c>
      <c r="TA45" s="336" t="s">
        <v>1420</v>
      </c>
      <c r="TB45" s="336" t="s">
        <v>1420</v>
      </c>
      <c r="TC45" s="336">
        <v>542449</v>
      </c>
      <c r="TD45" s="336">
        <v>0</v>
      </c>
      <c r="TE45" s="336">
        <v>0</v>
      </c>
      <c r="TF45" s="336">
        <v>0</v>
      </c>
      <c r="TG45" s="336">
        <v>62849</v>
      </c>
      <c r="TH45" s="336">
        <v>11250</v>
      </c>
      <c r="TI45" s="336">
        <v>0</v>
      </c>
      <c r="TJ45" s="336">
        <v>0</v>
      </c>
      <c r="TK45" s="336">
        <v>0</v>
      </c>
      <c r="TL45" s="336">
        <v>0</v>
      </c>
      <c r="TM45" s="336">
        <v>0</v>
      </c>
      <c r="TN45" s="336">
        <v>0</v>
      </c>
      <c r="TO45" s="336">
        <v>0</v>
      </c>
      <c r="TP45" s="336">
        <v>0</v>
      </c>
      <c r="TQ45" s="336">
        <v>0</v>
      </c>
      <c r="TR45" s="336">
        <v>0</v>
      </c>
      <c r="TS45" s="336">
        <v>0</v>
      </c>
      <c r="TT45" s="336">
        <v>0</v>
      </c>
      <c r="TU45" s="336">
        <v>0</v>
      </c>
      <c r="TV45" s="336">
        <v>0</v>
      </c>
      <c r="TW45" s="336">
        <v>0</v>
      </c>
      <c r="TX45" s="336">
        <v>0</v>
      </c>
      <c r="TY45" s="336">
        <v>0</v>
      </c>
      <c r="TZ45" s="336">
        <v>0</v>
      </c>
      <c r="UA45" s="336">
        <v>0</v>
      </c>
      <c r="UB45" s="336">
        <v>0</v>
      </c>
      <c r="UC45" s="336">
        <v>0</v>
      </c>
      <c r="UD45" s="336">
        <v>0</v>
      </c>
      <c r="UE45" s="336">
        <v>0</v>
      </c>
      <c r="UF45" s="336">
        <v>0</v>
      </c>
      <c r="UG45" s="336">
        <v>0</v>
      </c>
      <c r="UH45" s="336">
        <v>12219344</v>
      </c>
      <c r="UI45" s="336">
        <v>15696</v>
      </c>
      <c r="UJ45" s="336">
        <v>0</v>
      </c>
      <c r="UK45" s="336">
        <v>0</v>
      </c>
      <c r="UL45" s="336">
        <v>4597135</v>
      </c>
      <c r="UM45" s="336">
        <v>3340473</v>
      </c>
      <c r="UN45" s="336">
        <v>3204490</v>
      </c>
      <c r="UO45" s="336">
        <v>3623458</v>
      </c>
      <c r="UP45" s="336">
        <v>2310500</v>
      </c>
      <c r="UQ45" s="336">
        <v>1058158</v>
      </c>
      <c r="UR45"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616548</v>
      </c>
      <c r="US45" s="338">
        <f>SUM(Input[[#This Row],[Oth Exp E&amp;G]],Input[[#This Row],[Oth Exp Desg]],Input[[#This Row],[Oth Exp Aux]],Input[[#This Row],[Oth Exp R Exp]],Input[[#This Row],[Oth Exp Loan]],Input[[#This Row],[Oth Exp Annuity]],Input[[#This Row],[Oth Exp Unexp]],Input[[#This Row],[Oth Exp R of Ind]],Input[[#This Row],[Oth Exp Inv in P]])</f>
        <v>1020531</v>
      </c>
      <c r="UT45" s="336">
        <v>0</v>
      </c>
      <c r="UU45" s="336">
        <v>0</v>
      </c>
      <c r="UV45" s="339" t="s">
        <v>1569</v>
      </c>
      <c r="UW45" s="340">
        <v>2547497398</v>
      </c>
      <c r="UX45" s="339" t="s">
        <v>1570</v>
      </c>
      <c r="UY45" s="339" t="s">
        <v>1571</v>
      </c>
      <c r="UZ45" s="340">
        <v>2548673895</v>
      </c>
      <c r="VA45" s="339" t="s">
        <v>1572</v>
      </c>
      <c r="VB45" s="341" cm="1">
        <f t="array" ref="VB45">IFERROR(_xlfn.IFS(Input[[#This Row],[Type]]="HRI",VLOOKUP(Input[[#This Row],[Institution Name]],FTSEHRI[],9,FALSE),Input[[#This Row],[Type]]="UNIV",VLOOKUP(Input[[#This Row],[Institution Name]],FTSEUNIV[],9,FALSE),OR(Input[[#This Row],[Type]]="TSTC",Input[[#This Row],[Type]]="LSC"),VLOOKUP(Input[[#This Row],[Institution Name]],FTSETSTC[],8,FALSE)),"N/A")</f>
        <v>970.76</v>
      </c>
      <c r="VC45" s="342" t="str" cm="1">
        <f t="array" ref="VC45">IFERROR(_xlfn.IFS(Input[[#This Row],[Type]]="HRI",VLOOKUP(Input[[#This Row],[Institution Name]],FTSEHRI[],11,FALSE),Input[[#This Row],[Type]]="UNIV",VLOOKUP(Input[[#This Row],[Institution Name]],FTSEUNIV[],11,FALSE),Input[[#This Row],[Type]]="TSTC",VLOOKUP(Input[[#This Row],[Institution Name]],FTSETSTC[],10,FALSE)),"N/A")</f>
        <v>N/A</v>
      </c>
      <c r="VD45"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22947815</v>
      </c>
      <c r="VE45"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697595</v>
      </c>
      <c r="VF45" s="338">
        <f>SUM(Input[[#This Row],[Fed G&amp;C E&amp;G]],Input[[#This Row],[Fed G&amp;C Desg]],Input[[#This Row],[Fed G&amp;C R Exp]],Input[[#This Row],[Fed G&amp;C Loan]],Input[[#This Row],[Fed G&amp;C Annuity]],Input[[#This Row],[Fed G&amp;C Unexp]],Input[[#This Row],[Fed G&amp;C R of Ind]],Input[[#This Row],[Fed G&amp;C Inv in P]])</f>
        <v>4152512</v>
      </c>
      <c r="VG45"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3019727</v>
      </c>
      <c r="VH45"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4015916</v>
      </c>
      <c r="VI45"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J45" s="338">
        <f>SUM(Input[[#This Row],[Oth Inc E&amp;G]],Input[[#This Row],[Oth Exp Desg]],Input[[#This Row],[Oth Exp R Exp]],Input[[#This Row],[Oth Exp Loan]],Input[[#This Row],[Oth Exp Annuity]],Input[[#This Row],[Oth Exp Unexp]],Input[[#This Row],[Oth Exp R of Ind]],Input[[#This Row],[Oth Exp Inv in P]])</f>
        <v>1020531</v>
      </c>
      <c r="VK45" s="343">
        <f>SUM(Input[[#This Row],[Instr E&amp;G]],Input[[#This Row],[Instr Desg]],Input[[#This Row],[Instr R Exp]],Input[[#This Row],[Instr Loan]],Input[[#This Row],[Instr Annuity]],Input[[#This Row],[Instr Unexp]],Input[[#This Row],[Instr R of Ind]],Input[[#This Row],[Instr Inv in P]])</f>
        <v>12206034</v>
      </c>
      <c r="VL45" s="343">
        <f>SUM(Input[[#This Row],[Res E&amp;G]],Input[[#This Row],[Res Desg]],Input[[#This Row],[Res R Exp]],Input[[#This Row],[Res Loan]],Input[[#This Row],[Res Annuity]],Input[[#This Row],[Res Unexp]],Input[[#This Row],[Res R of Ind]],Input[[#This Row],[Res Inv in P]])</f>
        <v>15136</v>
      </c>
      <c r="VM45" s="343">
        <f>SUM(Input[[#This Row],[Acad Sup E&amp;G]],Input[[#This Row],[Acad Sup Desg]],Input[[#This Row],[Acad Sup R Exp]],Input[[#This Row],[Acad Sup Loan]],Input[[#This Row],[Acad Sup Annuity]],Input[[#This Row],[Acad Sup Unexp]],Input[[#This Row],[Acad Sup R of Ind]],Input[[#This Row],[Acad Sup Inv in P]])</f>
        <v>4593181</v>
      </c>
      <c r="VN45" s="343">
        <f>SUM(Input[[#This Row],[Stu Svc E&amp;G]],Input[[#This Row],[Stu Svc Desg]],Input[[#This Row],[Stu Svc R Exp]],Input[[#This Row],[Stu Svc Loan]],Input[[#This Row],[Stu Svc Annuity]],Input[[#This Row],[Stu Svc Unexp]],Input[[#This Row],[Stu Svc R of Ind]],Input[[#This Row],[Stu Svc Inv in P]])</f>
        <v>3336527</v>
      </c>
      <c r="VO45" s="343">
        <f>SUM(Input[[#This Row],[Inst. Spt E&amp;G]],Input[[#This Row],[Inst. Spt Desg]],Input[[#This Row],[Inst. Spt R Exp]],Input[[#This Row],[Inst. Spt Loan]],Input[[#This Row],[Inst. Spt Annuity]],Input[[#This Row],[Inst. Spt Unexp]],Input[[#This Row],[Inst. Spt R of Ind]],Input[[#This Row],[Inst. Spt Inv in P]])</f>
        <v>3199127</v>
      </c>
      <c r="VP45" s="343">
        <f>SUM(Input[[#This Row],[M&amp;O Plnt E&amp;G]],Input[[#This Row],[M&amp;O Plnt Desg]],Input[[#This Row],[M&amp;O Plnt R Exp]],Input[[#This Row],[M&amp;O Plnt Loan]],Input[[#This Row],[M&amp;O Plnt Annuity]],Input[[#This Row],[M&amp;O Plnt Unexp]],Input[[#This Row],[M&amp;O Plnt R of Ind]],Input[[#This Row],[M&amp;O Plnt Inv in P]])</f>
        <v>3621742</v>
      </c>
      <c r="VQ45" s="343">
        <f>SUM(Input[[#This Row],[Schl &amp; Fell E&amp;G]],Input[[#This Row],[Schl &amp; Fell Desg]],Input[[#This Row],[Schl &amp; Fell R Exp]],Input[[#This Row],[Schl &amp; Fell Loan]],Input[[#This Row],[Schl &amp; Fell Annuity]],Input[[#This Row],[Schl &amp; Fell Unexp]],Input[[#This Row],[Schl &amp; Fell R of Ind]],Input[[#This Row],[Schl &amp; Fell Inv in P]])</f>
        <v>2310500</v>
      </c>
      <c r="VR45" s="343">
        <f>SUM(Input[[#This Row],[Cap Out fund E&amp;G]],Input[[#This Row],[Cap Out fund Desg]],Input[[#This Row],[Cap Out fund R Exp]],Input[[#This Row],[Cap Out fund Loan]],Input[[#This Row],[Cap Out fund Annuity]],Input[[#This Row],[Cap Out fund Unexp]],Input[[#This Row],[Cap Out fund R of Ind]],Input[[#This Row],[Cap Out fund Inv in P]])</f>
        <v>616548</v>
      </c>
      <c r="VS45" s="343">
        <f>SUM(Input[[#This Row],[Oth Exp E&amp;G]],Input[[#This Row],[Oth Exp Desg]],Input[[#This Row],[Oth Exp R Exp]],Input[[#This Row],[Oth Exp Loan]],Input[[#This Row],[Oth Exp Annuity]],Input[[#This Row],[Oth Exp Unexp]],Input[[#This Row],[Oth Exp R of Ind]],Input[[#This Row],[Oth Exp Inv in P]],Input[[#This Row],[Oth Exp Inv in P]])</f>
        <v>1020531</v>
      </c>
    </row>
    <row r="46" spans="1:591" s="344" customFormat="1" ht="27" customHeight="1" x14ac:dyDescent="0.55000000000000004">
      <c r="A46" s="339" t="s">
        <v>1621</v>
      </c>
      <c r="B46" s="334" t="s">
        <v>20</v>
      </c>
      <c r="C46" s="334" t="s">
        <v>1624</v>
      </c>
      <c r="D46" s="334">
        <v>555</v>
      </c>
      <c r="E46" s="334" t="s">
        <v>1622</v>
      </c>
      <c r="F46" s="335">
        <v>9642</v>
      </c>
      <c r="G46" s="336">
        <v>9247440</v>
      </c>
      <c r="H46" s="336">
        <v>0</v>
      </c>
      <c r="I46" s="336">
        <v>0</v>
      </c>
      <c r="J46" s="336">
        <v>0</v>
      </c>
      <c r="K46" s="336">
        <v>0</v>
      </c>
      <c r="L46" s="336">
        <v>0</v>
      </c>
      <c r="M46" s="336">
        <v>0</v>
      </c>
      <c r="N46" s="336">
        <v>0</v>
      </c>
      <c r="O46" s="336">
        <v>0</v>
      </c>
      <c r="P46" s="336">
        <v>0</v>
      </c>
      <c r="Q46" s="336">
        <v>0</v>
      </c>
      <c r="R46" s="336">
        <v>0</v>
      </c>
      <c r="S46" s="336">
        <v>0</v>
      </c>
      <c r="T46" s="336">
        <v>0</v>
      </c>
      <c r="U46" s="336">
        <v>0</v>
      </c>
      <c r="V46" s="336">
        <v>0</v>
      </c>
      <c r="W46" s="336">
        <v>0</v>
      </c>
      <c r="X46" s="336">
        <v>0</v>
      </c>
      <c r="Y46" s="336">
        <v>0</v>
      </c>
      <c r="Z46" s="336">
        <v>0</v>
      </c>
      <c r="AA46" s="336">
        <v>0</v>
      </c>
      <c r="AB46" s="336">
        <v>0</v>
      </c>
      <c r="AC46" s="336">
        <v>0</v>
      </c>
      <c r="AD46" s="336">
        <v>0</v>
      </c>
      <c r="AE46" s="336">
        <v>0</v>
      </c>
      <c r="AF46" s="336">
        <v>0</v>
      </c>
      <c r="AG46" s="336">
        <v>0</v>
      </c>
      <c r="AH46" s="336">
        <v>0</v>
      </c>
      <c r="AI46" s="336">
        <v>0</v>
      </c>
      <c r="AJ46" s="336">
        <v>0</v>
      </c>
      <c r="AK46" s="336">
        <v>0</v>
      </c>
      <c r="AL46" s="336">
        <v>0</v>
      </c>
      <c r="AM46" s="336">
        <v>0</v>
      </c>
      <c r="AN46" s="336">
        <v>0</v>
      </c>
      <c r="AO46" s="336">
        <v>0</v>
      </c>
      <c r="AP46" s="336">
        <v>0</v>
      </c>
      <c r="AQ46" s="336">
        <v>0</v>
      </c>
      <c r="AR46" s="336">
        <v>0</v>
      </c>
      <c r="AS46" s="336">
        <v>0</v>
      </c>
      <c r="AT46" s="336">
        <v>0</v>
      </c>
      <c r="AU46" s="336">
        <v>0</v>
      </c>
      <c r="AV46" s="336">
        <v>0</v>
      </c>
      <c r="AW46" s="336">
        <v>0</v>
      </c>
      <c r="AX46" s="336">
        <v>0</v>
      </c>
      <c r="AY46" s="336">
        <v>0</v>
      </c>
      <c r="AZ46" s="336">
        <v>0</v>
      </c>
      <c r="BA46" s="336">
        <v>0</v>
      </c>
      <c r="BB46" s="336">
        <v>0</v>
      </c>
      <c r="BC46" s="336">
        <v>0</v>
      </c>
      <c r="BD46" s="336">
        <v>0</v>
      </c>
      <c r="BE46" s="336">
        <v>0</v>
      </c>
      <c r="BF46" s="336">
        <v>0</v>
      </c>
      <c r="BG46" s="336">
        <v>0</v>
      </c>
      <c r="BH46" s="336">
        <v>0</v>
      </c>
      <c r="BI46" s="336">
        <v>0</v>
      </c>
      <c r="BJ46" s="336">
        <v>0</v>
      </c>
      <c r="BK46" s="336">
        <v>0</v>
      </c>
      <c r="BL46" s="336">
        <v>0</v>
      </c>
      <c r="BM46" s="336">
        <v>0</v>
      </c>
      <c r="BN46" s="336">
        <v>0</v>
      </c>
      <c r="BO46" s="336">
        <v>0</v>
      </c>
      <c r="BP46" s="336">
        <v>0</v>
      </c>
      <c r="BQ46" s="336">
        <v>0</v>
      </c>
      <c r="BR46" s="336">
        <v>0</v>
      </c>
      <c r="BS46" s="336">
        <v>0</v>
      </c>
      <c r="BT46" s="336">
        <v>0</v>
      </c>
      <c r="BU46" s="336">
        <v>0</v>
      </c>
      <c r="BV46" s="336">
        <v>0</v>
      </c>
      <c r="BW46" s="336">
        <v>0</v>
      </c>
      <c r="BX46" s="336">
        <v>0</v>
      </c>
      <c r="BY46" s="336">
        <v>0</v>
      </c>
      <c r="BZ46" s="336">
        <v>0</v>
      </c>
      <c r="CA46" s="336">
        <v>0</v>
      </c>
      <c r="CB46" s="336">
        <v>0</v>
      </c>
      <c r="CC46" s="336">
        <v>0</v>
      </c>
      <c r="CD46" s="336">
        <v>0</v>
      </c>
      <c r="CE46" s="336">
        <v>0</v>
      </c>
      <c r="CF46" s="336">
        <v>0</v>
      </c>
      <c r="CG46" s="336">
        <v>0</v>
      </c>
      <c r="CH46" s="336">
        <v>0</v>
      </c>
      <c r="CI46" s="336">
        <v>0</v>
      </c>
      <c r="CJ46" s="336">
        <v>0</v>
      </c>
      <c r="CK46" s="336">
        <v>0</v>
      </c>
      <c r="CL46" s="336">
        <v>0</v>
      </c>
      <c r="CM46" s="336">
        <v>0</v>
      </c>
      <c r="CN46" s="336">
        <v>0</v>
      </c>
      <c r="CO46" s="336">
        <v>0</v>
      </c>
      <c r="CP46" s="336">
        <v>0</v>
      </c>
      <c r="CQ46" s="336">
        <v>0</v>
      </c>
      <c r="CR46" s="336">
        <v>0</v>
      </c>
      <c r="CS46" s="336">
        <v>0</v>
      </c>
      <c r="CT46" s="336">
        <v>0</v>
      </c>
      <c r="CU46" s="336">
        <v>0</v>
      </c>
      <c r="CV46" s="336">
        <v>0</v>
      </c>
      <c r="CW46" s="336">
        <v>0</v>
      </c>
      <c r="CX46" s="336">
        <v>0</v>
      </c>
      <c r="CY46" s="336">
        <v>0</v>
      </c>
      <c r="CZ46" s="336">
        <v>0</v>
      </c>
      <c r="DA46" s="336">
        <v>0</v>
      </c>
      <c r="DB46" s="336">
        <v>0</v>
      </c>
      <c r="DC46" s="336">
        <v>0</v>
      </c>
      <c r="DD46" s="336">
        <v>0</v>
      </c>
      <c r="DE46" s="336">
        <v>0</v>
      </c>
      <c r="DF46" s="336">
        <v>0</v>
      </c>
      <c r="DG46" s="336">
        <v>0</v>
      </c>
      <c r="DH46" s="336">
        <v>0</v>
      </c>
      <c r="DI46" s="336">
        <v>0</v>
      </c>
      <c r="DJ46" s="336">
        <v>0</v>
      </c>
      <c r="DK46" s="336">
        <v>0</v>
      </c>
      <c r="DL46" s="336">
        <v>0</v>
      </c>
      <c r="DM46" s="336">
        <v>0</v>
      </c>
      <c r="DN46" s="336">
        <v>0</v>
      </c>
      <c r="DO46" s="336">
        <v>0</v>
      </c>
      <c r="DP46" s="336">
        <v>0</v>
      </c>
      <c r="DQ46" s="336">
        <v>0</v>
      </c>
      <c r="DR46" s="336">
        <v>0</v>
      </c>
      <c r="DS46" s="336">
        <v>0</v>
      </c>
      <c r="DT46" s="336">
        <v>0</v>
      </c>
      <c r="DU46" s="336">
        <v>0</v>
      </c>
      <c r="DV46" s="336">
        <v>0</v>
      </c>
      <c r="DW46" s="336">
        <v>0</v>
      </c>
      <c r="DX46" s="336">
        <v>0</v>
      </c>
      <c r="DY46" s="336">
        <v>0</v>
      </c>
      <c r="DZ46" s="336">
        <v>0</v>
      </c>
      <c r="EA46" s="336">
        <v>0</v>
      </c>
      <c r="EB46" s="336">
        <v>0</v>
      </c>
      <c r="EC46" s="336">
        <v>0</v>
      </c>
      <c r="ED46" s="336">
        <v>0</v>
      </c>
      <c r="EE46" s="336">
        <v>0</v>
      </c>
      <c r="EF46" s="336">
        <v>0</v>
      </c>
      <c r="EG46" s="336">
        <v>0</v>
      </c>
      <c r="EH46" s="336">
        <v>0</v>
      </c>
      <c r="EI46" s="336">
        <v>0</v>
      </c>
      <c r="EJ46" s="336">
        <v>0</v>
      </c>
      <c r="EK46" s="336">
        <v>0</v>
      </c>
      <c r="EL46" s="336">
        <v>0</v>
      </c>
      <c r="EM46" s="336">
        <v>0</v>
      </c>
      <c r="EN46" s="336">
        <v>0</v>
      </c>
      <c r="EO46" s="336">
        <v>0</v>
      </c>
      <c r="EP46" s="336">
        <v>0</v>
      </c>
      <c r="EQ46" s="336">
        <v>0</v>
      </c>
      <c r="ER46" s="336">
        <v>0</v>
      </c>
      <c r="ES46" s="336">
        <v>0</v>
      </c>
      <c r="ET46" s="336">
        <v>0</v>
      </c>
      <c r="EU46" s="336">
        <v>0</v>
      </c>
      <c r="EV46" s="336">
        <v>0</v>
      </c>
      <c r="EW46" s="336">
        <v>0</v>
      </c>
      <c r="EX46" s="336">
        <v>0</v>
      </c>
      <c r="EY46" s="336">
        <v>0</v>
      </c>
      <c r="EZ46" s="336">
        <v>0</v>
      </c>
      <c r="FA46" s="336">
        <v>0</v>
      </c>
      <c r="FB46" s="336">
        <v>0</v>
      </c>
      <c r="FC46" s="336">
        <v>0</v>
      </c>
      <c r="FD46" s="336">
        <v>0</v>
      </c>
      <c r="FE46" s="336">
        <v>0</v>
      </c>
      <c r="FF46" s="336">
        <v>0</v>
      </c>
      <c r="FG46" s="336">
        <v>0</v>
      </c>
      <c r="FH46" s="336">
        <v>0</v>
      </c>
      <c r="FI46" s="336">
        <v>0</v>
      </c>
      <c r="FJ46" s="336">
        <v>0</v>
      </c>
      <c r="FK46" s="336">
        <v>0</v>
      </c>
      <c r="FL46" s="336">
        <v>0</v>
      </c>
      <c r="FM46" s="336">
        <v>0</v>
      </c>
      <c r="FN46" s="336">
        <v>0</v>
      </c>
      <c r="FO46" s="336">
        <v>0</v>
      </c>
      <c r="FP46" s="336">
        <v>0</v>
      </c>
      <c r="FQ46" s="336">
        <v>0</v>
      </c>
      <c r="FR46" s="336">
        <v>0</v>
      </c>
      <c r="FS46" s="336">
        <v>0</v>
      </c>
      <c r="FT46" s="336">
        <v>0</v>
      </c>
      <c r="FU46" s="336">
        <v>0</v>
      </c>
      <c r="FV46" s="336">
        <v>0</v>
      </c>
      <c r="FW46" s="336">
        <v>0</v>
      </c>
      <c r="FX46" s="336">
        <v>0</v>
      </c>
      <c r="FY46" s="336">
        <v>0</v>
      </c>
      <c r="FZ46" s="336">
        <v>0</v>
      </c>
      <c r="GA46" s="336">
        <v>0</v>
      </c>
      <c r="GB46" s="336">
        <v>0</v>
      </c>
      <c r="GC46" s="336">
        <v>0</v>
      </c>
      <c r="GD46" s="336">
        <v>0</v>
      </c>
      <c r="GE46" s="336">
        <v>0</v>
      </c>
      <c r="GF46" s="336">
        <v>0</v>
      </c>
      <c r="GG46" s="336">
        <v>0</v>
      </c>
      <c r="GH46" s="336">
        <v>0</v>
      </c>
      <c r="GI46" s="336">
        <v>0</v>
      </c>
      <c r="GJ46" s="336">
        <v>0</v>
      </c>
      <c r="GK46" s="336">
        <v>0</v>
      </c>
      <c r="GL46" s="336">
        <v>0</v>
      </c>
      <c r="GM46" s="336">
        <v>0</v>
      </c>
      <c r="GN46" s="336">
        <v>0</v>
      </c>
      <c r="GO46" s="336">
        <v>0</v>
      </c>
      <c r="GP46" s="336">
        <v>0</v>
      </c>
      <c r="GQ46" s="336">
        <v>0</v>
      </c>
      <c r="GR46" s="336">
        <v>0</v>
      </c>
      <c r="GS46" s="336">
        <v>0</v>
      </c>
      <c r="GT46" s="336">
        <v>0</v>
      </c>
      <c r="GU46" s="336">
        <v>0</v>
      </c>
      <c r="GV46" s="336">
        <v>0</v>
      </c>
      <c r="GW46" s="336">
        <v>0</v>
      </c>
      <c r="GX46" s="336">
        <v>0</v>
      </c>
      <c r="GY46" s="336">
        <v>0</v>
      </c>
      <c r="GZ46" s="336">
        <v>0</v>
      </c>
      <c r="HA46" s="336">
        <v>0</v>
      </c>
      <c r="HB46" s="336">
        <v>0</v>
      </c>
      <c r="HC46" s="336">
        <v>0</v>
      </c>
      <c r="HD46" s="336">
        <v>0</v>
      </c>
      <c r="HE46" s="336">
        <v>0</v>
      </c>
      <c r="HF46" s="336">
        <v>0</v>
      </c>
      <c r="HG46" s="336">
        <v>0</v>
      </c>
      <c r="HH46" s="336">
        <v>0</v>
      </c>
      <c r="HI46" s="336">
        <v>0</v>
      </c>
      <c r="HJ46" s="336">
        <v>0</v>
      </c>
      <c r="HK46" s="336">
        <v>0</v>
      </c>
      <c r="HL46" s="336">
        <v>0</v>
      </c>
      <c r="HM46" s="336">
        <v>0</v>
      </c>
      <c r="HN46" s="336">
        <v>0</v>
      </c>
      <c r="HO46" s="336">
        <v>0</v>
      </c>
      <c r="HP46" s="336">
        <v>0</v>
      </c>
      <c r="HQ46" s="336">
        <v>0</v>
      </c>
      <c r="HR46" s="336">
        <v>0</v>
      </c>
      <c r="HS46" s="336">
        <v>0</v>
      </c>
      <c r="HT46" s="336">
        <v>0</v>
      </c>
      <c r="HU46" s="336">
        <v>0</v>
      </c>
      <c r="HV46" s="336">
        <v>0</v>
      </c>
      <c r="HW46" s="336">
        <v>0</v>
      </c>
      <c r="HX46" s="336">
        <v>0</v>
      </c>
      <c r="HY46" s="336">
        <v>0</v>
      </c>
      <c r="HZ46" s="336">
        <v>0</v>
      </c>
      <c r="IA46" s="336">
        <v>0</v>
      </c>
      <c r="IB46" s="336">
        <v>0</v>
      </c>
      <c r="IC46" s="336">
        <v>0</v>
      </c>
      <c r="ID46" s="336">
        <v>0</v>
      </c>
      <c r="IE46" s="336">
        <v>0</v>
      </c>
      <c r="IF46" s="336">
        <v>0</v>
      </c>
      <c r="IG46" s="336">
        <v>0</v>
      </c>
      <c r="IH46" s="336">
        <v>0</v>
      </c>
      <c r="II46" s="336">
        <v>0</v>
      </c>
      <c r="IJ46" s="336">
        <v>0</v>
      </c>
      <c r="IK46" s="336">
        <v>0</v>
      </c>
      <c r="IL46" s="336">
        <v>0</v>
      </c>
      <c r="IM46" s="336">
        <v>0</v>
      </c>
      <c r="IN46" s="336">
        <v>0</v>
      </c>
      <c r="IO46" s="336">
        <v>0</v>
      </c>
      <c r="IP46" s="336">
        <v>184648</v>
      </c>
      <c r="IQ46" s="336">
        <v>1813038</v>
      </c>
      <c r="IR46" s="336">
        <v>0</v>
      </c>
      <c r="IS46" s="336">
        <v>0</v>
      </c>
      <c r="IT46" s="336">
        <v>0</v>
      </c>
      <c r="IU46" s="336">
        <v>0</v>
      </c>
      <c r="IV46" s="336">
        <v>14812566</v>
      </c>
      <c r="IW46" s="336">
        <v>0</v>
      </c>
      <c r="IX46" s="336">
        <v>0</v>
      </c>
      <c r="IY46" s="336">
        <v>0</v>
      </c>
      <c r="IZ46" s="336">
        <v>0</v>
      </c>
      <c r="JA46" s="336">
        <v>0</v>
      </c>
      <c r="JB46" s="336">
        <v>0</v>
      </c>
      <c r="JC46" s="336">
        <v>0</v>
      </c>
      <c r="JD46" s="336">
        <v>0</v>
      </c>
      <c r="JE46" s="336">
        <v>0</v>
      </c>
      <c r="JF46" s="336">
        <v>0</v>
      </c>
      <c r="JG46" s="336">
        <v>0</v>
      </c>
      <c r="JH46" s="336">
        <v>0</v>
      </c>
      <c r="JI46" s="336">
        <v>0</v>
      </c>
      <c r="JJ46" s="336">
        <v>0</v>
      </c>
      <c r="JK46" s="336">
        <v>0</v>
      </c>
      <c r="JL46" s="336">
        <v>0</v>
      </c>
      <c r="JM46" s="336">
        <v>0</v>
      </c>
      <c r="JN46" s="336">
        <v>0</v>
      </c>
      <c r="JO46" s="336">
        <v>0</v>
      </c>
      <c r="JP46" s="336">
        <v>0</v>
      </c>
      <c r="JQ46" s="336">
        <v>0</v>
      </c>
      <c r="JR46" s="336">
        <v>397122</v>
      </c>
      <c r="JS46" s="336">
        <v>0</v>
      </c>
      <c r="JT46" s="336">
        <v>0</v>
      </c>
      <c r="JU46" s="336">
        <v>0</v>
      </c>
      <c r="JV46" s="336">
        <v>0</v>
      </c>
      <c r="JW46" s="336">
        <v>0</v>
      </c>
      <c r="JX46" s="336">
        <v>0</v>
      </c>
      <c r="JY46" s="336">
        <v>0</v>
      </c>
      <c r="JZ46" s="336">
        <v>0</v>
      </c>
      <c r="KA46" s="336">
        <v>0</v>
      </c>
      <c r="KB46" s="336">
        <v>54509</v>
      </c>
      <c r="KC46" s="336">
        <v>0</v>
      </c>
      <c r="KD46" s="336">
        <v>0</v>
      </c>
      <c r="KE46" s="336">
        <v>0</v>
      </c>
      <c r="KF46" s="336">
        <v>0</v>
      </c>
      <c r="KG46" s="336">
        <v>0</v>
      </c>
      <c r="KH46" s="336">
        <v>0</v>
      </c>
      <c r="KI46" s="336">
        <v>0</v>
      </c>
      <c r="KJ46" s="336">
        <v>3489</v>
      </c>
      <c r="KK46" s="336">
        <v>0</v>
      </c>
      <c r="KL46" s="336">
        <v>0</v>
      </c>
      <c r="KM46" s="336">
        <v>0</v>
      </c>
      <c r="KN46" s="336">
        <v>0</v>
      </c>
      <c r="KO46" s="336">
        <v>0</v>
      </c>
      <c r="KP46" s="336">
        <v>0</v>
      </c>
      <c r="KQ46" s="336">
        <v>0</v>
      </c>
      <c r="KR46" s="336">
        <v>940069</v>
      </c>
      <c r="KS46" s="336">
        <v>5293879</v>
      </c>
      <c r="KT46" s="336">
        <v>1587</v>
      </c>
      <c r="KU46" s="336">
        <v>0</v>
      </c>
      <c r="KV46" s="336">
        <v>0</v>
      </c>
      <c r="KW46" s="336">
        <v>0</v>
      </c>
      <c r="KX46" s="336">
        <v>0</v>
      </c>
      <c r="KY46" s="336">
        <v>0</v>
      </c>
      <c r="KZ46" s="336">
        <v>0</v>
      </c>
      <c r="LA46" s="336">
        <v>339718</v>
      </c>
      <c r="LB46" s="336">
        <v>2904477</v>
      </c>
      <c r="LC46" s="336">
        <v>67</v>
      </c>
      <c r="LD46" s="336">
        <v>0</v>
      </c>
      <c r="LE46" s="336">
        <v>0</v>
      </c>
      <c r="LF46" s="336">
        <v>0</v>
      </c>
      <c r="LG46" s="336">
        <v>0</v>
      </c>
      <c r="LH46" s="336">
        <v>0</v>
      </c>
      <c r="LI46" s="336">
        <v>0</v>
      </c>
      <c r="LJ46" s="336">
        <v>0</v>
      </c>
      <c r="LK46" s="336">
        <v>0</v>
      </c>
      <c r="LL46" s="336">
        <v>0</v>
      </c>
      <c r="LM46" s="336">
        <v>0</v>
      </c>
      <c r="LN46" s="336">
        <v>0</v>
      </c>
      <c r="LO46" s="336">
        <v>0</v>
      </c>
      <c r="LP46" s="336">
        <v>0</v>
      </c>
      <c r="LQ46" s="336">
        <v>0</v>
      </c>
      <c r="LR46" s="336">
        <v>0</v>
      </c>
      <c r="LS46" s="336">
        <v>0</v>
      </c>
      <c r="LT46" s="336">
        <v>0</v>
      </c>
      <c r="LU46" s="336">
        <v>0</v>
      </c>
      <c r="LV46" s="336">
        <v>0</v>
      </c>
      <c r="LW46" s="336">
        <v>0</v>
      </c>
      <c r="LX46" s="336">
        <v>0</v>
      </c>
      <c r="LY46" s="336">
        <v>0</v>
      </c>
      <c r="LZ46" s="336">
        <v>0</v>
      </c>
      <c r="MA46" s="336">
        <v>0</v>
      </c>
      <c r="MB46" s="336">
        <v>9914</v>
      </c>
      <c r="MC46" s="336">
        <v>853715</v>
      </c>
      <c r="MD46" s="336">
        <v>471</v>
      </c>
      <c r="ME46" s="336">
        <v>0</v>
      </c>
      <c r="MF46" s="336">
        <v>0</v>
      </c>
      <c r="MG46" s="336">
        <v>0</v>
      </c>
      <c r="MH46" s="336">
        <v>0</v>
      </c>
      <c r="MI46" s="336">
        <v>0</v>
      </c>
      <c r="MJ46" s="336">
        <v>0</v>
      </c>
      <c r="MK46" s="336">
        <v>-29379</v>
      </c>
      <c r="ML46" s="336">
        <v>1751162</v>
      </c>
      <c r="MM46" s="336">
        <v>470</v>
      </c>
      <c r="MN46" s="336">
        <v>0</v>
      </c>
      <c r="MO46" s="336">
        <v>0</v>
      </c>
      <c r="MP46" s="336">
        <v>0</v>
      </c>
      <c r="MQ46" s="336">
        <v>0</v>
      </c>
      <c r="MR46" s="336">
        <v>0</v>
      </c>
      <c r="MS46" s="336">
        <v>0</v>
      </c>
      <c r="MT46" s="336">
        <v>4439401</v>
      </c>
      <c r="MU46" s="336">
        <v>5950709</v>
      </c>
      <c r="MV46" s="336">
        <v>640</v>
      </c>
      <c r="MW46" s="336">
        <v>0</v>
      </c>
      <c r="MX46" s="336">
        <v>0</v>
      </c>
      <c r="MY46" s="336">
        <v>0</v>
      </c>
      <c r="MZ46" s="336">
        <v>0</v>
      </c>
      <c r="NA46" s="336">
        <v>0</v>
      </c>
      <c r="NB46" s="336">
        <v>0</v>
      </c>
      <c r="NC46" s="336">
        <v>682831</v>
      </c>
      <c r="ND46" s="336">
        <v>762602</v>
      </c>
      <c r="NE46" s="336">
        <v>205</v>
      </c>
      <c r="NF46" s="336">
        <v>0</v>
      </c>
      <c r="NG46" s="336">
        <v>0</v>
      </c>
      <c r="NH46" s="336">
        <v>0</v>
      </c>
      <c r="NI46" s="336">
        <v>0</v>
      </c>
      <c r="NJ46" s="336">
        <v>0</v>
      </c>
      <c r="NK46" s="336">
        <v>0</v>
      </c>
      <c r="NL46" s="336">
        <v>0</v>
      </c>
      <c r="NM46" s="336">
        <v>0</v>
      </c>
      <c r="NN46" s="336">
        <v>0</v>
      </c>
      <c r="NO46" s="336">
        <v>0</v>
      </c>
      <c r="NP46" s="336">
        <v>0</v>
      </c>
      <c r="NQ46" s="336">
        <v>0</v>
      </c>
      <c r="NR46" s="336">
        <v>0</v>
      </c>
      <c r="NS46" s="336">
        <v>0</v>
      </c>
      <c r="NT46" s="336">
        <v>0</v>
      </c>
      <c r="NU46" s="336">
        <v>1462</v>
      </c>
      <c r="NV46" s="336">
        <v>226391</v>
      </c>
      <c r="NW46" s="336">
        <v>70</v>
      </c>
      <c r="NX46" s="336">
        <v>0</v>
      </c>
      <c r="NY46" s="336">
        <v>0</v>
      </c>
      <c r="NZ46" s="336">
        <v>0</v>
      </c>
      <c r="OA46" s="336">
        <v>0</v>
      </c>
      <c r="OB46" s="336">
        <v>0</v>
      </c>
      <c r="OC46" s="336">
        <v>0</v>
      </c>
      <c r="OD46" s="336">
        <v>0</v>
      </c>
      <c r="OE46" s="336">
        <v>0</v>
      </c>
      <c r="OF46" s="336">
        <v>0</v>
      </c>
      <c r="OG46" s="336">
        <v>0</v>
      </c>
      <c r="OH46" s="336">
        <v>0</v>
      </c>
      <c r="OI46" s="336">
        <v>0</v>
      </c>
      <c r="OJ46" s="336">
        <v>0</v>
      </c>
      <c r="OK46" s="336">
        <v>0</v>
      </c>
      <c r="OL46" s="336">
        <v>0</v>
      </c>
      <c r="OM46" s="336">
        <v>0</v>
      </c>
      <c r="ON46" s="336">
        <v>0</v>
      </c>
      <c r="OO46" s="336">
        <v>0</v>
      </c>
      <c r="OP46" s="336">
        <v>0</v>
      </c>
      <c r="OQ46" s="336">
        <v>0</v>
      </c>
      <c r="OR46" s="336">
        <v>0</v>
      </c>
      <c r="OS46" s="336">
        <v>0</v>
      </c>
      <c r="OT46" s="336">
        <v>0</v>
      </c>
      <c r="OU46" s="336">
        <v>0</v>
      </c>
      <c r="OV46" s="336">
        <v>0</v>
      </c>
      <c r="OW46" s="336">
        <v>0</v>
      </c>
      <c r="OX46" s="336">
        <v>0</v>
      </c>
      <c r="OY46" s="336">
        <v>0</v>
      </c>
      <c r="OZ46" s="336">
        <v>0</v>
      </c>
      <c r="PA46" s="336">
        <v>0</v>
      </c>
      <c r="PB46" s="336">
        <v>0</v>
      </c>
      <c r="PC46" s="336">
        <v>0</v>
      </c>
      <c r="PD46" s="336">
        <v>0</v>
      </c>
      <c r="PE46" s="336">
        <v>-2978538</v>
      </c>
      <c r="PF46" s="336">
        <v>-853458</v>
      </c>
      <c r="PG46" s="336">
        <v>0</v>
      </c>
      <c r="PH46" s="336">
        <v>0</v>
      </c>
      <c r="PI46" s="336">
        <v>0</v>
      </c>
      <c r="PJ46" s="336">
        <v>0</v>
      </c>
      <c r="PK46" s="336">
        <v>-6241574</v>
      </c>
      <c r="PL46" s="336">
        <v>1581688</v>
      </c>
      <c r="PM46" s="336">
        <v>0</v>
      </c>
      <c r="PN46" s="336">
        <v>0</v>
      </c>
      <c r="PO46" s="336">
        <v>0</v>
      </c>
      <c r="PP46" s="336">
        <v>0</v>
      </c>
      <c r="PQ46" s="336">
        <v>0</v>
      </c>
      <c r="PR46" s="336">
        <v>0</v>
      </c>
      <c r="PS46" s="336">
        <v>0</v>
      </c>
      <c r="PT46" s="336">
        <v>0</v>
      </c>
      <c r="PU46" s="336">
        <v>0</v>
      </c>
      <c r="PV46" s="336">
        <v>0</v>
      </c>
      <c r="PW46" s="336">
        <v>0</v>
      </c>
      <c r="PX46" s="336">
        <v>0</v>
      </c>
      <c r="PY46" s="336">
        <v>0</v>
      </c>
      <c r="PZ46" s="336">
        <v>0</v>
      </c>
      <c r="QA46" s="336">
        <v>0</v>
      </c>
      <c r="QB46" s="336">
        <v>0</v>
      </c>
      <c r="QC46" s="336">
        <v>0</v>
      </c>
      <c r="QD46" s="336">
        <v>-2556688</v>
      </c>
      <c r="QE46" s="336">
        <v>704579</v>
      </c>
      <c r="QF46" s="336">
        <v>0</v>
      </c>
      <c r="QG46" s="336">
        <v>0</v>
      </c>
      <c r="QH46" s="336">
        <v>0</v>
      </c>
      <c r="QI46" s="336">
        <v>0</v>
      </c>
      <c r="QJ46" s="336">
        <v>0</v>
      </c>
      <c r="QK46" s="336">
        <v>0</v>
      </c>
      <c r="QL46" s="336">
        <v>0</v>
      </c>
      <c r="QM46" s="336">
        <v>0</v>
      </c>
      <c r="QN46" s="336">
        <v>0</v>
      </c>
      <c r="QO46" s="336">
        <v>0</v>
      </c>
      <c r="QP46" s="336">
        <v>0</v>
      </c>
      <c r="QQ46" s="336">
        <v>0</v>
      </c>
      <c r="QR46" s="336">
        <v>0</v>
      </c>
      <c r="QS46" s="336">
        <v>0</v>
      </c>
      <c r="QT46" s="336">
        <v>0</v>
      </c>
      <c r="QU46" s="336">
        <v>0</v>
      </c>
      <c r="QV46" s="336">
        <v>0</v>
      </c>
      <c r="QW46" s="336">
        <v>0</v>
      </c>
      <c r="QX46" s="336">
        <v>0</v>
      </c>
      <c r="QY46" s="336">
        <v>0</v>
      </c>
      <c r="QZ46" s="336">
        <v>0</v>
      </c>
      <c r="RA46" s="336">
        <v>0</v>
      </c>
      <c r="RB46" s="336">
        <v>0</v>
      </c>
      <c r="RC46" s="336">
        <v>0</v>
      </c>
      <c r="RD46" s="336">
        <v>0</v>
      </c>
      <c r="RE46" s="336">
        <v>0</v>
      </c>
      <c r="RF46" s="336">
        <v>0</v>
      </c>
      <c r="RG46" s="336">
        <v>0</v>
      </c>
      <c r="RH46" s="336">
        <v>0</v>
      </c>
      <c r="RI46" s="336">
        <v>0</v>
      </c>
      <c r="RJ46" s="336">
        <v>0</v>
      </c>
      <c r="RK46" s="336">
        <v>0</v>
      </c>
      <c r="RL46" s="336">
        <v>0</v>
      </c>
      <c r="RM46" s="336">
        <v>0</v>
      </c>
      <c r="RN46" s="336">
        <v>0</v>
      </c>
      <c r="RO46" s="336">
        <v>-2993992</v>
      </c>
      <c r="RP46" s="336">
        <v>0</v>
      </c>
      <c r="RQ46" s="336">
        <v>0</v>
      </c>
      <c r="RR46" s="336">
        <v>0</v>
      </c>
      <c r="RS46" s="336">
        <v>0</v>
      </c>
      <c r="RT46" s="336">
        <v>0</v>
      </c>
      <c r="RU46" s="336">
        <v>0</v>
      </c>
      <c r="RV46" s="336">
        <v>0</v>
      </c>
      <c r="RW46" s="336">
        <v>0</v>
      </c>
      <c r="RX46" s="336">
        <v>0</v>
      </c>
      <c r="RY46" s="336">
        <v>0</v>
      </c>
      <c r="RZ46" s="336">
        <v>0</v>
      </c>
      <c r="SA46" s="336">
        <v>0</v>
      </c>
      <c r="SB46" s="336">
        <v>0</v>
      </c>
      <c r="SC46" s="336">
        <v>0</v>
      </c>
      <c r="SD46" s="336">
        <v>0</v>
      </c>
      <c r="SE46" s="336">
        <v>0</v>
      </c>
      <c r="SF46" s="336">
        <v>0</v>
      </c>
      <c r="SG46" s="336">
        <v>0</v>
      </c>
      <c r="SH46" s="336">
        <v>0</v>
      </c>
      <c r="SI46" s="336">
        <v>0</v>
      </c>
      <c r="SJ46" s="336">
        <v>0</v>
      </c>
      <c r="SK46" s="336">
        <v>0</v>
      </c>
      <c r="SL46" s="336">
        <v>0</v>
      </c>
      <c r="SM46" s="336">
        <v>0</v>
      </c>
      <c r="SN46" s="336">
        <v>0</v>
      </c>
      <c r="SO46" s="336">
        <v>0</v>
      </c>
      <c r="SP46" s="336">
        <v>0</v>
      </c>
      <c r="SQ46" s="336">
        <v>0</v>
      </c>
      <c r="SR46" s="336">
        <v>0</v>
      </c>
      <c r="SS46" s="336">
        <v>0</v>
      </c>
      <c r="ST46" s="336">
        <v>0</v>
      </c>
      <c r="SU46" s="336">
        <v>0</v>
      </c>
      <c r="SV46" s="336">
        <v>0</v>
      </c>
      <c r="SW46" s="336">
        <v>0</v>
      </c>
      <c r="SX46" s="336">
        <v>0</v>
      </c>
      <c r="SY46" s="336">
        <v>0</v>
      </c>
      <c r="SZ46" s="336" t="s">
        <v>1420</v>
      </c>
      <c r="TA46" s="336" t="s">
        <v>1420</v>
      </c>
      <c r="TB46" s="336" t="s">
        <v>1420</v>
      </c>
      <c r="TC46" s="336">
        <v>0</v>
      </c>
      <c r="TD46" s="336">
        <v>0</v>
      </c>
      <c r="TE46" s="336">
        <v>0</v>
      </c>
      <c r="TF46" s="336">
        <v>0</v>
      </c>
      <c r="TG46" s="336">
        <v>0</v>
      </c>
      <c r="TH46" s="336">
        <v>0</v>
      </c>
      <c r="TI46" s="336">
        <v>0</v>
      </c>
      <c r="TJ46" s="336">
        <v>0</v>
      </c>
      <c r="TK46" s="336">
        <v>0</v>
      </c>
      <c r="TL46" s="336">
        <v>0</v>
      </c>
      <c r="TM46" s="336">
        <v>0</v>
      </c>
      <c r="TN46" s="336">
        <v>0</v>
      </c>
      <c r="TO46" s="336">
        <v>0</v>
      </c>
      <c r="TP46" s="336">
        <v>0</v>
      </c>
      <c r="TQ46" s="336">
        <v>0</v>
      </c>
      <c r="TR46" s="336">
        <v>0</v>
      </c>
      <c r="TS46" s="336">
        <v>0</v>
      </c>
      <c r="TT46" s="336">
        <v>0</v>
      </c>
      <c r="TU46" s="336">
        <v>0</v>
      </c>
      <c r="TV46" s="336">
        <v>0</v>
      </c>
      <c r="TW46" s="336">
        <v>0</v>
      </c>
      <c r="TX46" s="336">
        <v>0</v>
      </c>
      <c r="TY46" s="336">
        <v>0</v>
      </c>
      <c r="TZ46" s="336">
        <v>0</v>
      </c>
      <c r="UA46" s="336">
        <v>0</v>
      </c>
      <c r="UB46" s="336">
        <v>0</v>
      </c>
      <c r="UC46" s="336">
        <v>0</v>
      </c>
      <c r="UD46" s="336">
        <v>0</v>
      </c>
      <c r="UE46" s="336">
        <v>0</v>
      </c>
      <c r="UF46" s="336">
        <v>0</v>
      </c>
      <c r="UG46" s="336">
        <v>0</v>
      </c>
      <c r="UH46" s="336">
        <v>6235535</v>
      </c>
      <c r="UI46" s="336">
        <v>3244262</v>
      </c>
      <c r="UJ46" s="336">
        <v>0</v>
      </c>
      <c r="UK46" s="336">
        <v>0</v>
      </c>
      <c r="UL46" s="336">
        <v>864100</v>
      </c>
      <c r="UM46" s="336">
        <v>1722253</v>
      </c>
      <c r="UN46" s="336">
        <v>10390750</v>
      </c>
      <c r="UO46" s="336">
        <v>1445638</v>
      </c>
      <c r="UP46" s="336">
        <v>0</v>
      </c>
      <c r="UQ46" s="336">
        <v>227923</v>
      </c>
      <c r="UR46"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0</v>
      </c>
      <c r="US46" s="338">
        <f>SUM(Input[[#This Row],[Oth Exp E&amp;G]],Input[[#This Row],[Oth Exp Desg]],Input[[#This Row],[Oth Exp Aux]],Input[[#This Row],[Oth Exp R Exp]],Input[[#This Row],[Oth Exp Loan]],Input[[#This Row],[Oth Exp Annuity]],Input[[#This Row],[Oth Exp Unexp]],Input[[#This Row],[Oth Exp R of Ind]],Input[[#This Row],[Oth Exp Inv in P]])</f>
        <v>0</v>
      </c>
      <c r="UT46" s="336">
        <v>0</v>
      </c>
      <c r="UU46" s="336">
        <v>0</v>
      </c>
      <c r="UV46" s="339" t="s">
        <v>1569</v>
      </c>
      <c r="UW46" s="340">
        <v>2547497398</v>
      </c>
      <c r="UX46" s="339" t="s">
        <v>1570</v>
      </c>
      <c r="UY46" s="339" t="s">
        <v>1571</v>
      </c>
      <c r="UZ46" s="340">
        <v>2548673895</v>
      </c>
      <c r="VA46" s="339" t="s">
        <v>1572</v>
      </c>
      <c r="VB46" s="341" t="str" cm="1">
        <f t="array" ref="VB46">IFERROR(_xlfn.IFS(Input[[#This Row],[Type]]="HRI",VLOOKUP(Input[[#This Row],[Institution Name]],FTSEHRI[],9,FALSE),Input[[#This Row],[Type]]="UNIV",VLOOKUP(Input[[#This Row],[Institution Name]],FTSEUNIV[],9,FALSE),OR(Input[[#This Row],[Type]]="TSTC",Input[[#This Row],[Type]]="LSC"),VLOOKUP(Input[[#This Row],[Institution Name]],FTSETSTC[],8,FALSE)),"N/A")</f>
        <v>N/A</v>
      </c>
      <c r="VC46" s="342" t="str" cm="1">
        <f t="array" ref="VC46">IFERROR(_xlfn.IFS(Input[[#This Row],[Type]]="HRI",VLOOKUP(Input[[#This Row],[Institution Name]],FTSEHRI[],11,FALSE),Input[[#This Row],[Type]]="UNIV",VLOOKUP(Input[[#This Row],[Institution Name]],FTSEUNIV[],11,FALSE),Input[[#This Row],[Type]]="TSTC",VLOOKUP(Input[[#This Row],[Institution Name]],FTSETSTC[],10,FALSE)),"N/A")</f>
        <v>N/A</v>
      </c>
      <c r="VD46"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9247440</v>
      </c>
      <c r="VE46"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46" s="338">
        <f>SUM(Input[[#This Row],[Fed G&amp;C E&amp;G]],Input[[#This Row],[Fed G&amp;C Desg]],Input[[#This Row],[Fed G&amp;C R Exp]],Input[[#This Row],[Fed G&amp;C Loan]],Input[[#This Row],[Fed G&amp;C Annuity]],Input[[#This Row],[Fed G&amp;C Unexp]],Input[[#This Row],[Fed G&amp;C R of Ind]],Input[[#This Row],[Fed G&amp;C Inv in P]])</f>
        <v>0</v>
      </c>
      <c r="VG46"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17210863</v>
      </c>
      <c r="VH46"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0</v>
      </c>
      <c r="VI46"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J46" s="338">
        <f>SUM(Input[[#This Row],[Oth Inc E&amp;G]],Input[[#This Row],[Oth Exp Desg]],Input[[#This Row],[Oth Exp R Exp]],Input[[#This Row],[Oth Exp Loan]],Input[[#This Row],[Oth Exp Annuity]],Input[[#This Row],[Oth Exp Unexp]],Input[[#This Row],[Oth Exp R of Ind]],Input[[#This Row],[Oth Exp Inv in P]])</f>
        <v>0</v>
      </c>
      <c r="VK46" s="343">
        <f>SUM(Input[[#This Row],[Instr E&amp;G]],Input[[#This Row],[Instr Desg]],Input[[#This Row],[Instr R Exp]],Input[[#This Row],[Instr Loan]],Input[[#This Row],[Instr Annuity]],Input[[#This Row],[Instr Unexp]],Input[[#This Row],[Instr R of Ind]],Input[[#This Row],[Instr Inv in P]])</f>
        <v>6233948</v>
      </c>
      <c r="VL46" s="343">
        <f>SUM(Input[[#This Row],[Res E&amp;G]],Input[[#This Row],[Res Desg]],Input[[#This Row],[Res R Exp]],Input[[#This Row],[Res Loan]],Input[[#This Row],[Res Annuity]],Input[[#This Row],[Res Unexp]],Input[[#This Row],[Res R of Ind]],Input[[#This Row],[Res Inv in P]])</f>
        <v>3244195</v>
      </c>
      <c r="VM46" s="343">
        <f>SUM(Input[[#This Row],[Acad Sup E&amp;G]],Input[[#This Row],[Acad Sup Desg]],Input[[#This Row],[Acad Sup R Exp]],Input[[#This Row],[Acad Sup Loan]],Input[[#This Row],[Acad Sup Annuity]],Input[[#This Row],[Acad Sup Unexp]],Input[[#This Row],[Acad Sup R of Ind]],Input[[#This Row],[Acad Sup Inv in P]])</f>
        <v>863629</v>
      </c>
      <c r="VN46" s="343">
        <f>SUM(Input[[#This Row],[Stu Svc E&amp;G]],Input[[#This Row],[Stu Svc Desg]],Input[[#This Row],[Stu Svc R Exp]],Input[[#This Row],[Stu Svc Loan]],Input[[#This Row],[Stu Svc Annuity]],Input[[#This Row],[Stu Svc Unexp]],Input[[#This Row],[Stu Svc R of Ind]],Input[[#This Row],[Stu Svc Inv in P]])</f>
        <v>1721783</v>
      </c>
      <c r="VO46" s="343">
        <f>SUM(Input[[#This Row],[Inst. Spt E&amp;G]],Input[[#This Row],[Inst. Spt Desg]],Input[[#This Row],[Inst. Spt R Exp]],Input[[#This Row],[Inst. Spt Loan]],Input[[#This Row],[Inst. Spt Annuity]],Input[[#This Row],[Inst. Spt Unexp]],Input[[#This Row],[Inst. Spt R of Ind]],Input[[#This Row],[Inst. Spt Inv in P]])</f>
        <v>10390110</v>
      </c>
      <c r="VP46" s="343">
        <f>SUM(Input[[#This Row],[M&amp;O Plnt E&amp;G]],Input[[#This Row],[M&amp;O Plnt Desg]],Input[[#This Row],[M&amp;O Plnt R Exp]],Input[[#This Row],[M&amp;O Plnt Loan]],Input[[#This Row],[M&amp;O Plnt Annuity]],Input[[#This Row],[M&amp;O Plnt Unexp]],Input[[#This Row],[M&amp;O Plnt R of Ind]],Input[[#This Row],[M&amp;O Plnt Inv in P]])</f>
        <v>1445433</v>
      </c>
      <c r="VQ46" s="343">
        <f>SUM(Input[[#This Row],[Schl &amp; Fell E&amp;G]],Input[[#This Row],[Schl &amp; Fell Desg]],Input[[#This Row],[Schl &amp; Fell R Exp]],Input[[#This Row],[Schl &amp; Fell Loan]],Input[[#This Row],[Schl &amp; Fell Annuity]],Input[[#This Row],[Schl &amp; Fell Unexp]],Input[[#This Row],[Schl &amp; Fell R of Ind]],Input[[#This Row],[Schl &amp; Fell Inv in P]])</f>
        <v>0</v>
      </c>
      <c r="VR46" s="343">
        <f>SUM(Input[[#This Row],[Cap Out fund E&amp;G]],Input[[#This Row],[Cap Out fund Desg]],Input[[#This Row],[Cap Out fund R Exp]],Input[[#This Row],[Cap Out fund Loan]],Input[[#This Row],[Cap Out fund Annuity]],Input[[#This Row],[Cap Out fund Unexp]],Input[[#This Row],[Cap Out fund R of Ind]],Input[[#This Row],[Cap Out fund Inv in P]])</f>
        <v>0</v>
      </c>
      <c r="VS46" s="343">
        <f>SUM(Input[[#This Row],[Oth Exp E&amp;G]],Input[[#This Row],[Oth Exp Desg]],Input[[#This Row],[Oth Exp R Exp]],Input[[#This Row],[Oth Exp Loan]],Input[[#This Row],[Oth Exp Annuity]],Input[[#This Row],[Oth Exp Unexp]],Input[[#This Row],[Oth Exp R of Ind]],Input[[#This Row],[Oth Exp Inv in P]],Input[[#This Row],[Oth Exp Inv in P]])</f>
        <v>0</v>
      </c>
    </row>
    <row r="47" spans="1:591" s="344" customFormat="1" ht="27" customHeight="1" x14ac:dyDescent="0.55000000000000004">
      <c r="A47" s="339" t="s">
        <v>83</v>
      </c>
      <c r="B47" s="334" t="s">
        <v>825</v>
      </c>
      <c r="C47" s="334" t="s">
        <v>21</v>
      </c>
      <c r="D47" s="334">
        <v>290</v>
      </c>
      <c r="E47" s="334" t="s">
        <v>1622</v>
      </c>
      <c r="F47" s="335">
        <v>3615</v>
      </c>
      <c r="G47" s="336">
        <v>169808553</v>
      </c>
      <c r="H47" s="336">
        <v>0</v>
      </c>
      <c r="I47" s="336">
        <v>0</v>
      </c>
      <c r="J47" s="336">
        <v>0</v>
      </c>
      <c r="K47" s="336">
        <v>0</v>
      </c>
      <c r="L47" s="336">
        <v>0</v>
      </c>
      <c r="M47" s="336">
        <v>0</v>
      </c>
      <c r="N47" s="336">
        <v>0</v>
      </c>
      <c r="O47" s="336">
        <v>0</v>
      </c>
      <c r="P47" s="336">
        <v>374344</v>
      </c>
      <c r="Q47" s="336">
        <v>408938</v>
      </c>
      <c r="R47" s="336">
        <v>0</v>
      </c>
      <c r="S47" s="336">
        <v>41877551</v>
      </c>
      <c r="T47" s="336">
        <v>0</v>
      </c>
      <c r="U47" s="336">
        <v>0</v>
      </c>
      <c r="V47" s="336">
        <v>0</v>
      </c>
      <c r="W47" s="336">
        <v>0</v>
      </c>
      <c r="X47" s="336">
        <v>0</v>
      </c>
      <c r="Y47" s="336">
        <v>38741061</v>
      </c>
      <c r="Z47" s="336">
        <v>0</v>
      </c>
      <c r="AA47" s="336">
        <v>0</v>
      </c>
      <c r="AB47" s="336">
        <v>0</v>
      </c>
      <c r="AC47" s="336">
        <v>0</v>
      </c>
      <c r="AD47" s="336">
        <v>0</v>
      </c>
      <c r="AE47" s="336">
        <v>0</v>
      </c>
      <c r="AF47" s="336">
        <v>0</v>
      </c>
      <c r="AG47" s="336">
        <v>0</v>
      </c>
      <c r="AH47" s="336">
        <v>0</v>
      </c>
      <c r="AI47" s="336">
        <v>0</v>
      </c>
      <c r="AJ47" s="336">
        <v>0</v>
      </c>
      <c r="AK47" s="336">
        <v>0</v>
      </c>
      <c r="AL47" s="336">
        <v>0</v>
      </c>
      <c r="AM47" s="336">
        <v>0</v>
      </c>
      <c r="AN47" s="336">
        <v>0</v>
      </c>
      <c r="AO47" s="336">
        <v>0</v>
      </c>
      <c r="AP47" s="336">
        <v>0</v>
      </c>
      <c r="AQ47" s="336">
        <v>-13581693</v>
      </c>
      <c r="AR47" s="336">
        <v>-63746</v>
      </c>
      <c r="AS47" s="336">
        <v>0</v>
      </c>
      <c r="AT47" s="336">
        <v>0</v>
      </c>
      <c r="AU47" s="336">
        <v>0</v>
      </c>
      <c r="AV47" s="336">
        <v>0</v>
      </c>
      <c r="AW47" s="336">
        <v>0</v>
      </c>
      <c r="AX47" s="336">
        <v>0</v>
      </c>
      <c r="AY47" s="336">
        <v>0</v>
      </c>
      <c r="AZ47" s="336">
        <v>0</v>
      </c>
      <c r="BA47" s="336">
        <v>0</v>
      </c>
      <c r="BB47" s="336">
        <v>0</v>
      </c>
      <c r="BC47" s="336">
        <v>0</v>
      </c>
      <c r="BD47" s="336">
        <v>0</v>
      </c>
      <c r="BE47" s="336">
        <v>0</v>
      </c>
      <c r="BF47" s="336">
        <v>0</v>
      </c>
      <c r="BG47" s="336">
        <v>0</v>
      </c>
      <c r="BH47" s="336">
        <v>0</v>
      </c>
      <c r="BI47" s="336">
        <v>0</v>
      </c>
      <c r="BJ47" s="336">
        <v>0</v>
      </c>
      <c r="BK47" s="336">
        <v>0</v>
      </c>
      <c r="BL47" s="336">
        <v>0</v>
      </c>
      <c r="BM47" s="336">
        <v>0</v>
      </c>
      <c r="BN47" s="336">
        <v>0</v>
      </c>
      <c r="BO47" s="336">
        <v>0</v>
      </c>
      <c r="BP47" s="336">
        <v>0</v>
      </c>
      <c r="BQ47" s="336">
        <v>0</v>
      </c>
      <c r="BR47" s="336">
        <v>0</v>
      </c>
      <c r="BS47" s="336">
        <v>0</v>
      </c>
      <c r="BT47" s="336">
        <v>0</v>
      </c>
      <c r="BU47" s="336">
        <v>0</v>
      </c>
      <c r="BV47" s="336">
        <v>0</v>
      </c>
      <c r="BW47" s="336">
        <v>0</v>
      </c>
      <c r="BX47" s="336">
        <v>0</v>
      </c>
      <c r="BY47" s="336">
        <v>0</v>
      </c>
      <c r="BZ47" s="336">
        <v>0</v>
      </c>
      <c r="CA47" s="336">
        <v>58522356</v>
      </c>
      <c r="CB47" s="336">
        <v>260300704</v>
      </c>
      <c r="CC47" s="336">
        <v>0</v>
      </c>
      <c r="CD47" s="336">
        <v>0</v>
      </c>
      <c r="CE47" s="336">
        <v>0</v>
      </c>
      <c r="CF47" s="336">
        <v>0</v>
      </c>
      <c r="CG47" s="336">
        <v>0</v>
      </c>
      <c r="CH47" s="336">
        <v>0</v>
      </c>
      <c r="CI47" s="336">
        <v>0</v>
      </c>
      <c r="CJ47" s="336">
        <v>0</v>
      </c>
      <c r="CK47" s="336">
        <v>0</v>
      </c>
      <c r="CL47" s="336">
        <v>0</v>
      </c>
      <c r="CM47" s="336">
        <v>0</v>
      </c>
      <c r="CN47" s="336">
        <v>0</v>
      </c>
      <c r="CO47" s="336">
        <v>0</v>
      </c>
      <c r="CP47" s="336">
        <v>0</v>
      </c>
      <c r="CQ47" s="336">
        <v>0</v>
      </c>
      <c r="CR47" s="336">
        <v>0</v>
      </c>
      <c r="CS47" s="336">
        <v>0</v>
      </c>
      <c r="CT47" s="336">
        <v>0</v>
      </c>
      <c r="CU47" s="336">
        <v>0</v>
      </c>
      <c r="CV47" s="336">
        <v>0</v>
      </c>
      <c r="CW47" s="336">
        <v>0</v>
      </c>
      <c r="CX47" s="336">
        <v>0</v>
      </c>
      <c r="CY47" s="336">
        <v>0</v>
      </c>
      <c r="CZ47" s="336">
        <v>0</v>
      </c>
      <c r="DA47" s="336">
        <v>0</v>
      </c>
      <c r="DB47" s="336">
        <v>-3486251</v>
      </c>
      <c r="DC47" s="336">
        <v>-16952156</v>
      </c>
      <c r="DD47" s="336">
        <v>0</v>
      </c>
      <c r="DE47" s="336">
        <v>0</v>
      </c>
      <c r="DF47" s="336">
        <v>0</v>
      </c>
      <c r="DG47" s="336">
        <v>0</v>
      </c>
      <c r="DH47" s="336">
        <v>0</v>
      </c>
      <c r="DI47" s="336">
        <v>0</v>
      </c>
      <c r="DJ47" s="336">
        <v>0</v>
      </c>
      <c r="DK47" s="336">
        <v>0</v>
      </c>
      <c r="DL47" s="336">
        <v>0</v>
      </c>
      <c r="DM47" s="336">
        <v>0</v>
      </c>
      <c r="DN47" s="336">
        <v>0</v>
      </c>
      <c r="DO47" s="336">
        <v>0</v>
      </c>
      <c r="DP47" s="336">
        <v>0</v>
      </c>
      <c r="DQ47" s="336">
        <v>0</v>
      </c>
      <c r="DR47" s="336">
        <v>0</v>
      </c>
      <c r="DS47" s="336">
        <v>0</v>
      </c>
      <c r="DT47" s="336">
        <v>-17876626</v>
      </c>
      <c r="DU47" s="336">
        <v>-77506295</v>
      </c>
      <c r="DV47" s="336">
        <v>0</v>
      </c>
      <c r="DW47" s="336">
        <v>0</v>
      </c>
      <c r="DX47" s="336">
        <v>0</v>
      </c>
      <c r="DY47" s="336">
        <v>0</v>
      </c>
      <c r="DZ47" s="336">
        <v>0</v>
      </c>
      <c r="EA47" s="336">
        <v>0</v>
      </c>
      <c r="EB47" s="336">
        <v>0</v>
      </c>
      <c r="EC47" s="336">
        <v>0</v>
      </c>
      <c r="ED47" s="336">
        <v>0</v>
      </c>
      <c r="EE47" s="336">
        <v>0</v>
      </c>
      <c r="EF47" s="336">
        <v>0</v>
      </c>
      <c r="EG47" s="336">
        <v>0</v>
      </c>
      <c r="EH47" s="336">
        <v>0</v>
      </c>
      <c r="EI47" s="336">
        <v>0</v>
      </c>
      <c r="EJ47" s="336">
        <v>0</v>
      </c>
      <c r="EK47" s="336">
        <v>0</v>
      </c>
      <c r="EL47" s="336">
        <v>0</v>
      </c>
      <c r="EM47" s="336">
        <v>0</v>
      </c>
      <c r="EN47" s="336">
        <v>0</v>
      </c>
      <c r="EO47" s="336">
        <v>0</v>
      </c>
      <c r="EP47" s="336">
        <v>0</v>
      </c>
      <c r="EQ47" s="336">
        <v>0</v>
      </c>
      <c r="ER47" s="336">
        <v>0</v>
      </c>
      <c r="ES47" s="336">
        <v>0</v>
      </c>
      <c r="ET47" s="336">
        <v>0</v>
      </c>
      <c r="EU47" s="336">
        <v>0</v>
      </c>
      <c r="EV47" s="336">
        <v>0</v>
      </c>
      <c r="EW47" s="336">
        <v>0</v>
      </c>
      <c r="EX47" s="336">
        <v>0</v>
      </c>
      <c r="EY47" s="336">
        <v>0</v>
      </c>
      <c r="EZ47" s="336">
        <v>0</v>
      </c>
      <c r="FA47" s="336">
        <v>0</v>
      </c>
      <c r="FB47" s="336">
        <v>0</v>
      </c>
      <c r="FC47" s="336">
        <v>0</v>
      </c>
      <c r="FD47" s="336">
        <v>0</v>
      </c>
      <c r="FE47" s="336">
        <v>0</v>
      </c>
      <c r="FF47" s="336">
        <v>0</v>
      </c>
      <c r="FG47" s="336">
        <v>0</v>
      </c>
      <c r="FH47" s="336">
        <v>0</v>
      </c>
      <c r="FI47" s="336">
        <v>0</v>
      </c>
      <c r="FJ47" s="336">
        <v>0</v>
      </c>
      <c r="FK47" s="336">
        <v>0</v>
      </c>
      <c r="FL47" s="336">
        <v>0</v>
      </c>
      <c r="FM47" s="336">
        <v>1413895</v>
      </c>
      <c r="FN47" s="336">
        <v>78219236</v>
      </c>
      <c r="FO47" s="336">
        <v>52350016</v>
      </c>
      <c r="FP47" s="336">
        <v>0</v>
      </c>
      <c r="FQ47" s="336">
        <v>0</v>
      </c>
      <c r="FR47" s="336">
        <v>0</v>
      </c>
      <c r="FS47" s="336">
        <v>0</v>
      </c>
      <c r="FT47" s="336">
        <v>0</v>
      </c>
      <c r="FU47" s="336">
        <v>0</v>
      </c>
      <c r="FV47" s="336">
        <v>0</v>
      </c>
      <c r="FW47" s="336">
        <v>0</v>
      </c>
      <c r="FX47" s="336">
        <v>0</v>
      </c>
      <c r="FY47" s="336">
        <v>0</v>
      </c>
      <c r="FZ47" s="336">
        <v>0</v>
      </c>
      <c r="GA47" s="336">
        <v>0</v>
      </c>
      <c r="GB47" s="336">
        <v>0</v>
      </c>
      <c r="GC47" s="336">
        <v>0</v>
      </c>
      <c r="GD47" s="336">
        <v>0</v>
      </c>
      <c r="GE47" s="336">
        <v>0</v>
      </c>
      <c r="GF47" s="336">
        <v>0</v>
      </c>
      <c r="GG47" s="336">
        <v>0</v>
      </c>
      <c r="GH47" s="336">
        <v>0</v>
      </c>
      <c r="GI47" s="336">
        <v>0</v>
      </c>
      <c r="GJ47" s="336">
        <v>0</v>
      </c>
      <c r="GK47" s="336">
        <v>0</v>
      </c>
      <c r="GL47" s="336">
        <v>0</v>
      </c>
      <c r="GM47" s="336">
        <v>0</v>
      </c>
      <c r="GN47" s="336">
        <v>-5774</v>
      </c>
      <c r="GO47" s="336">
        <v>-4400906</v>
      </c>
      <c r="GP47" s="336">
        <v>-3111890</v>
      </c>
      <c r="GQ47" s="336">
        <v>0</v>
      </c>
      <c r="GR47" s="336">
        <v>0</v>
      </c>
      <c r="GS47" s="336">
        <v>0</v>
      </c>
      <c r="GT47" s="336">
        <v>0</v>
      </c>
      <c r="GU47" s="336">
        <v>0</v>
      </c>
      <c r="GV47" s="336">
        <v>0</v>
      </c>
      <c r="GW47" s="336">
        <v>0</v>
      </c>
      <c r="GX47" s="336">
        <v>0</v>
      </c>
      <c r="GY47" s="336">
        <v>0</v>
      </c>
      <c r="GZ47" s="336">
        <v>0</v>
      </c>
      <c r="HA47" s="336">
        <v>0</v>
      </c>
      <c r="HB47" s="336">
        <v>0</v>
      </c>
      <c r="HC47" s="336">
        <v>0</v>
      </c>
      <c r="HD47" s="336">
        <v>0</v>
      </c>
      <c r="HE47" s="336">
        <v>0</v>
      </c>
      <c r="HF47" s="336">
        <v>-540805</v>
      </c>
      <c r="HG47" s="336">
        <v>-24252501</v>
      </c>
      <c r="HH47" s="336">
        <v>-16000436</v>
      </c>
      <c r="HI47" s="336">
        <v>0</v>
      </c>
      <c r="HJ47" s="336">
        <v>0</v>
      </c>
      <c r="HK47" s="336">
        <v>0</v>
      </c>
      <c r="HL47" s="336">
        <v>0</v>
      </c>
      <c r="HM47" s="336">
        <v>0</v>
      </c>
      <c r="HN47" s="336">
        <v>0</v>
      </c>
      <c r="HO47" s="336">
        <v>78435</v>
      </c>
      <c r="HP47" s="336">
        <v>0</v>
      </c>
      <c r="HQ47" s="336">
        <v>0</v>
      </c>
      <c r="HR47" s="336">
        <v>144345528</v>
      </c>
      <c r="HS47" s="336">
        <v>0</v>
      </c>
      <c r="HT47" s="336">
        <v>0</v>
      </c>
      <c r="HU47" s="336">
        <v>0</v>
      </c>
      <c r="HV47" s="336">
        <v>0</v>
      </c>
      <c r="HW47" s="336">
        <v>0</v>
      </c>
      <c r="HX47" s="336">
        <v>0</v>
      </c>
      <c r="HY47" s="336">
        <v>0</v>
      </c>
      <c r="HZ47" s="336">
        <v>0</v>
      </c>
      <c r="IA47" s="336">
        <v>0</v>
      </c>
      <c r="IB47" s="336">
        <v>0</v>
      </c>
      <c r="IC47" s="336">
        <v>0</v>
      </c>
      <c r="ID47" s="336">
        <v>0</v>
      </c>
      <c r="IE47" s="336">
        <v>0</v>
      </c>
      <c r="IF47" s="336">
        <v>0</v>
      </c>
      <c r="IG47" s="336">
        <v>0</v>
      </c>
      <c r="IH47" s="336">
        <v>0</v>
      </c>
      <c r="II47" s="336">
        <v>0</v>
      </c>
      <c r="IJ47" s="336">
        <v>0</v>
      </c>
      <c r="IK47" s="336">
        <v>0</v>
      </c>
      <c r="IL47" s="336">
        <v>0</v>
      </c>
      <c r="IM47" s="336">
        <v>0</v>
      </c>
      <c r="IN47" s="336">
        <v>0</v>
      </c>
      <c r="IO47" s="336">
        <v>0</v>
      </c>
      <c r="IP47" s="336">
        <v>1678954</v>
      </c>
      <c r="IQ47" s="336">
        <v>161582</v>
      </c>
      <c r="IR47" s="336">
        <v>1993858</v>
      </c>
      <c r="IS47" s="336">
        <v>654335</v>
      </c>
      <c r="IT47" s="336">
        <v>45950</v>
      </c>
      <c r="IU47" s="336">
        <v>7009745</v>
      </c>
      <c r="IV47" s="336">
        <v>5445618</v>
      </c>
      <c r="IW47" s="336">
        <v>14503074</v>
      </c>
      <c r="IX47" s="336">
        <v>0</v>
      </c>
      <c r="IY47" s="336">
        <v>0</v>
      </c>
      <c r="IZ47" s="336">
        <v>0</v>
      </c>
      <c r="JA47" s="336">
        <v>0</v>
      </c>
      <c r="JB47" s="336">
        <v>794878</v>
      </c>
      <c r="JC47" s="336">
        <v>0</v>
      </c>
      <c r="JD47" s="336">
        <v>0</v>
      </c>
      <c r="JE47" s="336">
        <v>0</v>
      </c>
      <c r="JF47" s="336">
        <v>0</v>
      </c>
      <c r="JG47" s="336">
        <v>0</v>
      </c>
      <c r="JH47" s="336">
        <v>0</v>
      </c>
      <c r="JI47" s="336">
        <v>103491</v>
      </c>
      <c r="JJ47" s="336">
        <v>1944</v>
      </c>
      <c r="JK47" s="336">
        <v>17329477</v>
      </c>
      <c r="JL47" s="336">
        <v>0</v>
      </c>
      <c r="JM47" s="336">
        <v>0</v>
      </c>
      <c r="JN47" s="336">
        <v>0</v>
      </c>
      <c r="JO47" s="336">
        <v>0</v>
      </c>
      <c r="JP47" s="336">
        <v>0</v>
      </c>
      <c r="JQ47" s="336">
        <v>1508146</v>
      </c>
      <c r="JR47" s="336">
        <v>18459662</v>
      </c>
      <c r="JS47" s="336">
        <v>0</v>
      </c>
      <c r="JT47" s="336">
        <v>0</v>
      </c>
      <c r="JU47" s="336">
        <v>0</v>
      </c>
      <c r="JV47" s="336">
        <v>0</v>
      </c>
      <c r="JW47" s="336">
        <v>0</v>
      </c>
      <c r="JX47" s="336">
        <v>0</v>
      </c>
      <c r="JY47" s="336">
        <v>0</v>
      </c>
      <c r="JZ47" s="336">
        <v>0</v>
      </c>
      <c r="KA47" s="336">
        <v>0</v>
      </c>
      <c r="KB47" s="336">
        <v>124161697</v>
      </c>
      <c r="KC47" s="336">
        <v>0</v>
      </c>
      <c r="KD47" s="336">
        <v>0</v>
      </c>
      <c r="KE47" s="336">
        <v>0</v>
      </c>
      <c r="KF47" s="336">
        <v>0</v>
      </c>
      <c r="KG47" s="336">
        <v>0</v>
      </c>
      <c r="KH47" s="336">
        <v>0</v>
      </c>
      <c r="KI47" s="336">
        <v>22909</v>
      </c>
      <c r="KJ47" s="336">
        <v>596402</v>
      </c>
      <c r="KK47" s="336">
        <v>181478</v>
      </c>
      <c r="KL47" s="336">
        <v>2910</v>
      </c>
      <c r="KM47" s="336">
        <v>40482</v>
      </c>
      <c r="KN47" s="336">
        <v>0</v>
      </c>
      <c r="KO47" s="336">
        <v>0</v>
      </c>
      <c r="KP47" s="336">
        <v>0</v>
      </c>
      <c r="KQ47" s="336">
        <v>0</v>
      </c>
      <c r="KR47" s="336">
        <v>146843539</v>
      </c>
      <c r="KS47" s="336">
        <v>45652867</v>
      </c>
      <c r="KT47" s="336">
        <v>0</v>
      </c>
      <c r="KU47" s="336">
        <v>11891014</v>
      </c>
      <c r="KV47" s="336">
        <v>0</v>
      </c>
      <c r="KW47" s="336">
        <v>0</v>
      </c>
      <c r="KX47" s="336">
        <v>0</v>
      </c>
      <c r="KY47" s="336">
        <v>0</v>
      </c>
      <c r="KZ47" s="336">
        <v>0</v>
      </c>
      <c r="LA47" s="336">
        <v>83090285</v>
      </c>
      <c r="LB47" s="336">
        <v>18986450</v>
      </c>
      <c r="LC47" s="336">
        <v>0</v>
      </c>
      <c r="LD47" s="336">
        <v>49027093</v>
      </c>
      <c r="LE47" s="336">
        <v>0</v>
      </c>
      <c r="LF47" s="336">
        <v>0</v>
      </c>
      <c r="LG47" s="336">
        <v>0</v>
      </c>
      <c r="LH47" s="336">
        <v>0</v>
      </c>
      <c r="LI47" s="336">
        <v>0</v>
      </c>
      <c r="LJ47" s="336">
        <v>444498</v>
      </c>
      <c r="LK47" s="336">
        <v>1485115</v>
      </c>
      <c r="LL47" s="336">
        <v>0</v>
      </c>
      <c r="LM47" s="336">
        <v>372762</v>
      </c>
      <c r="LN47" s="336">
        <v>0</v>
      </c>
      <c r="LO47" s="336">
        <v>0</v>
      </c>
      <c r="LP47" s="336">
        <v>0</v>
      </c>
      <c r="LQ47" s="336">
        <v>0</v>
      </c>
      <c r="LR47" s="336">
        <v>0</v>
      </c>
      <c r="LS47" s="336">
        <v>0</v>
      </c>
      <c r="LT47" s="336">
        <v>0</v>
      </c>
      <c r="LU47" s="336">
        <v>0</v>
      </c>
      <c r="LV47" s="336">
        <v>0</v>
      </c>
      <c r="LW47" s="336">
        <v>0</v>
      </c>
      <c r="LX47" s="336">
        <v>0</v>
      </c>
      <c r="LY47" s="336">
        <v>0</v>
      </c>
      <c r="LZ47" s="336">
        <v>0</v>
      </c>
      <c r="MA47" s="336">
        <v>0</v>
      </c>
      <c r="MB47" s="336">
        <v>11618070</v>
      </c>
      <c r="MC47" s="336">
        <v>44797238</v>
      </c>
      <c r="MD47" s="336">
        <v>1323</v>
      </c>
      <c r="ME47" s="336">
        <v>583182</v>
      </c>
      <c r="MF47" s="336">
        <v>0</v>
      </c>
      <c r="MG47" s="336">
        <v>0</v>
      </c>
      <c r="MH47" s="336">
        <v>0</v>
      </c>
      <c r="MI47" s="336">
        <v>0</v>
      </c>
      <c r="MJ47" s="336">
        <v>0</v>
      </c>
      <c r="MK47" s="336">
        <v>7033876</v>
      </c>
      <c r="ML47" s="336">
        <v>16995758</v>
      </c>
      <c r="MM47" s="336">
        <v>13469051</v>
      </c>
      <c r="MN47" s="336">
        <v>1384114</v>
      </c>
      <c r="MO47" s="336">
        <v>0</v>
      </c>
      <c r="MP47" s="336">
        <v>0</v>
      </c>
      <c r="MQ47" s="336">
        <v>0</v>
      </c>
      <c r="MR47" s="336">
        <v>0</v>
      </c>
      <c r="MS47" s="336">
        <v>0</v>
      </c>
      <c r="MT47" s="336">
        <v>1835473</v>
      </c>
      <c r="MU47" s="336">
        <v>42728491</v>
      </c>
      <c r="MV47" s="336">
        <v>0</v>
      </c>
      <c r="MW47" s="336">
        <v>345152</v>
      </c>
      <c r="MX47" s="336">
        <v>0</v>
      </c>
      <c r="MY47" s="336">
        <v>0</v>
      </c>
      <c r="MZ47" s="336">
        <v>0</v>
      </c>
      <c r="NA47" s="336">
        <v>0</v>
      </c>
      <c r="NB47" s="336">
        <v>0</v>
      </c>
      <c r="NC47" s="336">
        <v>28476406</v>
      </c>
      <c r="ND47" s="336">
        <v>17347879</v>
      </c>
      <c r="NE47" s="336">
        <v>1471566</v>
      </c>
      <c r="NF47" s="336">
        <v>18977</v>
      </c>
      <c r="NG47" s="336">
        <v>0</v>
      </c>
      <c r="NH47" s="336">
        <v>0</v>
      </c>
      <c r="NI47" s="336">
        <v>0</v>
      </c>
      <c r="NJ47" s="336">
        <v>0</v>
      </c>
      <c r="NK47" s="336">
        <v>0</v>
      </c>
      <c r="NL47" s="336">
        <v>238883</v>
      </c>
      <c r="NM47" s="336">
        <v>27732139</v>
      </c>
      <c r="NN47" s="336">
        <v>2499415</v>
      </c>
      <c r="NO47" s="336">
        <v>49434739</v>
      </c>
      <c r="NP47" s="336">
        <v>0</v>
      </c>
      <c r="NQ47" s="336">
        <v>0</v>
      </c>
      <c r="NR47" s="336">
        <v>0</v>
      </c>
      <c r="NS47" s="336">
        <v>0</v>
      </c>
      <c r="NT47" s="336">
        <v>0</v>
      </c>
      <c r="NU47" s="336">
        <v>0</v>
      </c>
      <c r="NV47" s="336">
        <v>0</v>
      </c>
      <c r="NW47" s="336">
        <v>97779979</v>
      </c>
      <c r="NX47" s="336">
        <v>26192</v>
      </c>
      <c r="NY47" s="336">
        <v>0</v>
      </c>
      <c r="NZ47" s="336">
        <v>0</v>
      </c>
      <c r="OA47" s="336">
        <v>0</v>
      </c>
      <c r="OB47" s="336">
        <v>0</v>
      </c>
      <c r="OC47" s="336">
        <v>0</v>
      </c>
      <c r="OD47" s="336">
        <v>2355008</v>
      </c>
      <c r="OE47" s="336">
        <v>6560229</v>
      </c>
      <c r="OF47" s="336">
        <v>8137839</v>
      </c>
      <c r="OG47" s="336">
        <v>1624092</v>
      </c>
      <c r="OH47" s="336">
        <v>0</v>
      </c>
      <c r="OI47" s="336">
        <v>0</v>
      </c>
      <c r="OJ47" s="336">
        <v>0</v>
      </c>
      <c r="OK47" s="336">
        <v>0</v>
      </c>
      <c r="OL47" s="336">
        <v>0</v>
      </c>
      <c r="OM47" s="336">
        <v>1181</v>
      </c>
      <c r="ON47" s="336">
        <v>1258527</v>
      </c>
      <c r="OO47" s="336">
        <v>61946</v>
      </c>
      <c r="OP47" s="336">
        <v>6673</v>
      </c>
      <c r="OQ47" s="336">
        <v>496306</v>
      </c>
      <c r="OR47" s="336">
        <v>0</v>
      </c>
      <c r="OS47" s="336">
        <v>3019</v>
      </c>
      <c r="OT47" s="336">
        <v>0</v>
      </c>
      <c r="OU47" s="336">
        <v>0</v>
      </c>
      <c r="OV47" s="336">
        <v>0</v>
      </c>
      <c r="OW47" s="336">
        <v>0</v>
      </c>
      <c r="OX47" s="336">
        <v>0</v>
      </c>
      <c r="OY47" s="336">
        <v>0</v>
      </c>
      <c r="OZ47" s="336">
        <v>0</v>
      </c>
      <c r="PA47" s="336">
        <v>0</v>
      </c>
      <c r="PB47" s="336">
        <v>-293493407</v>
      </c>
      <c r="PC47" s="336">
        <v>0</v>
      </c>
      <c r="PD47" s="336">
        <v>0</v>
      </c>
      <c r="PE47" s="336">
        <v>33128239</v>
      </c>
      <c r="PF47" s="336">
        <v>-6949203</v>
      </c>
      <c r="PG47" s="336">
        <v>0</v>
      </c>
      <c r="PH47" s="336">
        <v>500000</v>
      </c>
      <c r="PI47" s="336">
        <v>0</v>
      </c>
      <c r="PJ47" s="336">
        <v>0</v>
      </c>
      <c r="PK47" s="336">
        <v>0</v>
      </c>
      <c r="PL47" s="336">
        <v>0</v>
      </c>
      <c r="PM47" s="336">
        <v>0</v>
      </c>
      <c r="PN47" s="336">
        <v>0</v>
      </c>
      <c r="PO47" s="336">
        <v>0</v>
      </c>
      <c r="PP47" s="336">
        <v>0</v>
      </c>
      <c r="PQ47" s="336">
        <v>0</v>
      </c>
      <c r="PR47" s="336">
        <v>0</v>
      </c>
      <c r="PS47" s="336">
        <v>0</v>
      </c>
      <c r="PT47" s="336">
        <v>240842040</v>
      </c>
      <c r="PU47" s="336">
        <v>0</v>
      </c>
      <c r="PV47" s="336">
        <v>0</v>
      </c>
      <c r="PW47" s="336">
        <v>-28455401</v>
      </c>
      <c r="PX47" s="336">
        <v>-6680376</v>
      </c>
      <c r="PY47" s="336">
        <v>-30080075</v>
      </c>
      <c r="PZ47" s="336">
        <v>0</v>
      </c>
      <c r="QA47" s="336">
        <v>0</v>
      </c>
      <c r="QB47" s="336">
        <v>0</v>
      </c>
      <c r="QC47" s="336">
        <v>0</v>
      </c>
      <c r="QD47" s="336">
        <v>0</v>
      </c>
      <c r="QE47" s="336">
        <v>0</v>
      </c>
      <c r="QF47" s="336">
        <v>0</v>
      </c>
      <c r="QG47" s="336">
        <v>0</v>
      </c>
      <c r="QH47" s="336">
        <v>0</v>
      </c>
      <c r="QI47" s="336">
        <v>0</v>
      </c>
      <c r="QJ47" s="336">
        <v>0</v>
      </c>
      <c r="QK47" s="336">
        <v>20013737</v>
      </c>
      <c r="QL47" s="336">
        <v>0</v>
      </c>
      <c r="QM47" s="336">
        <v>0</v>
      </c>
      <c r="QN47" s="336">
        <v>7052262</v>
      </c>
      <c r="QO47" s="336">
        <v>0</v>
      </c>
      <c r="QP47" s="336">
        <v>0</v>
      </c>
      <c r="QQ47" s="336">
        <v>0</v>
      </c>
      <c r="QR47" s="336">
        <v>0</v>
      </c>
      <c r="QS47" s="336">
        <v>0</v>
      </c>
      <c r="QT47" s="336">
        <v>436078</v>
      </c>
      <c r="QU47" s="336">
        <v>0</v>
      </c>
      <c r="QV47" s="336">
        <v>0</v>
      </c>
      <c r="QW47" s="336">
        <v>0</v>
      </c>
      <c r="QX47" s="336">
        <v>0</v>
      </c>
      <c r="QY47" s="336">
        <v>0</v>
      </c>
      <c r="QZ47" s="336">
        <v>0</v>
      </c>
      <c r="RA47" s="336">
        <v>0</v>
      </c>
      <c r="RB47" s="336">
        <v>0</v>
      </c>
      <c r="RC47" s="336">
        <v>0</v>
      </c>
      <c r="RD47" s="336">
        <v>0</v>
      </c>
      <c r="RE47" s="336">
        <v>0</v>
      </c>
      <c r="RF47" s="336">
        <v>0</v>
      </c>
      <c r="RG47" s="336">
        <v>0</v>
      </c>
      <c r="RH47" s="336">
        <v>0</v>
      </c>
      <c r="RI47" s="336">
        <v>0</v>
      </c>
      <c r="RJ47" s="336">
        <v>0</v>
      </c>
      <c r="RK47" s="336">
        <v>0</v>
      </c>
      <c r="RL47" s="336">
        <v>0</v>
      </c>
      <c r="RM47" s="336">
        <v>0</v>
      </c>
      <c r="RN47" s="336">
        <v>0</v>
      </c>
      <c r="RO47" s="336">
        <v>-78005356</v>
      </c>
      <c r="RP47" s="336">
        <v>0</v>
      </c>
      <c r="RQ47" s="336">
        <v>0</v>
      </c>
      <c r="RR47" s="336">
        <v>0</v>
      </c>
      <c r="RS47" s="336">
        <v>0</v>
      </c>
      <c r="RT47" s="336">
        <v>0</v>
      </c>
      <c r="RU47" s="336">
        <v>0</v>
      </c>
      <c r="RV47" s="336">
        <v>0</v>
      </c>
      <c r="RW47" s="336">
        <v>0</v>
      </c>
      <c r="RX47" s="336">
        <v>0</v>
      </c>
      <c r="RY47" s="336">
        <v>0</v>
      </c>
      <c r="RZ47" s="336">
        <v>0</v>
      </c>
      <c r="SA47" s="336">
        <v>0</v>
      </c>
      <c r="SB47" s="336">
        <v>0</v>
      </c>
      <c r="SC47" s="336">
        <v>0</v>
      </c>
      <c r="SD47" s="336">
        <v>0</v>
      </c>
      <c r="SE47" s="336">
        <v>0</v>
      </c>
      <c r="SF47" s="336">
        <v>0</v>
      </c>
      <c r="SG47" s="336">
        <v>0</v>
      </c>
      <c r="SH47" s="336">
        <v>0</v>
      </c>
      <c r="SI47" s="336">
        <v>515649</v>
      </c>
      <c r="SJ47" s="336">
        <v>0</v>
      </c>
      <c r="SK47" s="336">
        <v>0</v>
      </c>
      <c r="SL47" s="336">
        <v>0</v>
      </c>
      <c r="SM47" s="336">
        <v>0</v>
      </c>
      <c r="SN47" s="336">
        <v>0</v>
      </c>
      <c r="SO47" s="336">
        <v>0</v>
      </c>
      <c r="SP47" s="336">
        <v>0</v>
      </c>
      <c r="SQ47" s="336">
        <v>2355008</v>
      </c>
      <c r="SR47" s="336">
        <v>6560229</v>
      </c>
      <c r="SS47" s="336">
        <v>8137839</v>
      </c>
      <c r="ST47" s="336">
        <v>1624092</v>
      </c>
      <c r="SU47" s="336">
        <v>0</v>
      </c>
      <c r="SV47" s="336">
        <v>0</v>
      </c>
      <c r="SW47" s="336">
        <v>293493407</v>
      </c>
      <c r="SX47" s="336">
        <v>0</v>
      </c>
      <c r="SY47" s="336">
        <v>0</v>
      </c>
      <c r="SZ47" s="336" t="s">
        <v>1420</v>
      </c>
      <c r="TA47" s="336" t="s">
        <v>1420</v>
      </c>
      <c r="TB47" s="336" t="s">
        <v>1420</v>
      </c>
      <c r="TC47" s="336">
        <v>451355</v>
      </c>
      <c r="TD47" s="336">
        <v>3783241</v>
      </c>
      <c r="TE47" s="336">
        <v>403121</v>
      </c>
      <c r="TF47" s="336">
        <v>0</v>
      </c>
      <c r="TG47" s="336">
        <v>5638683</v>
      </c>
      <c r="TH47" s="336">
        <v>126024</v>
      </c>
      <c r="TI47" s="336">
        <v>10359</v>
      </c>
      <c r="TJ47" s="336">
        <v>203155</v>
      </c>
      <c r="TK47" s="336">
        <v>0</v>
      </c>
      <c r="TL47" s="336">
        <v>8061230</v>
      </c>
      <c r="TM47" s="336">
        <v>0</v>
      </c>
      <c r="TN47" s="336">
        <v>0</v>
      </c>
      <c r="TO47" s="336">
        <v>1477813</v>
      </c>
      <c r="TP47" s="336">
        <v>0</v>
      </c>
      <c r="TQ47" s="336">
        <v>0</v>
      </c>
      <c r="TR47" s="336">
        <v>0</v>
      </c>
      <c r="TS47" s="336">
        <v>0</v>
      </c>
      <c r="TT47" s="336">
        <v>0</v>
      </c>
      <c r="TU47" s="336">
        <v>0</v>
      </c>
      <c r="TV47" s="336">
        <v>0</v>
      </c>
      <c r="TW47" s="336">
        <v>0</v>
      </c>
      <c r="TX47" s="336">
        <v>52109</v>
      </c>
      <c r="TY47" s="336">
        <v>0</v>
      </c>
      <c r="TZ47" s="336">
        <v>0</v>
      </c>
      <c r="UA47" s="336">
        <v>0</v>
      </c>
      <c r="UB47" s="336">
        <v>0</v>
      </c>
      <c r="UC47" s="336">
        <v>0</v>
      </c>
      <c r="UD47" s="336">
        <v>0</v>
      </c>
      <c r="UE47" s="336">
        <v>0</v>
      </c>
      <c r="UF47" s="336">
        <v>0</v>
      </c>
      <c r="UG47" s="336">
        <v>0</v>
      </c>
      <c r="UH47" s="351">
        <v>204387420</v>
      </c>
      <c r="UI47" s="337">
        <v>151103828</v>
      </c>
      <c r="UJ47" s="337">
        <v>2302374.61</v>
      </c>
      <c r="UK47" s="337">
        <v>0</v>
      </c>
      <c r="UL47" s="337">
        <v>56999813</v>
      </c>
      <c r="UM47" s="337">
        <v>38882799</v>
      </c>
      <c r="UN47" s="337">
        <v>44909116</v>
      </c>
      <c r="UO47" s="337">
        <v>47314828</v>
      </c>
      <c r="UP47" s="337">
        <v>79905176</v>
      </c>
      <c r="UQ47" s="337">
        <v>97806171</v>
      </c>
      <c r="UR47" s="337">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18677168</v>
      </c>
      <c r="US47" s="337">
        <f>SUM(Input[[#This Row],[Oth Exp E&amp;G]],Input[[#This Row],[Oth Exp Desg]],Input[[#This Row],[Oth Exp Aux]],Input[[#This Row],[Oth Exp R Exp]],Input[[#This Row],[Oth Exp Loan]],Input[[#This Row],[Oth Exp Annuity]],Input[[#This Row],[Oth Exp Unexp]],Input[[#This Row],[Oth Exp R of Ind]],Input[[#This Row],[Oth Exp Inv in P]])</f>
        <v>1827652</v>
      </c>
      <c r="UT47" s="336">
        <v>69201118</v>
      </c>
      <c r="UU47" s="336">
        <v>27065999</v>
      </c>
      <c r="UV47" s="339" t="s">
        <v>1481</v>
      </c>
      <c r="UW47" s="340">
        <v>5122452087</v>
      </c>
      <c r="UX47" s="339" t="s">
        <v>1482</v>
      </c>
      <c r="UY47" s="339" t="s">
        <v>1483</v>
      </c>
      <c r="UZ47" s="340">
        <v>5122452776</v>
      </c>
      <c r="VA47" s="339" t="s">
        <v>1484</v>
      </c>
      <c r="VB47" s="341" cm="1">
        <f t="array" ref="VB47">IFERROR(_xlfn.IFS(Input[[#This Row],[Type]]="HRI",VLOOKUP(Input[[#This Row],[Institution Name]],FTSEHRI[],9,FALSE),Input[[#This Row],[Type]]="UNIV",VLOOKUP(Input[[#This Row],[Institution Name]],FTSEUNIV[],9,FALSE),OR(Input[[#This Row],[Type]]="TSTC",Input[[#This Row],[Type]]="LSC"),VLOOKUP(Input[[#This Row],[Institution Name]],FTSETSTC[],8,FALSE)),"N/A")</f>
        <v>32955.14</v>
      </c>
      <c r="VC47" s="342" t="str" cm="1">
        <f t="array" ref="VC47">IFERROR(_xlfn.IFS(Input[[#This Row],[Type]]="HRI",VLOOKUP(Input[[#This Row],[Institution Name]],FTSEHRI[],11,FALSE),Input[[#This Row],[Type]]="UNIV",VLOOKUP(Input[[#This Row],[Institution Name]],FTSEUNIV[],11,FALSE),Input[[#This Row],[Type]]="TSTC",VLOOKUP(Input[[#This Row],[Institution Name]],FTSETSTC[],10,FALSE)),"N/A")</f>
        <v>N/A</v>
      </c>
      <c r="VD47"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212469386</v>
      </c>
      <c r="VE47"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38741061</v>
      </c>
      <c r="VF47" s="338">
        <f>SUM(Input[[#This Row],[Fed G&amp;C E&amp;G]],Input[[#This Row],[Fed G&amp;C Desg]],Input[[#This Row],[Fed G&amp;C R Exp]],Input[[#This Row],[Fed G&amp;C Loan]],Input[[#This Row],[Fed G&amp;C Annuity]],Input[[#This Row],[Fed G&amp;C Unexp]],Input[[#This Row],[Fed G&amp;C R of Ind]],Input[[#This Row],[Fed G&amp;C Inv in P]])</f>
        <v>144423963</v>
      </c>
      <c r="VG47"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68357615</v>
      </c>
      <c r="VH47"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203001732</v>
      </c>
      <c r="VI47"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50433145</v>
      </c>
      <c r="VJ47" s="338">
        <f>SUM(Input[[#This Row],[Oth Inc E&amp;G]],Input[[#This Row],[Oth Exp Desg]],Input[[#This Row],[Oth Exp R Exp]],Input[[#This Row],[Oth Exp Loan]],Input[[#This Row],[Oth Exp Annuity]],Input[[#This Row],[Oth Exp Unexp]],Input[[#This Row],[Oth Exp R of Ind]],Input[[#This Row],[Oth Exp Inv in P]])</f>
        <v>1787434</v>
      </c>
      <c r="VK47" s="343">
        <f>SUM(Input[[#This Row],[Instr E&amp;G]],Input[[#This Row],[Instr Desg]],Input[[#This Row],[Instr R Exp]],Input[[#This Row],[Instr Loan]],Input[[#This Row],[Instr Annuity]],Input[[#This Row],[Instr Unexp]],Input[[#This Row],[Instr R of Ind]],Input[[#This Row],[Instr Inv in P]])</f>
        <v>204387420</v>
      </c>
      <c r="VL47" s="343">
        <f>SUM(Input[[#This Row],[Res E&amp;G]],Input[[#This Row],[Res Desg]],Input[[#This Row],[Res R Exp]],Input[[#This Row],[Res Loan]],Input[[#This Row],[Res Annuity]],Input[[#This Row],[Res Unexp]],Input[[#This Row],[Res R of Ind]],Input[[#This Row],[Res Inv in P]])</f>
        <v>151103828</v>
      </c>
      <c r="VM47" s="343">
        <f>SUM(Input[[#This Row],[Acad Sup E&amp;G]],Input[[#This Row],[Acad Sup Desg]],Input[[#This Row],[Acad Sup R Exp]],Input[[#This Row],[Acad Sup Loan]],Input[[#This Row],[Acad Sup Annuity]],Input[[#This Row],[Acad Sup Unexp]],Input[[#This Row],[Acad Sup R of Ind]],Input[[#This Row],[Acad Sup Inv in P]])</f>
        <v>56998490</v>
      </c>
      <c r="VN47" s="343">
        <f>SUM(Input[[#This Row],[Stu Svc E&amp;G]],Input[[#This Row],[Stu Svc Desg]],Input[[#This Row],[Stu Svc R Exp]],Input[[#This Row],[Stu Svc Loan]],Input[[#This Row],[Stu Svc Annuity]],Input[[#This Row],[Stu Svc Unexp]],Input[[#This Row],[Stu Svc R of Ind]],Input[[#This Row],[Stu Svc Inv in P]])</f>
        <v>25413748</v>
      </c>
      <c r="VO47" s="343">
        <f>SUM(Input[[#This Row],[Inst. Spt E&amp;G]],Input[[#This Row],[Inst. Spt Desg]],Input[[#This Row],[Inst. Spt R Exp]],Input[[#This Row],[Inst. Spt Loan]],Input[[#This Row],[Inst. Spt Annuity]],Input[[#This Row],[Inst. Spt Unexp]],Input[[#This Row],[Inst. Spt R of Ind]],Input[[#This Row],[Inst. Spt Inv in P]])</f>
        <v>44909116</v>
      </c>
      <c r="VP47" s="343">
        <f>SUM(Input[[#This Row],[M&amp;O Plnt E&amp;G]],Input[[#This Row],[M&amp;O Plnt Desg]],Input[[#This Row],[M&amp;O Plnt R Exp]],Input[[#This Row],[M&amp;O Plnt Loan]],Input[[#This Row],[M&amp;O Plnt Annuity]],Input[[#This Row],[M&amp;O Plnt Unexp]],Input[[#This Row],[M&amp;O Plnt R of Ind]],Input[[#This Row],[M&amp;O Plnt Inv in P]])</f>
        <v>45843262</v>
      </c>
      <c r="VQ47" s="343">
        <f>SUM(Input[[#This Row],[Schl &amp; Fell E&amp;G]],Input[[#This Row],[Schl &amp; Fell Desg]],Input[[#This Row],[Schl &amp; Fell R Exp]],Input[[#This Row],[Schl &amp; Fell Loan]],Input[[#This Row],[Schl &amp; Fell Annuity]],Input[[#This Row],[Schl &amp; Fell Unexp]],Input[[#This Row],[Schl &amp; Fell R of Ind]],Input[[#This Row],[Schl &amp; Fell Inv in P]])</f>
        <v>77405761</v>
      </c>
      <c r="VR47" s="343">
        <f>SUM(Input[[#This Row],[Cap Out fund E&amp;G]],Input[[#This Row],[Cap Out fund Desg]],Input[[#This Row],[Cap Out fund R Exp]],Input[[#This Row],[Cap Out fund Loan]],Input[[#This Row],[Cap Out fund Annuity]],Input[[#This Row],[Cap Out fund Unexp]],Input[[#This Row],[Cap Out fund R of Ind]],Input[[#This Row],[Cap Out fund Inv in P]])</f>
        <v>10539329</v>
      </c>
      <c r="VS47" s="343">
        <f>SUM(Input[[#This Row],[Oth Exp E&amp;G]],Input[[#This Row],[Oth Exp Desg]],Input[[#This Row],[Oth Exp R Exp]],Input[[#This Row],[Oth Exp Loan]],Input[[#This Row],[Oth Exp Annuity]],Input[[#This Row],[Oth Exp Unexp]],Input[[#This Row],[Oth Exp R of Ind]],Input[[#This Row],[Oth Exp Inv in P]],Input[[#This Row],[Oth Exp Inv in P]])</f>
        <v>1765706</v>
      </c>
    </row>
    <row r="48" spans="1:591" s="344" customFormat="1" ht="27" customHeight="1" x14ac:dyDescent="0.55000000000000004">
      <c r="A48" s="339" t="s">
        <v>85</v>
      </c>
      <c r="B48" s="334" t="s">
        <v>833</v>
      </c>
      <c r="C48" s="334" t="s">
        <v>21</v>
      </c>
      <c r="D48" s="334">
        <v>310</v>
      </c>
      <c r="E48" s="334" t="s">
        <v>1622</v>
      </c>
      <c r="F48" s="335">
        <v>3644</v>
      </c>
      <c r="G48" s="336">
        <v>275704348</v>
      </c>
      <c r="H48" s="336">
        <v>0</v>
      </c>
      <c r="I48" s="336">
        <v>0</v>
      </c>
      <c r="J48" s="336">
        <v>0</v>
      </c>
      <c r="K48" s="336">
        <v>0</v>
      </c>
      <c r="L48" s="336">
        <v>0</v>
      </c>
      <c r="M48" s="336">
        <v>0</v>
      </c>
      <c r="N48" s="336">
        <v>0</v>
      </c>
      <c r="O48" s="336">
        <v>0</v>
      </c>
      <c r="P48" s="336">
        <v>254408</v>
      </c>
      <c r="Q48" s="336">
        <v>10633470</v>
      </c>
      <c r="R48" s="336">
        <v>0</v>
      </c>
      <c r="S48" s="336">
        <v>25567724</v>
      </c>
      <c r="T48" s="336">
        <v>0</v>
      </c>
      <c r="U48" s="336">
        <v>0</v>
      </c>
      <c r="V48" s="336">
        <v>0</v>
      </c>
      <c r="W48" s="336">
        <v>0</v>
      </c>
      <c r="X48" s="336">
        <v>0</v>
      </c>
      <c r="Y48" s="336">
        <v>51379461</v>
      </c>
      <c r="Z48" s="336">
        <v>0</v>
      </c>
      <c r="AA48" s="336">
        <v>0</v>
      </c>
      <c r="AB48" s="336">
        <v>0</v>
      </c>
      <c r="AC48" s="336">
        <v>0</v>
      </c>
      <c r="AD48" s="336">
        <v>0</v>
      </c>
      <c r="AE48" s="336">
        <v>0</v>
      </c>
      <c r="AF48" s="336">
        <v>0</v>
      </c>
      <c r="AG48" s="336">
        <v>0</v>
      </c>
      <c r="AH48" s="336">
        <v>0</v>
      </c>
      <c r="AI48" s="336">
        <v>0</v>
      </c>
      <c r="AJ48" s="336">
        <v>0</v>
      </c>
      <c r="AK48" s="336">
        <v>0</v>
      </c>
      <c r="AL48" s="336">
        <v>0</v>
      </c>
      <c r="AM48" s="336">
        <v>0</v>
      </c>
      <c r="AN48" s="336">
        <v>0</v>
      </c>
      <c r="AO48" s="336">
        <v>0</v>
      </c>
      <c r="AP48" s="336">
        <v>0</v>
      </c>
      <c r="AQ48" s="336">
        <v>-55732276</v>
      </c>
      <c r="AR48" s="336">
        <v>0</v>
      </c>
      <c r="AS48" s="336">
        <v>0</v>
      </c>
      <c r="AT48" s="336">
        <v>0</v>
      </c>
      <c r="AU48" s="336">
        <v>0</v>
      </c>
      <c r="AV48" s="336">
        <v>0</v>
      </c>
      <c r="AW48" s="336">
        <v>0</v>
      </c>
      <c r="AX48" s="336">
        <v>0</v>
      </c>
      <c r="AY48" s="336">
        <v>0</v>
      </c>
      <c r="AZ48" s="336">
        <v>0</v>
      </c>
      <c r="BA48" s="336">
        <v>0</v>
      </c>
      <c r="BB48" s="336">
        <v>0</v>
      </c>
      <c r="BC48" s="336">
        <v>0</v>
      </c>
      <c r="BD48" s="336">
        <v>0</v>
      </c>
      <c r="BE48" s="336">
        <v>0</v>
      </c>
      <c r="BF48" s="336">
        <v>0</v>
      </c>
      <c r="BG48" s="336">
        <v>0</v>
      </c>
      <c r="BH48" s="336">
        <v>0</v>
      </c>
      <c r="BI48" s="336">
        <v>0</v>
      </c>
      <c r="BJ48" s="336">
        <v>0</v>
      </c>
      <c r="BK48" s="336">
        <v>0</v>
      </c>
      <c r="BL48" s="336">
        <v>0</v>
      </c>
      <c r="BM48" s="336">
        <v>0</v>
      </c>
      <c r="BN48" s="336">
        <v>0</v>
      </c>
      <c r="BO48" s="336">
        <v>0</v>
      </c>
      <c r="BP48" s="336">
        <v>0</v>
      </c>
      <c r="BQ48" s="336">
        <v>0</v>
      </c>
      <c r="BR48" s="336">
        <v>0</v>
      </c>
      <c r="BS48" s="336">
        <v>0</v>
      </c>
      <c r="BT48" s="336">
        <v>0</v>
      </c>
      <c r="BU48" s="336">
        <v>0</v>
      </c>
      <c r="BV48" s="336">
        <v>0</v>
      </c>
      <c r="BW48" s="336">
        <v>0</v>
      </c>
      <c r="BX48" s="336">
        <v>0</v>
      </c>
      <c r="BY48" s="336">
        <v>0</v>
      </c>
      <c r="BZ48" s="336">
        <v>0</v>
      </c>
      <c r="CA48" s="336">
        <v>75614461</v>
      </c>
      <c r="CB48" s="336">
        <v>287330824</v>
      </c>
      <c r="CC48" s="336">
        <v>0</v>
      </c>
      <c r="CD48" s="336">
        <v>0</v>
      </c>
      <c r="CE48" s="336">
        <v>0</v>
      </c>
      <c r="CF48" s="336">
        <v>0</v>
      </c>
      <c r="CG48" s="336">
        <v>0</v>
      </c>
      <c r="CH48" s="336">
        <v>0</v>
      </c>
      <c r="CI48" s="336">
        <v>0</v>
      </c>
      <c r="CJ48" s="336">
        <v>0</v>
      </c>
      <c r="CK48" s="336">
        <v>0</v>
      </c>
      <c r="CL48" s="336">
        <v>0</v>
      </c>
      <c r="CM48" s="336">
        <v>0</v>
      </c>
      <c r="CN48" s="336">
        <v>0</v>
      </c>
      <c r="CO48" s="336">
        <v>0</v>
      </c>
      <c r="CP48" s="336">
        <v>0</v>
      </c>
      <c r="CQ48" s="336">
        <v>0</v>
      </c>
      <c r="CR48" s="336">
        <v>0</v>
      </c>
      <c r="CS48" s="336">
        <v>0</v>
      </c>
      <c r="CT48" s="336">
        <v>0</v>
      </c>
      <c r="CU48" s="336">
        <v>0</v>
      </c>
      <c r="CV48" s="336">
        <v>0</v>
      </c>
      <c r="CW48" s="336">
        <v>0</v>
      </c>
      <c r="CX48" s="336">
        <v>0</v>
      </c>
      <c r="CY48" s="336">
        <v>0</v>
      </c>
      <c r="CZ48" s="336">
        <v>0</v>
      </c>
      <c r="DA48" s="336">
        <v>0</v>
      </c>
      <c r="DB48" s="336">
        <v>-4063544</v>
      </c>
      <c r="DC48" s="336">
        <v>-16216209</v>
      </c>
      <c r="DD48" s="336">
        <v>0</v>
      </c>
      <c r="DE48" s="336">
        <v>0</v>
      </c>
      <c r="DF48" s="336">
        <v>0</v>
      </c>
      <c r="DG48" s="336">
        <v>0</v>
      </c>
      <c r="DH48" s="336">
        <v>0</v>
      </c>
      <c r="DI48" s="336">
        <v>0</v>
      </c>
      <c r="DJ48" s="336">
        <v>0</v>
      </c>
      <c r="DK48" s="336">
        <v>0</v>
      </c>
      <c r="DL48" s="336">
        <v>0</v>
      </c>
      <c r="DM48" s="336">
        <v>0</v>
      </c>
      <c r="DN48" s="336">
        <v>0</v>
      </c>
      <c r="DO48" s="336">
        <v>0</v>
      </c>
      <c r="DP48" s="336">
        <v>0</v>
      </c>
      <c r="DQ48" s="336">
        <v>0</v>
      </c>
      <c r="DR48" s="336">
        <v>0</v>
      </c>
      <c r="DS48" s="336">
        <v>0</v>
      </c>
      <c r="DT48" s="336">
        <v>-15471001</v>
      </c>
      <c r="DU48" s="336">
        <v>-58853022</v>
      </c>
      <c r="DV48" s="336">
        <v>0</v>
      </c>
      <c r="DW48" s="336">
        <v>0</v>
      </c>
      <c r="DX48" s="336">
        <v>0</v>
      </c>
      <c r="DY48" s="336">
        <v>0</v>
      </c>
      <c r="DZ48" s="336">
        <v>0</v>
      </c>
      <c r="EA48" s="336">
        <v>0</v>
      </c>
      <c r="EB48" s="336">
        <v>0</v>
      </c>
      <c r="EC48" s="336">
        <v>0</v>
      </c>
      <c r="ED48" s="336">
        <v>0</v>
      </c>
      <c r="EE48" s="336">
        <v>0</v>
      </c>
      <c r="EF48" s="336">
        <v>0</v>
      </c>
      <c r="EG48" s="336">
        <v>0</v>
      </c>
      <c r="EH48" s="336">
        <v>0</v>
      </c>
      <c r="EI48" s="336">
        <v>0</v>
      </c>
      <c r="EJ48" s="336">
        <v>0</v>
      </c>
      <c r="EK48" s="336">
        <v>0</v>
      </c>
      <c r="EL48" s="336">
        <v>0</v>
      </c>
      <c r="EM48" s="336">
        <v>0</v>
      </c>
      <c r="EN48" s="336">
        <v>0</v>
      </c>
      <c r="EO48" s="336">
        <v>0</v>
      </c>
      <c r="EP48" s="336">
        <v>0</v>
      </c>
      <c r="EQ48" s="336">
        <v>0</v>
      </c>
      <c r="ER48" s="336">
        <v>0</v>
      </c>
      <c r="ES48" s="336">
        <v>0</v>
      </c>
      <c r="ET48" s="336">
        <v>0</v>
      </c>
      <c r="EU48" s="336">
        <v>0</v>
      </c>
      <c r="EV48" s="336">
        <v>0</v>
      </c>
      <c r="EW48" s="336">
        <v>0</v>
      </c>
      <c r="EX48" s="336">
        <v>0</v>
      </c>
      <c r="EY48" s="336">
        <v>0</v>
      </c>
      <c r="EZ48" s="336">
        <v>0</v>
      </c>
      <c r="FA48" s="336">
        <v>0</v>
      </c>
      <c r="FB48" s="336">
        <v>0</v>
      </c>
      <c r="FC48" s="336">
        <v>0</v>
      </c>
      <c r="FD48" s="336">
        <v>0</v>
      </c>
      <c r="FE48" s="336">
        <v>0</v>
      </c>
      <c r="FF48" s="336">
        <v>0</v>
      </c>
      <c r="FG48" s="336">
        <v>0</v>
      </c>
      <c r="FH48" s="336">
        <v>0</v>
      </c>
      <c r="FI48" s="336">
        <v>0</v>
      </c>
      <c r="FJ48" s="336">
        <v>0</v>
      </c>
      <c r="FK48" s="336">
        <v>0</v>
      </c>
      <c r="FL48" s="336">
        <v>0</v>
      </c>
      <c r="FM48" s="336">
        <v>0</v>
      </c>
      <c r="FN48" s="336">
        <v>163363274</v>
      </c>
      <c r="FO48" s="336">
        <v>8303808</v>
      </c>
      <c r="FP48" s="336">
        <v>0</v>
      </c>
      <c r="FQ48" s="336">
        <v>0</v>
      </c>
      <c r="FR48" s="336">
        <v>0</v>
      </c>
      <c r="FS48" s="336">
        <v>0</v>
      </c>
      <c r="FT48" s="336">
        <v>0</v>
      </c>
      <c r="FU48" s="336">
        <v>0</v>
      </c>
      <c r="FV48" s="336">
        <v>0</v>
      </c>
      <c r="FW48" s="336">
        <v>0</v>
      </c>
      <c r="FX48" s="336">
        <v>0</v>
      </c>
      <c r="FY48" s="336">
        <v>0</v>
      </c>
      <c r="FZ48" s="336">
        <v>0</v>
      </c>
      <c r="GA48" s="336">
        <v>0</v>
      </c>
      <c r="GB48" s="336">
        <v>0</v>
      </c>
      <c r="GC48" s="336">
        <v>0</v>
      </c>
      <c r="GD48" s="336">
        <v>0</v>
      </c>
      <c r="GE48" s="336">
        <v>0</v>
      </c>
      <c r="GF48" s="336">
        <v>0</v>
      </c>
      <c r="GG48" s="336">
        <v>0</v>
      </c>
      <c r="GH48" s="336">
        <v>0</v>
      </c>
      <c r="GI48" s="336">
        <v>0</v>
      </c>
      <c r="GJ48" s="336">
        <v>0</v>
      </c>
      <c r="GK48" s="336">
        <v>0</v>
      </c>
      <c r="GL48" s="336">
        <v>0</v>
      </c>
      <c r="GM48" s="336">
        <v>0</v>
      </c>
      <c r="GN48" s="336">
        <v>0</v>
      </c>
      <c r="GO48" s="336">
        <v>-9201046</v>
      </c>
      <c r="GP48" s="336">
        <v>-526884</v>
      </c>
      <c r="GQ48" s="336">
        <v>0</v>
      </c>
      <c r="GR48" s="336">
        <v>0</v>
      </c>
      <c r="GS48" s="336">
        <v>0</v>
      </c>
      <c r="GT48" s="336">
        <v>0</v>
      </c>
      <c r="GU48" s="336">
        <v>0</v>
      </c>
      <c r="GV48" s="336">
        <v>0</v>
      </c>
      <c r="GW48" s="336">
        <v>0</v>
      </c>
      <c r="GX48" s="336">
        <v>0</v>
      </c>
      <c r="GY48" s="336">
        <v>0</v>
      </c>
      <c r="GZ48" s="336">
        <v>0</v>
      </c>
      <c r="HA48" s="336">
        <v>0</v>
      </c>
      <c r="HB48" s="336">
        <v>0</v>
      </c>
      <c r="HC48" s="336">
        <v>0</v>
      </c>
      <c r="HD48" s="336">
        <v>0</v>
      </c>
      <c r="HE48" s="336">
        <v>0</v>
      </c>
      <c r="HF48" s="336">
        <v>0</v>
      </c>
      <c r="HG48" s="336">
        <v>-33393094</v>
      </c>
      <c r="HH48" s="336">
        <v>-1695902</v>
      </c>
      <c r="HI48" s="336">
        <v>0</v>
      </c>
      <c r="HJ48" s="336">
        <v>0</v>
      </c>
      <c r="HK48" s="336">
        <v>0</v>
      </c>
      <c r="HL48" s="336">
        <v>0</v>
      </c>
      <c r="HM48" s="336">
        <v>0</v>
      </c>
      <c r="HN48" s="336">
        <v>0</v>
      </c>
      <c r="HO48" s="336">
        <v>0</v>
      </c>
      <c r="HP48" s="336">
        <v>0</v>
      </c>
      <c r="HQ48" s="336">
        <v>0</v>
      </c>
      <c r="HR48" s="336">
        <v>137455020</v>
      </c>
      <c r="HS48" s="336">
        <v>0</v>
      </c>
      <c r="HT48" s="336">
        <v>0</v>
      </c>
      <c r="HU48" s="336">
        <v>0</v>
      </c>
      <c r="HV48" s="336">
        <v>0</v>
      </c>
      <c r="HW48" s="336">
        <v>0</v>
      </c>
      <c r="HX48" s="336">
        <v>0</v>
      </c>
      <c r="HY48" s="336">
        <v>0</v>
      </c>
      <c r="HZ48" s="336">
        <v>0</v>
      </c>
      <c r="IA48" s="336">
        <v>0</v>
      </c>
      <c r="IB48" s="336">
        <v>0</v>
      </c>
      <c r="IC48" s="336">
        <v>0</v>
      </c>
      <c r="ID48" s="336">
        <v>0</v>
      </c>
      <c r="IE48" s="336">
        <v>0</v>
      </c>
      <c r="IF48" s="336">
        <v>0</v>
      </c>
      <c r="IG48" s="336">
        <v>0</v>
      </c>
      <c r="IH48" s="336">
        <v>0</v>
      </c>
      <c r="II48" s="336">
        <v>0</v>
      </c>
      <c r="IJ48" s="336">
        <v>0</v>
      </c>
      <c r="IK48" s="336">
        <v>0</v>
      </c>
      <c r="IL48" s="336">
        <v>0</v>
      </c>
      <c r="IM48" s="336">
        <v>0</v>
      </c>
      <c r="IN48" s="336">
        <v>0</v>
      </c>
      <c r="IO48" s="336">
        <v>0</v>
      </c>
      <c r="IP48" s="336">
        <v>2396043</v>
      </c>
      <c r="IQ48" s="336">
        <v>31780054</v>
      </c>
      <c r="IR48" s="336">
        <v>3714279</v>
      </c>
      <c r="IS48" s="336">
        <v>14073925</v>
      </c>
      <c r="IT48" s="336">
        <v>100270</v>
      </c>
      <c r="IU48" s="336">
        <v>-11136238</v>
      </c>
      <c r="IV48" s="336">
        <v>0</v>
      </c>
      <c r="IW48" s="336">
        <v>964297</v>
      </c>
      <c r="IX48" s="336">
        <v>0</v>
      </c>
      <c r="IY48" s="336">
        <v>0</v>
      </c>
      <c r="IZ48" s="336">
        <v>4000</v>
      </c>
      <c r="JA48" s="336">
        <v>0</v>
      </c>
      <c r="JB48" s="336">
        <v>3512970</v>
      </c>
      <c r="JC48" s="336">
        <v>0</v>
      </c>
      <c r="JD48" s="336">
        <v>0</v>
      </c>
      <c r="JE48" s="336">
        <v>0</v>
      </c>
      <c r="JF48" s="336">
        <v>0</v>
      </c>
      <c r="JG48" s="336">
        <v>0</v>
      </c>
      <c r="JH48" s="336">
        <v>0</v>
      </c>
      <c r="JI48" s="336">
        <v>2253349</v>
      </c>
      <c r="JJ48" s="336">
        <v>10116</v>
      </c>
      <c r="JK48" s="336">
        <v>117946881</v>
      </c>
      <c r="JL48" s="336">
        <v>0</v>
      </c>
      <c r="JM48" s="336">
        <v>-12758</v>
      </c>
      <c r="JN48" s="336">
        <v>0</v>
      </c>
      <c r="JO48" s="336">
        <v>0</v>
      </c>
      <c r="JP48" s="336">
        <v>0</v>
      </c>
      <c r="JQ48" s="336">
        <v>0</v>
      </c>
      <c r="JR48" s="336">
        <v>13364277</v>
      </c>
      <c r="JS48" s="336">
        <v>0</v>
      </c>
      <c r="JT48" s="336">
        <v>8521302</v>
      </c>
      <c r="JU48" s="336">
        <v>0</v>
      </c>
      <c r="JV48" s="336">
        <v>0</v>
      </c>
      <c r="JW48" s="336">
        <v>0</v>
      </c>
      <c r="JX48" s="336">
        <v>0</v>
      </c>
      <c r="JY48" s="336">
        <v>0</v>
      </c>
      <c r="JZ48" s="336">
        <v>0</v>
      </c>
      <c r="KA48" s="336">
        <v>0</v>
      </c>
      <c r="KB48" s="336">
        <v>182512387</v>
      </c>
      <c r="KC48" s="336">
        <v>0</v>
      </c>
      <c r="KD48" s="336">
        <v>0</v>
      </c>
      <c r="KE48" s="336">
        <v>0</v>
      </c>
      <c r="KF48" s="336">
        <v>0</v>
      </c>
      <c r="KG48" s="336">
        <v>0</v>
      </c>
      <c r="KH48" s="336">
        <v>0</v>
      </c>
      <c r="KI48" s="336">
        <v>30029</v>
      </c>
      <c r="KJ48" s="336">
        <v>1704579</v>
      </c>
      <c r="KK48" s="336">
        <v>1172915</v>
      </c>
      <c r="KL48" s="336">
        <v>642641</v>
      </c>
      <c r="KM48" s="336">
        <v>0</v>
      </c>
      <c r="KN48" s="336">
        <v>0</v>
      </c>
      <c r="KO48" s="336">
        <v>0</v>
      </c>
      <c r="KP48" s="336">
        <v>0</v>
      </c>
      <c r="KQ48" s="336">
        <v>421206</v>
      </c>
      <c r="KR48" s="336">
        <v>159905349</v>
      </c>
      <c r="KS48" s="336">
        <v>84932825</v>
      </c>
      <c r="KT48" s="336">
        <v>0</v>
      </c>
      <c r="KU48" s="336">
        <v>12503395</v>
      </c>
      <c r="KV48" s="336">
        <v>0</v>
      </c>
      <c r="KW48" s="336">
        <v>0</v>
      </c>
      <c r="KX48" s="336">
        <v>0</v>
      </c>
      <c r="KY48" s="336">
        <v>0</v>
      </c>
      <c r="KZ48" s="336">
        <v>0</v>
      </c>
      <c r="LA48" s="336">
        <v>92442609</v>
      </c>
      <c r="LB48" s="336">
        <v>38856666</v>
      </c>
      <c r="LC48" s="336">
        <v>0</v>
      </c>
      <c r="LD48" s="336">
        <v>74444329</v>
      </c>
      <c r="LE48" s="336">
        <v>0</v>
      </c>
      <c r="LF48" s="336">
        <v>0</v>
      </c>
      <c r="LG48" s="336">
        <v>0</v>
      </c>
      <c r="LH48" s="336">
        <v>0</v>
      </c>
      <c r="LI48" s="336">
        <v>0</v>
      </c>
      <c r="LJ48" s="336">
        <v>2208461</v>
      </c>
      <c r="LK48" s="336">
        <v>6645423</v>
      </c>
      <c r="LL48" s="336">
        <v>14309</v>
      </c>
      <c r="LM48" s="336">
        <v>13622574</v>
      </c>
      <c r="LN48" s="336">
        <v>0</v>
      </c>
      <c r="LO48" s="336">
        <v>0</v>
      </c>
      <c r="LP48" s="336">
        <v>0</v>
      </c>
      <c r="LQ48" s="336">
        <v>0</v>
      </c>
      <c r="LR48" s="336">
        <v>0</v>
      </c>
      <c r="LS48" s="336">
        <v>0</v>
      </c>
      <c r="LT48" s="336">
        <v>0</v>
      </c>
      <c r="LU48" s="336">
        <v>0</v>
      </c>
      <c r="LV48" s="336">
        <v>0</v>
      </c>
      <c r="LW48" s="336">
        <v>0</v>
      </c>
      <c r="LX48" s="336">
        <v>0</v>
      </c>
      <c r="LY48" s="336">
        <v>0</v>
      </c>
      <c r="LZ48" s="336">
        <v>0</v>
      </c>
      <c r="MA48" s="336">
        <v>0</v>
      </c>
      <c r="MB48" s="336">
        <v>47290095</v>
      </c>
      <c r="MC48" s="336">
        <v>68021007</v>
      </c>
      <c r="MD48" s="336">
        <v>0</v>
      </c>
      <c r="ME48" s="336">
        <v>15407522</v>
      </c>
      <c r="MF48" s="336">
        <v>0</v>
      </c>
      <c r="MG48" s="336">
        <v>0</v>
      </c>
      <c r="MH48" s="336">
        <v>0</v>
      </c>
      <c r="MI48" s="336">
        <v>0</v>
      </c>
      <c r="MJ48" s="336">
        <v>0</v>
      </c>
      <c r="MK48" s="336">
        <v>9699479</v>
      </c>
      <c r="ML48" s="336">
        <v>60678027</v>
      </c>
      <c r="MM48" s="336">
        <v>0</v>
      </c>
      <c r="MN48" s="336">
        <v>2007317</v>
      </c>
      <c r="MO48" s="336">
        <v>0</v>
      </c>
      <c r="MP48" s="336">
        <v>0</v>
      </c>
      <c r="MQ48" s="336">
        <v>0</v>
      </c>
      <c r="MR48" s="336">
        <v>0</v>
      </c>
      <c r="MS48" s="336">
        <v>0</v>
      </c>
      <c r="MT48" s="336">
        <v>25199833</v>
      </c>
      <c r="MU48" s="336">
        <v>41578695</v>
      </c>
      <c r="MV48" s="336">
        <v>0</v>
      </c>
      <c r="MW48" s="336">
        <v>1733458</v>
      </c>
      <c r="MX48" s="336">
        <v>0</v>
      </c>
      <c r="MY48" s="336">
        <v>0</v>
      </c>
      <c r="MZ48" s="336">
        <v>0</v>
      </c>
      <c r="NA48" s="336">
        <v>0</v>
      </c>
      <c r="NB48" s="336">
        <v>0</v>
      </c>
      <c r="NC48" s="336">
        <v>22700547</v>
      </c>
      <c r="ND48" s="336">
        <v>41264727</v>
      </c>
      <c r="NE48" s="336">
        <v>0</v>
      </c>
      <c r="NF48" s="336">
        <v>2988615</v>
      </c>
      <c r="NG48" s="336">
        <v>0</v>
      </c>
      <c r="NH48" s="336">
        <v>0</v>
      </c>
      <c r="NI48" s="336">
        <v>4180530</v>
      </c>
      <c r="NJ48" s="336">
        <v>0</v>
      </c>
      <c r="NK48" s="336">
        <v>0</v>
      </c>
      <c r="NL48" s="336">
        <v>-3868</v>
      </c>
      <c r="NM48" s="336">
        <v>28592872</v>
      </c>
      <c r="NN48" s="336">
        <v>1114844</v>
      </c>
      <c r="NO48" s="336">
        <v>34874614</v>
      </c>
      <c r="NP48" s="336">
        <v>0</v>
      </c>
      <c r="NQ48" s="336">
        <v>0</v>
      </c>
      <c r="NR48" s="336">
        <v>0</v>
      </c>
      <c r="NS48" s="336">
        <v>0</v>
      </c>
      <c r="NT48" s="336">
        <v>0</v>
      </c>
      <c r="NU48" s="336">
        <v>0</v>
      </c>
      <c r="NV48" s="336">
        <v>0</v>
      </c>
      <c r="NW48" s="336">
        <v>178290931</v>
      </c>
      <c r="NX48" s="336">
        <v>1947358</v>
      </c>
      <c r="NY48" s="336">
        <v>0</v>
      </c>
      <c r="NZ48" s="336">
        <v>0</v>
      </c>
      <c r="OA48" s="336">
        <v>0</v>
      </c>
      <c r="OB48" s="336">
        <v>0</v>
      </c>
      <c r="OC48" s="336">
        <v>0</v>
      </c>
      <c r="OD48" s="336">
        <v>16887654</v>
      </c>
      <c r="OE48" s="336">
        <v>17256746</v>
      </c>
      <c r="OF48" s="336">
        <v>2338282</v>
      </c>
      <c r="OG48" s="336">
        <v>12905691</v>
      </c>
      <c r="OH48" s="336">
        <v>0</v>
      </c>
      <c r="OI48" s="336">
        <v>0</v>
      </c>
      <c r="OJ48" s="336">
        <v>0</v>
      </c>
      <c r="OK48" s="336">
        <v>0</v>
      </c>
      <c r="OL48" s="336">
        <v>0</v>
      </c>
      <c r="OM48" s="336">
        <v>0</v>
      </c>
      <c r="ON48" s="336">
        <v>0</v>
      </c>
      <c r="OO48" s="336">
        <v>0</v>
      </c>
      <c r="OP48" s="336">
        <v>54670</v>
      </c>
      <c r="OQ48" s="336">
        <v>0</v>
      </c>
      <c r="OR48" s="336">
        <v>0</v>
      </c>
      <c r="OS48" s="336">
        <v>0</v>
      </c>
      <c r="OT48" s="336">
        <v>0</v>
      </c>
      <c r="OU48" s="336">
        <v>3085004</v>
      </c>
      <c r="OV48" s="336">
        <v>0</v>
      </c>
      <c r="OW48" s="336">
        <v>0</v>
      </c>
      <c r="OX48" s="336">
        <v>0</v>
      </c>
      <c r="OY48" s="336">
        <v>0</v>
      </c>
      <c r="OZ48" s="336">
        <v>0</v>
      </c>
      <c r="PA48" s="336">
        <v>0</v>
      </c>
      <c r="PB48" s="336">
        <v>-230729919</v>
      </c>
      <c r="PC48" s="336">
        <v>0</v>
      </c>
      <c r="PD48" s="336">
        <v>0</v>
      </c>
      <c r="PE48" s="336">
        <v>57547903</v>
      </c>
      <c r="PF48" s="336">
        <v>64034159</v>
      </c>
      <c r="PG48" s="336">
        <v>4974514</v>
      </c>
      <c r="PH48" s="336">
        <v>-87509239</v>
      </c>
      <c r="PI48" s="336">
        <v>-1595360</v>
      </c>
      <c r="PJ48" s="336">
        <v>3041258</v>
      </c>
      <c r="PK48" s="336">
        <v>29822826</v>
      </c>
      <c r="PL48" s="336">
        <v>-3927467</v>
      </c>
      <c r="PM48" s="336">
        <v>-2280043</v>
      </c>
      <c r="PN48" s="336">
        <v>0</v>
      </c>
      <c r="PO48" s="336">
        <v>0</v>
      </c>
      <c r="PP48" s="336">
        <v>0</v>
      </c>
      <c r="PQ48" s="336">
        <v>0</v>
      </c>
      <c r="PR48" s="336">
        <v>0</v>
      </c>
      <c r="PS48" s="336">
        <v>0</v>
      </c>
      <c r="PT48" s="336">
        <v>171749450</v>
      </c>
      <c r="PU48" s="336">
        <v>0</v>
      </c>
      <c r="PV48" s="336">
        <v>0</v>
      </c>
      <c r="PW48" s="336">
        <v>-16513421</v>
      </c>
      <c r="PX48" s="336">
        <v>-11667966</v>
      </c>
      <c r="PY48" s="336">
        <v>-11379057</v>
      </c>
      <c r="PZ48" s="336">
        <v>-5774586</v>
      </c>
      <c r="QA48" s="336">
        <v>0</v>
      </c>
      <c r="QB48" s="336">
        <v>0</v>
      </c>
      <c r="QC48" s="336">
        <v>-4009079</v>
      </c>
      <c r="QD48" s="336">
        <v>-4882743</v>
      </c>
      <c r="QE48" s="336">
        <v>0</v>
      </c>
      <c r="QF48" s="336">
        <v>0</v>
      </c>
      <c r="QG48" s="336">
        <v>75920190</v>
      </c>
      <c r="QH48" s="336">
        <v>120799</v>
      </c>
      <c r="QI48" s="336">
        <v>643074</v>
      </c>
      <c r="QJ48" s="336">
        <v>0</v>
      </c>
      <c r="QK48" s="336">
        <v>27180321</v>
      </c>
      <c r="QL48" s="336">
        <v>0</v>
      </c>
      <c r="QM48" s="336">
        <v>0</v>
      </c>
      <c r="QN48" s="336">
        <v>0</v>
      </c>
      <c r="QO48" s="336">
        <v>0</v>
      </c>
      <c r="QP48" s="336">
        <v>0</v>
      </c>
      <c r="QQ48" s="336">
        <v>0</v>
      </c>
      <c r="QR48" s="336">
        <v>0</v>
      </c>
      <c r="QS48" s="336">
        <v>0</v>
      </c>
      <c r="QT48" s="336">
        <v>1075753</v>
      </c>
      <c r="QU48" s="336">
        <v>0</v>
      </c>
      <c r="QV48" s="336">
        <v>0</v>
      </c>
      <c r="QW48" s="336">
        <v>0</v>
      </c>
      <c r="QX48" s="336">
        <v>0</v>
      </c>
      <c r="QY48" s="336">
        <v>0</v>
      </c>
      <c r="QZ48" s="336">
        <v>0</v>
      </c>
      <c r="RA48" s="336">
        <v>0</v>
      </c>
      <c r="RB48" s="336">
        <v>0</v>
      </c>
      <c r="RC48" s="336">
        <v>0</v>
      </c>
      <c r="RD48" s="336">
        <v>-113947045</v>
      </c>
      <c r="RE48" s="336">
        <v>0</v>
      </c>
      <c r="RF48" s="336">
        <v>0</v>
      </c>
      <c r="RG48" s="336">
        <v>0</v>
      </c>
      <c r="RH48" s="336">
        <v>0</v>
      </c>
      <c r="RI48" s="336">
        <v>0</v>
      </c>
      <c r="RJ48" s="336">
        <v>0</v>
      </c>
      <c r="RK48" s="336">
        <v>0</v>
      </c>
      <c r="RL48" s="336">
        <v>0</v>
      </c>
      <c r="RM48" s="336">
        <v>0</v>
      </c>
      <c r="RN48" s="336">
        <v>0</v>
      </c>
      <c r="RO48" s="336">
        <v>-111089059</v>
      </c>
      <c r="RP48" s="336">
        <v>0</v>
      </c>
      <c r="RQ48" s="336">
        <v>0</v>
      </c>
      <c r="RR48" s="336">
        <v>0</v>
      </c>
      <c r="RS48" s="336">
        <v>0</v>
      </c>
      <c r="RT48" s="336">
        <v>0</v>
      </c>
      <c r="RU48" s="336">
        <v>0</v>
      </c>
      <c r="RV48" s="336">
        <v>0</v>
      </c>
      <c r="RW48" s="336">
        <v>0</v>
      </c>
      <c r="RX48" s="336">
        <v>1806</v>
      </c>
      <c r="RY48" s="336">
        <v>0</v>
      </c>
      <c r="RZ48" s="336">
        <v>0</v>
      </c>
      <c r="SA48" s="336">
        <v>0</v>
      </c>
      <c r="SB48" s="336">
        <v>0</v>
      </c>
      <c r="SC48" s="336">
        <v>0</v>
      </c>
      <c r="SD48" s="336">
        <v>0</v>
      </c>
      <c r="SE48" s="336">
        <v>0</v>
      </c>
      <c r="SF48" s="336">
        <v>0</v>
      </c>
      <c r="SG48" s="336">
        <v>0</v>
      </c>
      <c r="SH48" s="336">
        <v>0</v>
      </c>
      <c r="SI48" s="336">
        <v>0</v>
      </c>
      <c r="SJ48" s="336">
        <v>0</v>
      </c>
      <c r="SK48" s="336">
        <v>0</v>
      </c>
      <c r="SL48" s="336">
        <v>0</v>
      </c>
      <c r="SM48" s="336">
        <v>0</v>
      </c>
      <c r="SN48" s="336">
        <v>0</v>
      </c>
      <c r="SO48" s="336">
        <v>0</v>
      </c>
      <c r="SP48" s="336">
        <v>1500725</v>
      </c>
      <c r="SQ48" s="336">
        <v>16887654</v>
      </c>
      <c r="SR48" s="336">
        <v>17256746</v>
      </c>
      <c r="SS48" s="336">
        <v>2338282</v>
      </c>
      <c r="ST48" s="336">
        <v>12905691</v>
      </c>
      <c r="SU48" s="336">
        <v>0</v>
      </c>
      <c r="SV48" s="336">
        <v>0</v>
      </c>
      <c r="SW48" s="336">
        <v>230729919</v>
      </c>
      <c r="SX48" s="336">
        <v>0</v>
      </c>
      <c r="SY48" s="336">
        <v>0</v>
      </c>
      <c r="SZ48" s="336" t="s">
        <v>1420</v>
      </c>
      <c r="TA48" s="336" t="s">
        <v>1420</v>
      </c>
      <c r="TB48" s="336" t="s">
        <v>1420</v>
      </c>
      <c r="TC48" s="336">
        <v>3388472</v>
      </c>
      <c r="TD48" s="336">
        <v>30293785</v>
      </c>
      <c r="TE48" s="336">
        <v>562141</v>
      </c>
      <c r="TF48" s="336">
        <v>0</v>
      </c>
      <c r="TG48" s="336">
        <v>6614070</v>
      </c>
      <c r="TH48" s="336">
        <v>2863269</v>
      </c>
      <c r="TI48" s="336">
        <v>1799114</v>
      </c>
      <c r="TJ48" s="336">
        <v>1529240</v>
      </c>
      <c r="TK48" s="336">
        <v>0</v>
      </c>
      <c r="TL48" s="336">
        <v>2338282</v>
      </c>
      <c r="TM48" s="336">
        <v>0</v>
      </c>
      <c r="TN48" s="336">
        <v>109903</v>
      </c>
      <c r="TO48" s="336">
        <v>543386</v>
      </c>
      <c r="TP48" s="336">
        <v>492396</v>
      </c>
      <c r="TQ48" s="336">
        <v>0</v>
      </c>
      <c r="TR48" s="336">
        <v>0</v>
      </c>
      <c r="TS48" s="336">
        <v>0</v>
      </c>
      <c r="TT48" s="336">
        <v>0</v>
      </c>
      <c r="TU48" s="336">
        <v>0</v>
      </c>
      <c r="TV48" s="336">
        <v>0</v>
      </c>
      <c r="TW48" s="336">
        <v>0</v>
      </c>
      <c r="TX48" s="336">
        <v>0</v>
      </c>
      <c r="TY48" s="336">
        <v>0</v>
      </c>
      <c r="TZ48" s="336">
        <v>0</v>
      </c>
      <c r="UA48" s="336">
        <v>0</v>
      </c>
      <c r="UB48" s="336">
        <v>0</v>
      </c>
      <c r="UC48" s="336">
        <v>0</v>
      </c>
      <c r="UD48" s="336">
        <v>0</v>
      </c>
      <c r="UE48" s="336">
        <v>0</v>
      </c>
      <c r="UF48" s="336">
        <v>0</v>
      </c>
      <c r="UG48" s="336">
        <v>0</v>
      </c>
      <c r="UH48" s="336">
        <v>257341569</v>
      </c>
      <c r="UI48" s="336">
        <v>205743604</v>
      </c>
      <c r="UJ48" s="336">
        <v>22490767</v>
      </c>
      <c r="UK48" s="336">
        <v>0</v>
      </c>
      <c r="UL48" s="336">
        <v>130718624</v>
      </c>
      <c r="UM48" s="336">
        <v>72384823</v>
      </c>
      <c r="UN48" s="336">
        <v>68511986</v>
      </c>
      <c r="UO48" s="336">
        <v>71134419</v>
      </c>
      <c r="UP48" s="336">
        <v>64578462</v>
      </c>
      <c r="UQ48" s="336">
        <v>180238289</v>
      </c>
      <c r="UR48"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49388373</v>
      </c>
      <c r="US48" s="338">
        <f>SUM(Input[[#This Row],[Oth Exp E&amp;G]],Input[[#This Row],[Oth Exp Desg]],Input[[#This Row],[Oth Exp Aux]],Input[[#This Row],[Oth Exp R Exp]],Input[[#This Row],[Oth Exp Loan]],Input[[#This Row],[Oth Exp Annuity]],Input[[#This Row],[Oth Exp Unexp]],Input[[#This Row],[Oth Exp R of Ind]],Input[[#This Row],[Oth Exp Inv in P]])</f>
        <v>3139674</v>
      </c>
      <c r="UT48" s="336">
        <v>95393261</v>
      </c>
      <c r="UU48" s="336">
        <v>103864383</v>
      </c>
      <c r="UV48" s="339" t="s">
        <v>1489</v>
      </c>
      <c r="UW48" s="340">
        <v>8068344640</v>
      </c>
      <c r="UX48" s="339" t="s">
        <v>1490</v>
      </c>
      <c r="UY48" s="339" t="s">
        <v>1491</v>
      </c>
      <c r="UZ48" s="340">
        <v>8068344713</v>
      </c>
      <c r="VA48" s="339" t="s">
        <v>1492</v>
      </c>
      <c r="VB48" s="341" cm="1">
        <f t="array" ref="VB48">IFERROR(_xlfn.IFS(Input[[#This Row],[Type]]="HRI",VLOOKUP(Input[[#This Row],[Institution Name]],FTSEHRI[],9,FALSE),Input[[#This Row],[Type]]="UNIV",VLOOKUP(Input[[#This Row],[Institution Name]],FTSEUNIV[],9,FALSE),OR(Input[[#This Row],[Type]]="TSTC",Input[[#This Row],[Type]]="LSC"),VLOOKUP(Input[[#This Row],[Institution Name]],FTSETSTC[],8,FALSE)),"N/A")</f>
        <v>38275.120000000003</v>
      </c>
      <c r="VC48" s="342" t="str" cm="1">
        <f t="array" ref="VC48">IFERROR(_xlfn.IFS(Input[[#This Row],[Type]]="HRI",VLOOKUP(Input[[#This Row],[Institution Name]],FTSEHRI[],11,FALSE),Input[[#This Row],[Type]]="UNIV",VLOOKUP(Input[[#This Row],[Institution Name]],FTSEUNIV[],11,FALSE),Input[[#This Row],[Type]]="TSTC",VLOOKUP(Input[[#This Row],[Institution Name]],FTSETSTC[],10,FALSE)),"N/A")</f>
        <v>N/A</v>
      </c>
      <c r="VD48"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312159950</v>
      </c>
      <c r="VE48"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51379461</v>
      </c>
      <c r="VF48" s="338">
        <f>SUM(Input[[#This Row],[Fed G&amp;C E&amp;G]],Input[[#This Row],[Fed G&amp;C Desg]],Input[[#This Row],[Fed G&amp;C R Exp]],Input[[#This Row],[Fed G&amp;C Loan]],Input[[#This Row],[Fed G&amp;C Annuity]],Input[[#This Row],[Fed G&amp;C Unexp]],Input[[#This Row],[Fed G&amp;C R of Ind]],Input[[#This Row],[Fed G&amp;C Inv in P]])</f>
        <v>137455020</v>
      </c>
      <c r="VG48"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186566827</v>
      </c>
      <c r="VH48"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268341509</v>
      </c>
      <c r="VI48"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120769134</v>
      </c>
      <c r="VJ48" s="338">
        <f>SUM(Input[[#This Row],[Oth Inc E&amp;G]],Input[[#This Row],[Oth Exp Desg]],Input[[#This Row],[Oth Exp R Exp]],Input[[#This Row],[Oth Exp Loan]],Input[[#This Row],[Oth Exp Annuity]],Input[[#This Row],[Oth Exp Unexp]],Input[[#This Row],[Oth Exp R of Ind]],Input[[#This Row],[Oth Exp Inv in P]])</f>
        <v>3169703</v>
      </c>
      <c r="VK48" s="343">
        <f>SUM(Input[[#This Row],[Instr E&amp;G]],Input[[#This Row],[Instr Desg]],Input[[#This Row],[Instr R Exp]],Input[[#This Row],[Instr Loan]],Input[[#This Row],[Instr Annuity]],Input[[#This Row],[Instr Unexp]],Input[[#This Row],[Instr R of Ind]],Input[[#This Row],[Instr Inv in P]])</f>
        <v>257341569</v>
      </c>
      <c r="VL48" s="343">
        <f>SUM(Input[[#This Row],[Res E&amp;G]],Input[[#This Row],[Res Desg]],Input[[#This Row],[Res R Exp]],Input[[#This Row],[Res Loan]],Input[[#This Row],[Res Annuity]],Input[[#This Row],[Res Unexp]],Input[[#This Row],[Res R of Ind]],Input[[#This Row],[Res Inv in P]])</f>
        <v>205743604</v>
      </c>
      <c r="VM48" s="343">
        <f>SUM(Input[[#This Row],[Acad Sup E&amp;G]],Input[[#This Row],[Acad Sup Desg]],Input[[#This Row],[Acad Sup R Exp]],Input[[#This Row],[Acad Sup Loan]],Input[[#This Row],[Acad Sup Annuity]],Input[[#This Row],[Acad Sup Unexp]],Input[[#This Row],[Acad Sup R of Ind]],Input[[#This Row],[Acad Sup Inv in P]])</f>
        <v>130718624</v>
      </c>
      <c r="VN48" s="343">
        <f>SUM(Input[[#This Row],[Stu Svc E&amp;G]],Input[[#This Row],[Stu Svc Desg]],Input[[#This Row],[Stu Svc R Exp]],Input[[#This Row],[Stu Svc Loan]],Input[[#This Row],[Stu Svc Annuity]],Input[[#This Row],[Stu Svc Unexp]],Input[[#This Row],[Stu Svc R of Ind]],Input[[#This Row],[Stu Svc Inv in P]])</f>
        <v>72384823</v>
      </c>
      <c r="VO48" s="343">
        <f>SUM(Input[[#This Row],[Inst. Spt E&amp;G]],Input[[#This Row],[Inst. Spt Desg]],Input[[#This Row],[Inst. Spt R Exp]],Input[[#This Row],[Inst. Spt Loan]],Input[[#This Row],[Inst. Spt Annuity]],Input[[#This Row],[Inst. Spt Unexp]],Input[[#This Row],[Inst. Spt R of Ind]],Input[[#This Row],[Inst. Spt Inv in P]])</f>
        <v>68511986</v>
      </c>
      <c r="VP48" s="343">
        <f>SUM(Input[[#This Row],[M&amp;O Plnt E&amp;G]],Input[[#This Row],[M&amp;O Plnt Desg]],Input[[#This Row],[M&amp;O Plnt R Exp]],Input[[#This Row],[M&amp;O Plnt Loan]],Input[[#This Row],[M&amp;O Plnt Annuity]],Input[[#This Row],[M&amp;O Plnt Unexp]],Input[[#This Row],[M&amp;O Plnt R of Ind]],Input[[#This Row],[M&amp;O Plnt Inv in P]])</f>
        <v>71134419</v>
      </c>
      <c r="VQ48" s="343">
        <f>SUM(Input[[#This Row],[Schl &amp; Fell E&amp;G]],Input[[#This Row],[Schl &amp; Fell Desg]],Input[[#This Row],[Schl &amp; Fell R Exp]],Input[[#This Row],[Schl &amp; Fell Loan]],Input[[#This Row],[Schl &amp; Fell Annuity]],Input[[#This Row],[Schl &amp; Fell Unexp]],Input[[#This Row],[Schl &amp; Fell R of Ind]],Input[[#This Row],[Schl &amp; Fell Inv in P]])</f>
        <v>63463618</v>
      </c>
      <c r="VR48" s="343">
        <f>SUM(Input[[#This Row],[Cap Out fund E&amp;G]],Input[[#This Row],[Cap Out fund Desg]],Input[[#This Row],[Cap Out fund R Exp]],Input[[#This Row],[Cap Out fund Loan]],Input[[#This Row],[Cap Out fund Annuity]],Input[[#This Row],[Cap Out fund Unexp]],Input[[#This Row],[Cap Out fund R of Ind]],Input[[#This Row],[Cap Out fund Inv in P]])</f>
        <v>47050091</v>
      </c>
      <c r="VS48" s="343">
        <f>SUM(Input[[#This Row],[Oth Exp E&amp;G]],Input[[#This Row],[Oth Exp Desg]],Input[[#This Row],[Oth Exp R Exp]],Input[[#This Row],[Oth Exp Loan]],Input[[#This Row],[Oth Exp Annuity]],Input[[#This Row],[Oth Exp Unexp]],Input[[#This Row],[Oth Exp R of Ind]],Input[[#This Row],[Oth Exp Inv in P]],Input[[#This Row],[Oth Exp Inv in P]])</f>
        <v>6224678</v>
      </c>
    </row>
    <row r="49" spans="1:591" s="344" customFormat="1" ht="27" customHeight="1" x14ac:dyDescent="0.55000000000000004">
      <c r="A49" s="333" t="s">
        <v>47</v>
      </c>
      <c r="B49" s="334" t="s">
        <v>833</v>
      </c>
      <c r="C49" s="334" t="s">
        <v>14</v>
      </c>
      <c r="D49" s="334">
        <v>470</v>
      </c>
      <c r="E49" s="334" t="s">
        <v>1622</v>
      </c>
      <c r="F49" s="335">
        <v>412</v>
      </c>
      <c r="G49" s="336">
        <v>179537873</v>
      </c>
      <c r="H49" s="336">
        <v>0</v>
      </c>
      <c r="I49" s="336">
        <v>0</v>
      </c>
      <c r="J49" s="336">
        <v>15171213</v>
      </c>
      <c r="K49" s="336">
        <v>0</v>
      </c>
      <c r="L49" s="336">
        <v>0</v>
      </c>
      <c r="M49" s="336">
        <v>0</v>
      </c>
      <c r="N49" s="336">
        <v>0</v>
      </c>
      <c r="O49" s="336">
        <v>0</v>
      </c>
      <c r="P49" s="336">
        <v>5127482</v>
      </c>
      <c r="Q49" s="336">
        <v>120507</v>
      </c>
      <c r="R49" s="336">
        <v>0</v>
      </c>
      <c r="S49" s="336">
        <v>7665467</v>
      </c>
      <c r="T49" s="336">
        <v>0</v>
      </c>
      <c r="U49" s="336">
        <v>0</v>
      </c>
      <c r="V49" s="336">
        <v>0</v>
      </c>
      <c r="W49" s="336">
        <v>0</v>
      </c>
      <c r="X49" s="336">
        <v>0</v>
      </c>
      <c r="Y49" s="336">
        <v>22305642</v>
      </c>
      <c r="Z49" s="336">
        <v>0</v>
      </c>
      <c r="AA49" s="336">
        <v>0</v>
      </c>
      <c r="AB49" s="336">
        <v>0</v>
      </c>
      <c r="AC49" s="336">
        <v>0</v>
      </c>
      <c r="AD49" s="336">
        <v>0</v>
      </c>
      <c r="AE49" s="336">
        <v>0</v>
      </c>
      <c r="AF49" s="336">
        <v>0</v>
      </c>
      <c r="AG49" s="336">
        <v>0</v>
      </c>
      <c r="AH49" s="336">
        <v>0</v>
      </c>
      <c r="AI49" s="336">
        <v>0</v>
      </c>
      <c r="AJ49" s="336">
        <v>0</v>
      </c>
      <c r="AK49" s="336">
        <v>0</v>
      </c>
      <c r="AL49" s="336">
        <v>0</v>
      </c>
      <c r="AM49" s="336">
        <v>0</v>
      </c>
      <c r="AN49" s="336">
        <v>0</v>
      </c>
      <c r="AO49" s="336">
        <v>0</v>
      </c>
      <c r="AP49" s="336">
        <v>0</v>
      </c>
      <c r="AQ49" s="336">
        <v>-3525530</v>
      </c>
      <c r="AR49" s="336">
        <v>0</v>
      </c>
      <c r="AS49" s="336">
        <v>0</v>
      </c>
      <c r="AT49" s="336">
        <v>0</v>
      </c>
      <c r="AU49" s="336">
        <v>0</v>
      </c>
      <c r="AV49" s="336">
        <v>0</v>
      </c>
      <c r="AW49" s="336">
        <v>0</v>
      </c>
      <c r="AX49" s="336">
        <v>0</v>
      </c>
      <c r="AY49" s="336">
        <v>0</v>
      </c>
      <c r="AZ49" s="336">
        <v>0</v>
      </c>
      <c r="BA49" s="336">
        <v>0</v>
      </c>
      <c r="BB49" s="336">
        <v>0</v>
      </c>
      <c r="BC49" s="336">
        <v>0</v>
      </c>
      <c r="BD49" s="336">
        <v>0</v>
      </c>
      <c r="BE49" s="336">
        <v>0</v>
      </c>
      <c r="BF49" s="336">
        <v>0</v>
      </c>
      <c r="BG49" s="336">
        <v>0</v>
      </c>
      <c r="BH49" s="336">
        <v>0</v>
      </c>
      <c r="BI49" s="336">
        <v>0</v>
      </c>
      <c r="BJ49" s="336">
        <v>0</v>
      </c>
      <c r="BK49" s="336">
        <v>0</v>
      </c>
      <c r="BL49" s="336">
        <v>0</v>
      </c>
      <c r="BM49" s="336">
        <v>0</v>
      </c>
      <c r="BN49" s="336">
        <v>0</v>
      </c>
      <c r="BO49" s="336">
        <v>0</v>
      </c>
      <c r="BP49" s="336">
        <v>0</v>
      </c>
      <c r="BQ49" s="336">
        <v>0</v>
      </c>
      <c r="BR49" s="336">
        <v>0</v>
      </c>
      <c r="BS49" s="336">
        <v>0</v>
      </c>
      <c r="BT49" s="336">
        <v>0</v>
      </c>
      <c r="BU49" s="336">
        <v>0</v>
      </c>
      <c r="BV49" s="336">
        <v>0</v>
      </c>
      <c r="BW49" s="336">
        <v>0</v>
      </c>
      <c r="BX49" s="336">
        <v>0</v>
      </c>
      <c r="BY49" s="336">
        <v>0</v>
      </c>
      <c r="BZ49" s="336">
        <v>0</v>
      </c>
      <c r="CA49" s="336">
        <v>17176866</v>
      </c>
      <c r="CB49" s="336">
        <v>32174897</v>
      </c>
      <c r="CC49" s="336">
        <v>0</v>
      </c>
      <c r="CD49" s="336">
        <v>0</v>
      </c>
      <c r="CE49" s="336">
        <v>0</v>
      </c>
      <c r="CF49" s="336">
        <v>0</v>
      </c>
      <c r="CG49" s="336">
        <v>0</v>
      </c>
      <c r="CH49" s="336">
        <v>0</v>
      </c>
      <c r="CI49" s="336">
        <v>0</v>
      </c>
      <c r="CJ49" s="336">
        <v>0</v>
      </c>
      <c r="CK49" s="336">
        <v>0</v>
      </c>
      <c r="CL49" s="336">
        <v>0</v>
      </c>
      <c r="CM49" s="336">
        <v>0</v>
      </c>
      <c r="CN49" s="336">
        <v>0</v>
      </c>
      <c r="CO49" s="336">
        <v>0</v>
      </c>
      <c r="CP49" s="336">
        <v>0</v>
      </c>
      <c r="CQ49" s="336">
        <v>0</v>
      </c>
      <c r="CR49" s="336">
        <v>0</v>
      </c>
      <c r="CS49" s="336">
        <v>0</v>
      </c>
      <c r="CT49" s="336">
        <v>0</v>
      </c>
      <c r="CU49" s="336">
        <v>0</v>
      </c>
      <c r="CV49" s="336">
        <v>0</v>
      </c>
      <c r="CW49" s="336">
        <v>0</v>
      </c>
      <c r="CX49" s="336">
        <v>0</v>
      </c>
      <c r="CY49" s="336">
        <v>0</v>
      </c>
      <c r="CZ49" s="336">
        <v>0</v>
      </c>
      <c r="DA49" s="336">
        <v>0</v>
      </c>
      <c r="DB49" s="336">
        <v>-435829</v>
      </c>
      <c r="DC49" s="336">
        <v>-1173999</v>
      </c>
      <c r="DD49" s="336">
        <v>0</v>
      </c>
      <c r="DE49" s="336">
        <v>0</v>
      </c>
      <c r="DF49" s="336">
        <v>0</v>
      </c>
      <c r="DG49" s="336">
        <v>0</v>
      </c>
      <c r="DH49" s="336">
        <v>0</v>
      </c>
      <c r="DI49" s="336">
        <v>0</v>
      </c>
      <c r="DJ49" s="336">
        <v>0</v>
      </c>
      <c r="DK49" s="336">
        <v>0</v>
      </c>
      <c r="DL49" s="336">
        <v>0</v>
      </c>
      <c r="DM49" s="336">
        <v>0</v>
      </c>
      <c r="DN49" s="336">
        <v>0</v>
      </c>
      <c r="DO49" s="336">
        <v>0</v>
      </c>
      <c r="DP49" s="336">
        <v>0</v>
      </c>
      <c r="DQ49" s="336">
        <v>0</v>
      </c>
      <c r="DR49" s="336">
        <v>0</v>
      </c>
      <c r="DS49" s="336">
        <v>0</v>
      </c>
      <c r="DT49" s="336">
        <v>-1822645</v>
      </c>
      <c r="DU49" s="336">
        <v>-6284589</v>
      </c>
      <c r="DV49" s="336">
        <v>0</v>
      </c>
      <c r="DW49" s="336">
        <v>0</v>
      </c>
      <c r="DX49" s="336">
        <v>0</v>
      </c>
      <c r="DY49" s="336">
        <v>0</v>
      </c>
      <c r="DZ49" s="336">
        <v>0</v>
      </c>
      <c r="EA49" s="336">
        <v>0</v>
      </c>
      <c r="EB49" s="336">
        <v>0</v>
      </c>
      <c r="EC49" s="336">
        <v>0</v>
      </c>
      <c r="ED49" s="336">
        <v>0</v>
      </c>
      <c r="EE49" s="336">
        <v>0</v>
      </c>
      <c r="EF49" s="336">
        <v>0</v>
      </c>
      <c r="EG49" s="336">
        <v>0</v>
      </c>
      <c r="EH49" s="336">
        <v>0</v>
      </c>
      <c r="EI49" s="336">
        <v>0</v>
      </c>
      <c r="EJ49" s="336">
        <v>0</v>
      </c>
      <c r="EK49" s="336">
        <v>0</v>
      </c>
      <c r="EL49" s="336">
        <v>0</v>
      </c>
      <c r="EM49" s="336">
        <v>0</v>
      </c>
      <c r="EN49" s="336">
        <v>0</v>
      </c>
      <c r="EO49" s="336">
        <v>0</v>
      </c>
      <c r="EP49" s="336">
        <v>0</v>
      </c>
      <c r="EQ49" s="336">
        <v>0</v>
      </c>
      <c r="ER49" s="336">
        <v>0</v>
      </c>
      <c r="ES49" s="336">
        <v>0</v>
      </c>
      <c r="ET49" s="336">
        <v>0</v>
      </c>
      <c r="EU49" s="336">
        <v>0</v>
      </c>
      <c r="EV49" s="336">
        <v>0</v>
      </c>
      <c r="EW49" s="336">
        <v>0</v>
      </c>
      <c r="EX49" s="336">
        <v>0</v>
      </c>
      <c r="EY49" s="336">
        <v>0</v>
      </c>
      <c r="EZ49" s="336">
        <v>0</v>
      </c>
      <c r="FA49" s="336">
        <v>0</v>
      </c>
      <c r="FB49" s="336">
        <v>0</v>
      </c>
      <c r="FC49" s="336">
        <v>0</v>
      </c>
      <c r="FD49" s="336">
        <v>0</v>
      </c>
      <c r="FE49" s="336">
        <v>0</v>
      </c>
      <c r="FF49" s="336">
        <v>0</v>
      </c>
      <c r="FG49" s="336">
        <v>0</v>
      </c>
      <c r="FH49" s="336">
        <v>0</v>
      </c>
      <c r="FI49" s="336">
        <v>0</v>
      </c>
      <c r="FJ49" s="336">
        <v>0</v>
      </c>
      <c r="FK49" s="336">
        <v>0</v>
      </c>
      <c r="FL49" s="336">
        <v>0</v>
      </c>
      <c r="FM49" s="336">
        <v>0</v>
      </c>
      <c r="FN49" s="336">
        <v>28112095</v>
      </c>
      <c r="FO49" s="336">
        <v>0</v>
      </c>
      <c r="FP49" s="336">
        <v>0</v>
      </c>
      <c r="FQ49" s="336">
        <v>0</v>
      </c>
      <c r="FR49" s="336">
        <v>0</v>
      </c>
      <c r="FS49" s="336">
        <v>0</v>
      </c>
      <c r="FT49" s="336">
        <v>0</v>
      </c>
      <c r="FU49" s="336">
        <v>0</v>
      </c>
      <c r="FV49" s="336">
        <v>0</v>
      </c>
      <c r="FW49" s="336">
        <v>0</v>
      </c>
      <c r="FX49" s="336">
        <v>0</v>
      </c>
      <c r="FY49" s="336">
        <v>0</v>
      </c>
      <c r="FZ49" s="336">
        <v>0</v>
      </c>
      <c r="GA49" s="336">
        <v>0</v>
      </c>
      <c r="GB49" s="336">
        <v>0</v>
      </c>
      <c r="GC49" s="336">
        <v>0</v>
      </c>
      <c r="GD49" s="336">
        <v>0</v>
      </c>
      <c r="GE49" s="336">
        <v>0</v>
      </c>
      <c r="GF49" s="336">
        <v>0</v>
      </c>
      <c r="GG49" s="336">
        <v>0</v>
      </c>
      <c r="GH49" s="336">
        <v>0</v>
      </c>
      <c r="GI49" s="336">
        <v>0</v>
      </c>
      <c r="GJ49" s="336">
        <v>0</v>
      </c>
      <c r="GK49" s="336">
        <v>0</v>
      </c>
      <c r="GL49" s="336">
        <v>0</v>
      </c>
      <c r="GM49" s="336">
        <v>0</v>
      </c>
      <c r="GN49" s="336">
        <v>0</v>
      </c>
      <c r="GO49" s="336">
        <v>-1978900</v>
      </c>
      <c r="GP49" s="336">
        <v>0</v>
      </c>
      <c r="GQ49" s="336">
        <v>0</v>
      </c>
      <c r="GR49" s="336">
        <v>0</v>
      </c>
      <c r="GS49" s="336">
        <v>0</v>
      </c>
      <c r="GT49" s="336">
        <v>0</v>
      </c>
      <c r="GU49" s="336">
        <v>0</v>
      </c>
      <c r="GV49" s="336">
        <v>0</v>
      </c>
      <c r="GW49" s="336">
        <v>0</v>
      </c>
      <c r="GX49" s="336">
        <v>0</v>
      </c>
      <c r="GY49" s="336">
        <v>0</v>
      </c>
      <c r="GZ49" s="336">
        <v>0</v>
      </c>
      <c r="HA49" s="336">
        <v>0</v>
      </c>
      <c r="HB49" s="336">
        <v>0</v>
      </c>
      <c r="HC49" s="336">
        <v>0</v>
      </c>
      <c r="HD49" s="336">
        <v>0</v>
      </c>
      <c r="HE49" s="336">
        <v>0</v>
      </c>
      <c r="HF49" s="336">
        <v>0</v>
      </c>
      <c r="HG49" s="336">
        <v>0</v>
      </c>
      <c r="HH49" s="336">
        <v>0</v>
      </c>
      <c r="HI49" s="336">
        <v>0</v>
      </c>
      <c r="HJ49" s="336">
        <v>0</v>
      </c>
      <c r="HK49" s="336">
        <v>0</v>
      </c>
      <c r="HL49" s="336">
        <v>0</v>
      </c>
      <c r="HM49" s="336">
        <v>0</v>
      </c>
      <c r="HN49" s="336">
        <v>0</v>
      </c>
      <c r="HO49" s="336">
        <v>44819</v>
      </c>
      <c r="HP49" s="336">
        <v>698857</v>
      </c>
      <c r="HQ49" s="336">
        <v>0</v>
      </c>
      <c r="HR49" s="336">
        <v>36329892</v>
      </c>
      <c r="HS49" s="336">
        <v>0</v>
      </c>
      <c r="HT49" s="336">
        <v>0</v>
      </c>
      <c r="HU49" s="336">
        <v>0</v>
      </c>
      <c r="HV49" s="336">
        <v>0</v>
      </c>
      <c r="HW49" s="336">
        <v>0</v>
      </c>
      <c r="HX49" s="336">
        <v>0</v>
      </c>
      <c r="HY49" s="336">
        <v>140176228</v>
      </c>
      <c r="HZ49" s="336">
        <v>0</v>
      </c>
      <c r="IA49" s="336">
        <v>130749931</v>
      </c>
      <c r="IB49" s="336">
        <v>0</v>
      </c>
      <c r="IC49" s="336">
        <v>0</v>
      </c>
      <c r="ID49" s="336">
        <v>0</v>
      </c>
      <c r="IE49" s="336">
        <v>0</v>
      </c>
      <c r="IF49" s="336">
        <v>0</v>
      </c>
      <c r="IG49" s="336">
        <v>0</v>
      </c>
      <c r="IH49" s="336">
        <v>0</v>
      </c>
      <c r="II49" s="336">
        <v>0</v>
      </c>
      <c r="IJ49" s="336">
        <v>0</v>
      </c>
      <c r="IK49" s="336">
        <v>0</v>
      </c>
      <c r="IL49" s="336">
        <v>0</v>
      </c>
      <c r="IM49" s="336">
        <v>0</v>
      </c>
      <c r="IN49" s="336">
        <v>0</v>
      </c>
      <c r="IO49" s="336">
        <v>0</v>
      </c>
      <c r="IP49" s="336">
        <v>965379</v>
      </c>
      <c r="IQ49" s="336">
        <v>18602093</v>
      </c>
      <c r="IR49" s="336">
        <v>75047</v>
      </c>
      <c r="IS49" s="336">
        <v>4609897</v>
      </c>
      <c r="IT49" s="336">
        <v>77417</v>
      </c>
      <c r="IU49" s="336">
        <v>-4812448</v>
      </c>
      <c r="IV49" s="336">
        <v>1343991</v>
      </c>
      <c r="IW49" s="336">
        <v>0</v>
      </c>
      <c r="IX49" s="336">
        <v>0</v>
      </c>
      <c r="IY49" s="336">
        <v>0</v>
      </c>
      <c r="IZ49" s="336">
        <v>35842659</v>
      </c>
      <c r="JA49" s="336">
        <v>0</v>
      </c>
      <c r="JB49" s="336">
        <v>65455193</v>
      </c>
      <c r="JC49" s="336">
        <v>0</v>
      </c>
      <c r="JD49" s="336">
        <v>0</v>
      </c>
      <c r="JE49" s="336">
        <v>0</v>
      </c>
      <c r="JF49" s="336">
        <v>0</v>
      </c>
      <c r="JG49" s="336">
        <v>0</v>
      </c>
      <c r="JH49" s="336">
        <v>0</v>
      </c>
      <c r="JI49" s="336">
        <v>45945369</v>
      </c>
      <c r="JJ49" s="336">
        <v>0</v>
      </c>
      <c r="JK49" s="336">
        <v>36499382</v>
      </c>
      <c r="JL49" s="336">
        <v>0</v>
      </c>
      <c r="JM49" s="336">
        <v>416754</v>
      </c>
      <c r="JN49" s="336">
        <v>0</v>
      </c>
      <c r="JO49" s="336">
        <v>0</v>
      </c>
      <c r="JP49" s="336">
        <v>0</v>
      </c>
      <c r="JQ49" s="336">
        <v>0</v>
      </c>
      <c r="JR49" s="336">
        <v>12208507</v>
      </c>
      <c r="JS49" s="336">
        <v>0</v>
      </c>
      <c r="JT49" s="336">
        <v>513904</v>
      </c>
      <c r="JU49" s="336">
        <v>0</v>
      </c>
      <c r="JV49" s="336">
        <v>0</v>
      </c>
      <c r="JW49" s="336">
        <v>0</v>
      </c>
      <c r="JX49" s="336">
        <v>0</v>
      </c>
      <c r="JY49" s="336">
        <v>0</v>
      </c>
      <c r="JZ49" s="336">
        <v>0</v>
      </c>
      <c r="KA49" s="336">
        <v>0</v>
      </c>
      <c r="KB49" s="336">
        <v>1057617</v>
      </c>
      <c r="KC49" s="336">
        <v>0</v>
      </c>
      <c r="KD49" s="336">
        <v>0</v>
      </c>
      <c r="KE49" s="336">
        <v>0</v>
      </c>
      <c r="KF49" s="336">
        <v>0</v>
      </c>
      <c r="KG49" s="336">
        <v>0</v>
      </c>
      <c r="KH49" s="336">
        <v>0</v>
      </c>
      <c r="KI49" s="336">
        <v>23</v>
      </c>
      <c r="KJ49" s="336">
        <v>51166142</v>
      </c>
      <c r="KK49" s="336">
        <v>0</v>
      </c>
      <c r="KL49" s="336">
        <v>167483</v>
      </c>
      <c r="KM49" s="336">
        <v>-28560</v>
      </c>
      <c r="KN49" s="336">
        <v>0</v>
      </c>
      <c r="KO49" s="336">
        <v>170000</v>
      </c>
      <c r="KP49" s="336">
        <v>0</v>
      </c>
      <c r="KQ49" s="336">
        <v>0</v>
      </c>
      <c r="KR49" s="336">
        <v>80945119</v>
      </c>
      <c r="KS49" s="336">
        <v>97291825</v>
      </c>
      <c r="KT49" s="336">
        <v>0</v>
      </c>
      <c r="KU49" s="336">
        <v>74922146</v>
      </c>
      <c r="KV49" s="336">
        <v>0</v>
      </c>
      <c r="KW49" s="336">
        <v>0</v>
      </c>
      <c r="KX49" s="336">
        <v>0</v>
      </c>
      <c r="KY49" s="336">
        <v>0</v>
      </c>
      <c r="KZ49" s="336">
        <v>0</v>
      </c>
      <c r="LA49" s="336">
        <v>11878421</v>
      </c>
      <c r="LB49" s="336">
        <v>12744284</v>
      </c>
      <c r="LC49" s="336">
        <v>0</v>
      </c>
      <c r="LD49" s="336">
        <v>20051320</v>
      </c>
      <c r="LE49" s="336">
        <v>0</v>
      </c>
      <c r="LF49" s="336">
        <v>0</v>
      </c>
      <c r="LG49" s="336">
        <v>138237</v>
      </c>
      <c r="LH49" s="336">
        <v>0</v>
      </c>
      <c r="LI49" s="336">
        <v>0</v>
      </c>
      <c r="LJ49" s="336">
        <v>25633510</v>
      </c>
      <c r="LK49" s="336">
        <v>4578651</v>
      </c>
      <c r="LL49" s="336">
        <v>0</v>
      </c>
      <c r="LM49" s="336">
        <v>156943371</v>
      </c>
      <c r="LN49" s="336">
        <v>0</v>
      </c>
      <c r="LO49" s="336">
        <v>0</v>
      </c>
      <c r="LP49" s="336">
        <v>0</v>
      </c>
      <c r="LQ49" s="336">
        <v>0</v>
      </c>
      <c r="LR49" s="336">
        <v>132851</v>
      </c>
      <c r="LS49" s="336">
        <v>2176201</v>
      </c>
      <c r="LT49" s="336">
        <v>88647148</v>
      </c>
      <c r="LU49" s="336">
        <v>0</v>
      </c>
      <c r="LV49" s="336">
        <v>17405534</v>
      </c>
      <c r="LW49" s="336">
        <v>0</v>
      </c>
      <c r="LX49" s="336">
        <v>0</v>
      </c>
      <c r="LY49" s="336">
        <v>0</v>
      </c>
      <c r="LZ49" s="336">
        <v>0</v>
      </c>
      <c r="MA49" s="336">
        <v>41650</v>
      </c>
      <c r="MB49" s="336">
        <v>52006200</v>
      </c>
      <c r="MC49" s="336">
        <v>88526694</v>
      </c>
      <c r="MD49" s="336">
        <v>0</v>
      </c>
      <c r="ME49" s="336">
        <v>4495734</v>
      </c>
      <c r="MF49" s="336">
        <v>0</v>
      </c>
      <c r="MG49" s="336">
        <v>0</v>
      </c>
      <c r="MH49" s="336">
        <v>14502</v>
      </c>
      <c r="MI49" s="336">
        <v>0</v>
      </c>
      <c r="MJ49" s="336">
        <v>240961</v>
      </c>
      <c r="MK49" s="336">
        <v>2189028</v>
      </c>
      <c r="ML49" s="336">
        <v>24919329</v>
      </c>
      <c r="MM49" s="336">
        <v>0</v>
      </c>
      <c r="MN49" s="336">
        <v>10815</v>
      </c>
      <c r="MO49" s="336">
        <v>92188</v>
      </c>
      <c r="MP49" s="336">
        <v>0</v>
      </c>
      <c r="MQ49" s="336">
        <v>0</v>
      </c>
      <c r="MR49" s="336">
        <v>0</v>
      </c>
      <c r="MS49" s="336">
        <v>0</v>
      </c>
      <c r="MT49" s="336">
        <v>27081539</v>
      </c>
      <c r="MU49" s="336">
        <v>9303103</v>
      </c>
      <c r="MV49" s="336">
        <v>0</v>
      </c>
      <c r="MW49" s="336">
        <v>3794220</v>
      </c>
      <c r="MX49" s="336">
        <v>0</v>
      </c>
      <c r="MY49" s="336">
        <v>0</v>
      </c>
      <c r="MZ49" s="336">
        <v>0</v>
      </c>
      <c r="NA49" s="336">
        <v>0</v>
      </c>
      <c r="NB49" s="336">
        <v>15823</v>
      </c>
      <c r="NC49" s="336">
        <v>9616194</v>
      </c>
      <c r="ND49" s="336">
        <v>16778826</v>
      </c>
      <c r="NE49" s="336">
        <v>0</v>
      </c>
      <c r="NF49" s="336">
        <v>44828</v>
      </c>
      <c r="NG49" s="336">
        <v>0</v>
      </c>
      <c r="NH49" s="336">
        <v>0</v>
      </c>
      <c r="NI49" s="336">
        <v>10720879</v>
      </c>
      <c r="NJ49" s="336">
        <v>0</v>
      </c>
      <c r="NK49" s="336">
        <v>1557</v>
      </c>
      <c r="NL49" s="336">
        <v>0</v>
      </c>
      <c r="NM49" s="336">
        <v>824877</v>
      </c>
      <c r="NN49" s="336">
        <v>0</v>
      </c>
      <c r="NO49" s="336">
        <v>1920959</v>
      </c>
      <c r="NP49" s="336">
        <v>0</v>
      </c>
      <c r="NQ49" s="336">
        <v>0</v>
      </c>
      <c r="NR49" s="336">
        <v>0</v>
      </c>
      <c r="NS49" s="336">
        <v>0</v>
      </c>
      <c r="NT49" s="336">
        <v>0</v>
      </c>
      <c r="NU49" s="336">
        <v>0</v>
      </c>
      <c r="NV49" s="336">
        <v>0</v>
      </c>
      <c r="NW49" s="336">
        <v>689583</v>
      </c>
      <c r="NX49" s="336">
        <v>0</v>
      </c>
      <c r="NY49" s="336">
        <v>0</v>
      </c>
      <c r="NZ49" s="336">
        <v>0</v>
      </c>
      <c r="OA49" s="336">
        <v>0</v>
      </c>
      <c r="OB49" s="336">
        <v>0</v>
      </c>
      <c r="OC49" s="336">
        <v>0</v>
      </c>
      <c r="OD49" s="336">
        <v>1141516</v>
      </c>
      <c r="OE49" s="336">
        <v>10956904</v>
      </c>
      <c r="OF49" s="336">
        <v>0</v>
      </c>
      <c r="OG49" s="336">
        <v>3315505</v>
      </c>
      <c r="OH49" s="336">
        <v>0</v>
      </c>
      <c r="OI49" s="336">
        <v>0</v>
      </c>
      <c r="OJ49" s="336">
        <v>0</v>
      </c>
      <c r="OK49" s="336">
        <v>0</v>
      </c>
      <c r="OL49" s="336">
        <v>0</v>
      </c>
      <c r="OM49" s="336">
        <v>-105681</v>
      </c>
      <c r="ON49" s="336">
        <v>0</v>
      </c>
      <c r="OO49" s="336">
        <v>0</v>
      </c>
      <c r="OP49" s="336">
        <v>0</v>
      </c>
      <c r="OQ49" s="336">
        <v>0</v>
      </c>
      <c r="OR49" s="336">
        <v>0</v>
      </c>
      <c r="OS49" s="336">
        <v>0</v>
      </c>
      <c r="OT49" s="336">
        <v>0</v>
      </c>
      <c r="OU49" s="336">
        <v>834333</v>
      </c>
      <c r="OV49" s="336">
        <v>0</v>
      </c>
      <c r="OW49" s="336">
        <v>0</v>
      </c>
      <c r="OX49" s="336">
        <v>0</v>
      </c>
      <c r="OY49" s="336">
        <v>0</v>
      </c>
      <c r="OZ49" s="336">
        <v>0</v>
      </c>
      <c r="PA49" s="336">
        <v>0</v>
      </c>
      <c r="PB49" s="336">
        <v>-18549251</v>
      </c>
      <c r="PC49" s="336">
        <v>0</v>
      </c>
      <c r="PD49" s="336">
        <v>0</v>
      </c>
      <c r="PE49" s="336">
        <v>6261721</v>
      </c>
      <c r="PF49" s="336">
        <v>11032889</v>
      </c>
      <c r="PG49" s="336">
        <v>-292316</v>
      </c>
      <c r="PH49" s="336">
        <v>-16603320</v>
      </c>
      <c r="PI49" s="336">
        <v>14990</v>
      </c>
      <c r="PJ49" s="336">
        <v>0</v>
      </c>
      <c r="PK49" s="336">
        <v>14638444</v>
      </c>
      <c r="PL49" s="336">
        <v>0</v>
      </c>
      <c r="PM49" s="336">
        <v>0</v>
      </c>
      <c r="PN49" s="336">
        <v>0</v>
      </c>
      <c r="PO49" s="336">
        <v>0</v>
      </c>
      <c r="PP49" s="336">
        <v>0</v>
      </c>
      <c r="PQ49" s="336">
        <v>0</v>
      </c>
      <c r="PR49" s="336">
        <v>0</v>
      </c>
      <c r="PS49" s="336">
        <v>0</v>
      </c>
      <c r="PT49" s="336">
        <v>7018947</v>
      </c>
      <c r="PU49" s="336">
        <v>0</v>
      </c>
      <c r="PV49" s="336">
        <v>0</v>
      </c>
      <c r="PW49" s="336">
        <v>-15435749</v>
      </c>
      <c r="PX49" s="336">
        <v>0</v>
      </c>
      <c r="PY49" s="336">
        <v>0</v>
      </c>
      <c r="PZ49" s="336">
        <v>0</v>
      </c>
      <c r="QA49" s="336">
        <v>0</v>
      </c>
      <c r="QB49" s="336">
        <v>0</v>
      </c>
      <c r="QC49" s="336">
        <v>0</v>
      </c>
      <c r="QD49" s="336">
        <v>0</v>
      </c>
      <c r="QE49" s="336">
        <v>0</v>
      </c>
      <c r="QF49" s="336">
        <v>0</v>
      </c>
      <c r="QG49" s="336">
        <v>34324204</v>
      </c>
      <c r="QH49" s="336">
        <v>0</v>
      </c>
      <c r="QI49" s="336">
        <v>4488922</v>
      </c>
      <c r="QJ49" s="336">
        <v>0</v>
      </c>
      <c r="QK49" s="336">
        <v>11691282</v>
      </c>
      <c r="QL49" s="336">
        <v>0</v>
      </c>
      <c r="QM49" s="336">
        <v>0</v>
      </c>
      <c r="QN49" s="336">
        <v>0</v>
      </c>
      <c r="QO49" s="336">
        <v>0</v>
      </c>
      <c r="QP49" s="336">
        <v>0</v>
      </c>
      <c r="QQ49" s="336">
        <v>0</v>
      </c>
      <c r="QR49" s="336">
        <v>0</v>
      </c>
      <c r="QS49" s="336">
        <v>0</v>
      </c>
      <c r="QT49" s="336">
        <v>116855</v>
      </c>
      <c r="QU49" s="336">
        <v>0</v>
      </c>
      <c r="QV49" s="336">
        <v>0</v>
      </c>
      <c r="QW49" s="336">
        <v>0</v>
      </c>
      <c r="QX49" s="336">
        <v>0</v>
      </c>
      <c r="QY49" s="336">
        <v>0</v>
      </c>
      <c r="QZ49" s="336">
        <v>0</v>
      </c>
      <c r="RA49" s="336">
        <v>0</v>
      </c>
      <c r="RB49" s="336">
        <v>0</v>
      </c>
      <c r="RC49" s="336">
        <v>0</v>
      </c>
      <c r="RD49" s="336">
        <v>0</v>
      </c>
      <c r="RE49" s="336">
        <v>0</v>
      </c>
      <c r="RF49" s="336">
        <v>0</v>
      </c>
      <c r="RG49" s="336">
        <v>0</v>
      </c>
      <c r="RH49" s="336">
        <v>0</v>
      </c>
      <c r="RI49" s="336">
        <v>0</v>
      </c>
      <c r="RJ49" s="336">
        <v>0</v>
      </c>
      <c r="RK49" s="336">
        <v>0</v>
      </c>
      <c r="RL49" s="336">
        <v>0</v>
      </c>
      <c r="RM49" s="336">
        <v>0</v>
      </c>
      <c r="RN49" s="336">
        <v>0</v>
      </c>
      <c r="RO49" s="336">
        <v>-30026786</v>
      </c>
      <c r="RP49" s="336">
        <v>0</v>
      </c>
      <c r="RQ49" s="336">
        <v>0</v>
      </c>
      <c r="RR49" s="336">
        <v>0</v>
      </c>
      <c r="RS49" s="336">
        <v>0</v>
      </c>
      <c r="RT49" s="336">
        <v>0</v>
      </c>
      <c r="RU49" s="336">
        <v>0</v>
      </c>
      <c r="RV49" s="336">
        <v>0</v>
      </c>
      <c r="RW49" s="336">
        <v>0</v>
      </c>
      <c r="RX49" s="336">
        <v>3087</v>
      </c>
      <c r="RY49" s="336">
        <v>0</v>
      </c>
      <c r="RZ49" s="336">
        <v>0</v>
      </c>
      <c r="SA49" s="336">
        <v>0</v>
      </c>
      <c r="SB49" s="336">
        <v>0</v>
      </c>
      <c r="SC49" s="336">
        <v>0</v>
      </c>
      <c r="SD49" s="336">
        <v>0</v>
      </c>
      <c r="SE49" s="336">
        <v>0</v>
      </c>
      <c r="SF49" s="336">
        <v>0</v>
      </c>
      <c r="SG49" s="336">
        <v>0</v>
      </c>
      <c r="SH49" s="336">
        <v>0</v>
      </c>
      <c r="SI49" s="336">
        <v>0</v>
      </c>
      <c r="SJ49" s="336">
        <v>0</v>
      </c>
      <c r="SK49" s="336">
        <v>0</v>
      </c>
      <c r="SL49" s="336">
        <v>0</v>
      </c>
      <c r="SM49" s="336">
        <v>0</v>
      </c>
      <c r="SN49" s="336">
        <v>0</v>
      </c>
      <c r="SO49" s="336">
        <v>0</v>
      </c>
      <c r="SP49" s="336">
        <v>1021985</v>
      </c>
      <c r="SQ49" s="336">
        <v>1141516</v>
      </c>
      <c r="SR49" s="336">
        <v>10956904</v>
      </c>
      <c r="SS49" s="336">
        <v>0</v>
      </c>
      <c r="ST49" s="336">
        <v>3315505</v>
      </c>
      <c r="SU49" s="336">
        <v>0</v>
      </c>
      <c r="SV49" s="336">
        <v>0</v>
      </c>
      <c r="SW49" s="336">
        <v>18549251</v>
      </c>
      <c r="SX49" s="336">
        <v>0</v>
      </c>
      <c r="SY49" s="336">
        <v>0</v>
      </c>
      <c r="SZ49" s="336" t="s">
        <v>1420</v>
      </c>
      <c r="TA49" s="336" t="s">
        <v>1420</v>
      </c>
      <c r="TB49" s="336" t="s">
        <v>1420</v>
      </c>
      <c r="TC49" s="336">
        <v>673802</v>
      </c>
      <c r="TD49" s="336">
        <v>2396452</v>
      </c>
      <c r="TE49" s="336">
        <v>3036611</v>
      </c>
      <c r="TF49" s="336">
        <v>457961</v>
      </c>
      <c r="TG49" s="336">
        <v>4434729</v>
      </c>
      <c r="TH49" s="336">
        <v>320982</v>
      </c>
      <c r="TI49" s="336">
        <v>3253661</v>
      </c>
      <c r="TJ49" s="336">
        <v>839727</v>
      </c>
      <c r="TK49" s="336">
        <v>0</v>
      </c>
      <c r="TL49" s="336">
        <v>0</v>
      </c>
      <c r="TM49" s="336">
        <v>0</v>
      </c>
      <c r="TN49" s="336">
        <v>0</v>
      </c>
      <c r="TO49" s="336">
        <v>138498</v>
      </c>
      <c r="TP49" s="336">
        <v>411966</v>
      </c>
      <c r="TQ49" s="336">
        <v>0</v>
      </c>
      <c r="TR49" s="336">
        <v>0</v>
      </c>
      <c r="TS49" s="336">
        <v>0</v>
      </c>
      <c r="TT49" s="336">
        <v>0</v>
      </c>
      <c r="TU49" s="336">
        <v>0</v>
      </c>
      <c r="TV49" s="336">
        <v>0</v>
      </c>
      <c r="TW49" s="336">
        <v>0</v>
      </c>
      <c r="TX49" s="336">
        <v>12004</v>
      </c>
      <c r="TY49" s="336">
        <v>14055</v>
      </c>
      <c r="TZ49" s="336">
        <v>0</v>
      </c>
      <c r="UA49" s="336">
        <v>0</v>
      </c>
      <c r="UB49" s="336">
        <v>0</v>
      </c>
      <c r="UC49" s="336">
        <v>0</v>
      </c>
      <c r="UD49" s="336">
        <v>0</v>
      </c>
      <c r="UE49" s="336">
        <v>0</v>
      </c>
      <c r="UF49" s="336">
        <v>130749931</v>
      </c>
      <c r="UG49" s="336">
        <v>0</v>
      </c>
      <c r="UH49" s="336">
        <v>253159090</v>
      </c>
      <c r="UI49" s="336">
        <v>44812262</v>
      </c>
      <c r="UJ49" s="351">
        <v>187155532</v>
      </c>
      <c r="UK49" s="351">
        <v>108228883</v>
      </c>
      <c r="UL49" s="351">
        <v>145043130</v>
      </c>
      <c r="UM49" s="336">
        <v>27211360</v>
      </c>
      <c r="UN49" s="351">
        <v>40178862</v>
      </c>
      <c r="UO49" s="351">
        <v>37160727</v>
      </c>
      <c r="UP49" s="336">
        <v>2745836</v>
      </c>
      <c r="UQ49" s="336">
        <v>689583</v>
      </c>
      <c r="UR49"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15413925</v>
      </c>
      <c r="US49" s="338">
        <f>SUM(Input[[#This Row],[Oth Exp E&amp;G]],Input[[#This Row],[Oth Exp Desg]],Input[[#This Row],[Oth Exp Aux]],Input[[#This Row],[Oth Exp R Exp]],Input[[#This Row],[Oth Exp Loan]],Input[[#This Row],[Oth Exp Annuity]],Input[[#This Row],[Oth Exp Unexp]],Input[[#This Row],[Oth Exp R of Ind]],Input[[#This Row],[Oth Exp Inv in P]])</f>
        <v>728652</v>
      </c>
      <c r="UT49" s="336">
        <v>-902673</v>
      </c>
      <c r="UU49" s="336">
        <v>50504408</v>
      </c>
      <c r="UV49" s="339" t="s">
        <v>1546</v>
      </c>
      <c r="UW49" s="340">
        <v>8067437381</v>
      </c>
      <c r="UX49" s="339" t="s">
        <v>1547</v>
      </c>
      <c r="UY49" s="339" t="s">
        <v>1548</v>
      </c>
      <c r="UZ49" s="340">
        <v>8067437826</v>
      </c>
      <c r="VA49" s="339" t="s">
        <v>1549</v>
      </c>
      <c r="VB49" s="341" cm="1">
        <f t="array" ref="VB49">IFERROR(_xlfn.IFS(Input[[#This Row],[Type]]="HRI",VLOOKUP(Input[[#This Row],[Institution Name]],FTSEHRI[],9,FALSE),Input[[#This Row],[Type]]="UNIV",VLOOKUP(Input[[#This Row],[Institution Name]],FTSEUNIV[],9,FALSE),OR(Input[[#This Row],[Type]]="TSTC",Input[[#This Row],[Type]]="LSC"),VLOOKUP(Input[[#This Row],[Institution Name]],FTSETSTC[],8,FALSE)),"N/A")</f>
        <v>5628.68</v>
      </c>
      <c r="VC49" s="342" t="str" cm="1">
        <f t="array" ref="VC49">IFERROR(_xlfn.IFS(Input[[#This Row],[Type]]="HRI",VLOOKUP(Input[[#This Row],[Institution Name]],FTSEHRI[],11,FALSE),Input[[#This Row],[Type]]="UNIV",VLOOKUP(Input[[#This Row],[Institution Name]],FTSEUNIV[],11,FALSE),Input[[#This Row],[Type]]="TSTC",VLOOKUP(Input[[#This Row],[Institution Name]],FTSETSTC[],10,FALSE)),"N/A")</f>
        <v>N/A</v>
      </c>
      <c r="VD49"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207622542</v>
      </c>
      <c r="VE49"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22305642</v>
      </c>
      <c r="VF49" s="338">
        <f>SUM(Input[[#This Row],[Fed G&amp;C E&amp;G]],Input[[#This Row],[Fed G&amp;C Desg]],Input[[#This Row],[Fed G&amp;C R Exp]],Input[[#This Row],[Fed G&amp;C Loan]],Input[[#This Row],[Fed G&amp;C Annuity]],Input[[#This Row],[Fed G&amp;C Unexp]],Input[[#This Row],[Fed G&amp;C R of Ind]],Input[[#This Row],[Fed G&amp;C Inv in P]])</f>
        <v>37073568</v>
      </c>
      <c r="VG49"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269143185</v>
      </c>
      <c r="VH49"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39634701</v>
      </c>
      <c r="VI49"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26133195</v>
      </c>
      <c r="VJ49" s="338">
        <f>SUM(Input[[#This Row],[Oth Inc E&amp;G]],Input[[#This Row],[Oth Exp Desg]],Input[[#This Row],[Oth Exp R Exp]],Input[[#This Row],[Oth Exp Loan]],Input[[#This Row],[Oth Exp Annuity]],Input[[#This Row],[Oth Exp Unexp]],Input[[#This Row],[Oth Exp R of Ind]],Input[[#This Row],[Oth Exp Inv in P]])</f>
        <v>834356</v>
      </c>
      <c r="VK49" s="343">
        <f>SUM(Input[[#This Row],[Instr E&amp;G]],Input[[#This Row],[Instr Desg]],Input[[#This Row],[Instr R Exp]],Input[[#This Row],[Instr Loan]],Input[[#This Row],[Instr Annuity]],Input[[#This Row],[Instr Unexp]],Input[[#This Row],[Instr R of Ind]],Input[[#This Row],[Instr Inv in P]])</f>
        <v>253159090</v>
      </c>
      <c r="VL49" s="343">
        <f>SUM(Input[[#This Row],[Res E&amp;G]],Input[[#This Row],[Res Desg]],Input[[#This Row],[Res R Exp]],Input[[#This Row],[Res Loan]],Input[[#This Row],[Res Annuity]],Input[[#This Row],[Res Unexp]],Input[[#This Row],[Res R of Ind]],Input[[#This Row],[Res Inv in P]])</f>
        <v>44812262</v>
      </c>
      <c r="VM49" s="343">
        <f>SUM(Input[[#This Row],[Acad Sup E&amp;G]],Input[[#This Row],[Acad Sup Desg]],Input[[#This Row],[Acad Sup R Exp]],Input[[#This Row],[Acad Sup Loan]],Input[[#This Row],[Acad Sup Annuity]],Input[[#This Row],[Acad Sup Unexp]],Input[[#This Row],[Acad Sup R of Ind]],Input[[#This Row],[Acad Sup Inv in P]])</f>
        <v>145284091</v>
      </c>
      <c r="VN49" s="343">
        <f>SUM(Input[[#This Row],[Stu Svc E&amp;G]],Input[[#This Row],[Stu Svc Desg]],Input[[#This Row],[Stu Svc R Exp]],Input[[#This Row],[Stu Svc Loan]],Input[[#This Row],[Stu Svc Annuity]],Input[[#This Row],[Stu Svc Unexp]],Input[[#This Row],[Stu Svc R of Ind]],Input[[#This Row],[Stu Svc Inv in P]])</f>
        <v>27211360</v>
      </c>
      <c r="VO49" s="343">
        <f>SUM(Input[[#This Row],[Inst. Spt E&amp;G]],Input[[#This Row],[Inst. Spt Desg]],Input[[#This Row],[Inst. Spt R Exp]],Input[[#This Row],[Inst. Spt Loan]],Input[[#This Row],[Inst. Spt Annuity]],Input[[#This Row],[Inst. Spt Unexp]],Input[[#This Row],[Inst. Spt R of Ind]],Input[[#This Row],[Inst. Spt Inv in P]])</f>
        <v>40194685</v>
      </c>
      <c r="VP49" s="343">
        <f>SUM(Input[[#This Row],[M&amp;O Plnt E&amp;G]],Input[[#This Row],[M&amp;O Plnt Desg]],Input[[#This Row],[M&amp;O Plnt R Exp]],Input[[#This Row],[M&amp;O Plnt Loan]],Input[[#This Row],[M&amp;O Plnt Annuity]],Input[[#This Row],[M&amp;O Plnt Unexp]],Input[[#This Row],[M&amp;O Plnt R of Ind]],Input[[#This Row],[M&amp;O Plnt Inv in P]])</f>
        <v>37162284</v>
      </c>
      <c r="VQ49" s="343">
        <f>SUM(Input[[#This Row],[Schl &amp; Fell E&amp;G]],Input[[#This Row],[Schl &amp; Fell Desg]],Input[[#This Row],[Schl &amp; Fell R Exp]],Input[[#This Row],[Schl &amp; Fell Loan]],Input[[#This Row],[Schl &amp; Fell Annuity]],Input[[#This Row],[Schl &amp; Fell Unexp]],Input[[#This Row],[Schl &amp; Fell R of Ind]],Input[[#This Row],[Schl &amp; Fell Inv in P]])</f>
        <v>2745836</v>
      </c>
      <c r="VR49" s="343">
        <f>SUM(Input[[#This Row],[Cap Out fund E&amp;G]],Input[[#This Row],[Cap Out fund Desg]],Input[[#This Row],[Cap Out fund R Exp]],Input[[#This Row],[Cap Out fund Loan]],Input[[#This Row],[Cap Out fund Annuity]],Input[[#This Row],[Cap Out fund Unexp]],Input[[#This Row],[Cap Out fund R of Ind]],Input[[#This Row],[Cap Out fund Inv in P]])</f>
        <v>15413925</v>
      </c>
      <c r="VS49" s="343">
        <f>SUM(Input[[#This Row],[Oth Exp E&amp;G]],Input[[#This Row],[Oth Exp Desg]],Input[[#This Row],[Oth Exp R Exp]],Input[[#This Row],[Oth Exp Loan]],Input[[#This Row],[Oth Exp Annuity]],Input[[#This Row],[Oth Exp Unexp]],Input[[#This Row],[Oth Exp R of Ind]],Input[[#This Row],[Oth Exp Inv in P]],Input[[#This Row],[Oth Exp Inv in P]])</f>
        <v>1562985</v>
      </c>
    </row>
    <row r="50" spans="1:591" s="344" customFormat="1" ht="27" customHeight="1" x14ac:dyDescent="0.55000000000000004">
      <c r="A50" s="339" t="s">
        <v>48</v>
      </c>
      <c r="B50" s="334" t="s">
        <v>833</v>
      </c>
      <c r="C50" s="334" t="s">
        <v>14</v>
      </c>
      <c r="D50" s="334">
        <v>480</v>
      </c>
      <c r="E50" s="334" t="s">
        <v>1622</v>
      </c>
      <c r="F50" s="335">
        <v>862</v>
      </c>
      <c r="G50" s="336">
        <v>91309678</v>
      </c>
      <c r="H50" s="336">
        <v>0</v>
      </c>
      <c r="I50" s="336">
        <v>0</v>
      </c>
      <c r="J50" s="336">
        <v>0</v>
      </c>
      <c r="K50" s="336">
        <v>0</v>
      </c>
      <c r="L50" s="336">
        <v>0</v>
      </c>
      <c r="M50" s="336">
        <v>0</v>
      </c>
      <c r="N50" s="336">
        <v>0</v>
      </c>
      <c r="O50" s="336">
        <v>0</v>
      </c>
      <c r="P50" s="336">
        <v>450384</v>
      </c>
      <c r="Q50" s="336">
        <v>190890</v>
      </c>
      <c r="R50" s="336">
        <v>0</v>
      </c>
      <c r="S50" s="336">
        <v>5893484</v>
      </c>
      <c r="T50" s="336">
        <v>0</v>
      </c>
      <c r="U50" s="336">
        <v>0</v>
      </c>
      <c r="V50" s="336">
        <v>0</v>
      </c>
      <c r="W50" s="336">
        <v>0</v>
      </c>
      <c r="X50" s="336">
        <v>0</v>
      </c>
      <c r="Y50" s="336">
        <v>5725243</v>
      </c>
      <c r="Z50" s="336">
        <v>0</v>
      </c>
      <c r="AA50" s="336">
        <v>0</v>
      </c>
      <c r="AB50" s="336">
        <v>0</v>
      </c>
      <c r="AC50" s="336">
        <v>0</v>
      </c>
      <c r="AD50" s="336">
        <v>0</v>
      </c>
      <c r="AE50" s="336">
        <v>0</v>
      </c>
      <c r="AF50" s="336">
        <v>0</v>
      </c>
      <c r="AG50" s="336">
        <v>0</v>
      </c>
      <c r="AH50" s="336">
        <v>0</v>
      </c>
      <c r="AI50" s="336">
        <v>0</v>
      </c>
      <c r="AJ50" s="336">
        <v>0</v>
      </c>
      <c r="AK50" s="336">
        <v>0</v>
      </c>
      <c r="AL50" s="336">
        <v>0</v>
      </c>
      <c r="AM50" s="336">
        <v>0</v>
      </c>
      <c r="AN50" s="336">
        <v>0</v>
      </c>
      <c r="AO50" s="336">
        <v>0</v>
      </c>
      <c r="AP50" s="336">
        <v>0</v>
      </c>
      <c r="AQ50" s="336">
        <v>-447440</v>
      </c>
      <c r="AR50" s="336">
        <v>-62714</v>
      </c>
      <c r="AS50" s="336">
        <v>0</v>
      </c>
      <c r="AT50" s="336">
        <v>0</v>
      </c>
      <c r="AU50" s="336">
        <v>0</v>
      </c>
      <c r="AV50" s="336">
        <v>0</v>
      </c>
      <c r="AW50" s="336">
        <v>0</v>
      </c>
      <c r="AX50" s="336">
        <v>0</v>
      </c>
      <c r="AY50" s="336">
        <v>0</v>
      </c>
      <c r="AZ50" s="336">
        <v>0</v>
      </c>
      <c r="BA50" s="336">
        <v>0</v>
      </c>
      <c r="BB50" s="336">
        <v>0</v>
      </c>
      <c r="BC50" s="336">
        <v>0</v>
      </c>
      <c r="BD50" s="336">
        <v>0</v>
      </c>
      <c r="BE50" s="336">
        <v>0</v>
      </c>
      <c r="BF50" s="336">
        <v>0</v>
      </c>
      <c r="BG50" s="336">
        <v>0</v>
      </c>
      <c r="BH50" s="336">
        <v>0</v>
      </c>
      <c r="BI50" s="336">
        <v>0</v>
      </c>
      <c r="BJ50" s="336">
        <v>0</v>
      </c>
      <c r="BK50" s="336">
        <v>0</v>
      </c>
      <c r="BL50" s="336">
        <v>0</v>
      </c>
      <c r="BM50" s="336">
        <v>0</v>
      </c>
      <c r="BN50" s="336">
        <v>0</v>
      </c>
      <c r="BO50" s="336">
        <v>0</v>
      </c>
      <c r="BP50" s="336">
        <v>0</v>
      </c>
      <c r="BQ50" s="336">
        <v>0</v>
      </c>
      <c r="BR50" s="336">
        <v>0</v>
      </c>
      <c r="BS50" s="336">
        <v>0</v>
      </c>
      <c r="BT50" s="336">
        <v>0</v>
      </c>
      <c r="BU50" s="336">
        <v>0</v>
      </c>
      <c r="BV50" s="336">
        <v>0</v>
      </c>
      <c r="BW50" s="336">
        <v>0</v>
      </c>
      <c r="BX50" s="336">
        <v>0</v>
      </c>
      <c r="BY50" s="336">
        <v>0</v>
      </c>
      <c r="BZ50" s="336">
        <v>0</v>
      </c>
      <c r="CA50" s="336">
        <v>5662659</v>
      </c>
      <c r="CB50" s="336">
        <v>9998307</v>
      </c>
      <c r="CC50" s="336">
        <v>0</v>
      </c>
      <c r="CD50" s="336">
        <v>0</v>
      </c>
      <c r="CE50" s="336">
        <v>0</v>
      </c>
      <c r="CF50" s="336">
        <v>0</v>
      </c>
      <c r="CG50" s="336">
        <v>0</v>
      </c>
      <c r="CH50" s="336">
        <v>0</v>
      </c>
      <c r="CI50" s="336">
        <v>0</v>
      </c>
      <c r="CJ50" s="336">
        <v>0</v>
      </c>
      <c r="CK50" s="336">
        <v>0</v>
      </c>
      <c r="CL50" s="336">
        <v>0</v>
      </c>
      <c r="CM50" s="336">
        <v>0</v>
      </c>
      <c r="CN50" s="336">
        <v>0</v>
      </c>
      <c r="CO50" s="336">
        <v>0</v>
      </c>
      <c r="CP50" s="336">
        <v>0</v>
      </c>
      <c r="CQ50" s="336">
        <v>0</v>
      </c>
      <c r="CR50" s="336">
        <v>0</v>
      </c>
      <c r="CS50" s="336">
        <v>0</v>
      </c>
      <c r="CT50" s="336">
        <v>0</v>
      </c>
      <c r="CU50" s="336">
        <v>0</v>
      </c>
      <c r="CV50" s="336">
        <v>0</v>
      </c>
      <c r="CW50" s="336">
        <v>0</v>
      </c>
      <c r="CX50" s="336">
        <v>0</v>
      </c>
      <c r="CY50" s="336">
        <v>0</v>
      </c>
      <c r="CZ50" s="336">
        <v>0</v>
      </c>
      <c r="DA50" s="336">
        <v>0</v>
      </c>
      <c r="DB50" s="336">
        <v>-86015</v>
      </c>
      <c r="DC50" s="336">
        <v>-180649</v>
      </c>
      <c r="DD50" s="336">
        <v>0</v>
      </c>
      <c r="DE50" s="336">
        <v>0</v>
      </c>
      <c r="DF50" s="336">
        <v>0</v>
      </c>
      <c r="DG50" s="336">
        <v>0</v>
      </c>
      <c r="DH50" s="336">
        <v>0</v>
      </c>
      <c r="DI50" s="336">
        <v>0</v>
      </c>
      <c r="DJ50" s="336">
        <v>0</v>
      </c>
      <c r="DK50" s="336">
        <v>0</v>
      </c>
      <c r="DL50" s="336">
        <v>0</v>
      </c>
      <c r="DM50" s="336">
        <v>0</v>
      </c>
      <c r="DN50" s="336">
        <v>0</v>
      </c>
      <c r="DO50" s="336">
        <v>0</v>
      </c>
      <c r="DP50" s="336">
        <v>0</v>
      </c>
      <c r="DQ50" s="336">
        <v>0</v>
      </c>
      <c r="DR50" s="336">
        <v>0</v>
      </c>
      <c r="DS50" s="336">
        <v>0</v>
      </c>
      <c r="DT50" s="336">
        <v>-753342</v>
      </c>
      <c r="DU50" s="336">
        <v>-2274559</v>
      </c>
      <c r="DV50" s="336">
        <v>0</v>
      </c>
      <c r="DW50" s="336">
        <v>0</v>
      </c>
      <c r="DX50" s="336">
        <v>0</v>
      </c>
      <c r="DY50" s="336">
        <v>0</v>
      </c>
      <c r="DZ50" s="336">
        <v>0</v>
      </c>
      <c r="EA50" s="336">
        <v>0</v>
      </c>
      <c r="EB50" s="336">
        <v>0</v>
      </c>
      <c r="EC50" s="336">
        <v>0</v>
      </c>
      <c r="ED50" s="336">
        <v>0</v>
      </c>
      <c r="EE50" s="336">
        <v>0</v>
      </c>
      <c r="EF50" s="336">
        <v>0</v>
      </c>
      <c r="EG50" s="336">
        <v>0</v>
      </c>
      <c r="EH50" s="336">
        <v>0</v>
      </c>
      <c r="EI50" s="336">
        <v>0</v>
      </c>
      <c r="EJ50" s="336">
        <v>0</v>
      </c>
      <c r="EK50" s="336">
        <v>0</v>
      </c>
      <c r="EL50" s="336">
        <v>0</v>
      </c>
      <c r="EM50" s="336">
        <v>0</v>
      </c>
      <c r="EN50" s="336">
        <v>0</v>
      </c>
      <c r="EO50" s="336">
        <v>0</v>
      </c>
      <c r="EP50" s="336">
        <v>0</v>
      </c>
      <c r="EQ50" s="336">
        <v>0</v>
      </c>
      <c r="ER50" s="336">
        <v>0</v>
      </c>
      <c r="ES50" s="336">
        <v>0</v>
      </c>
      <c r="ET50" s="336">
        <v>0</v>
      </c>
      <c r="EU50" s="336">
        <v>0</v>
      </c>
      <c r="EV50" s="336">
        <v>0</v>
      </c>
      <c r="EW50" s="336">
        <v>0</v>
      </c>
      <c r="EX50" s="336">
        <v>0</v>
      </c>
      <c r="EY50" s="336">
        <v>0</v>
      </c>
      <c r="EZ50" s="336">
        <v>0</v>
      </c>
      <c r="FA50" s="336">
        <v>0</v>
      </c>
      <c r="FB50" s="336">
        <v>0</v>
      </c>
      <c r="FC50" s="336">
        <v>0</v>
      </c>
      <c r="FD50" s="336">
        <v>0</v>
      </c>
      <c r="FE50" s="336">
        <v>0</v>
      </c>
      <c r="FF50" s="336">
        <v>0</v>
      </c>
      <c r="FG50" s="336">
        <v>0</v>
      </c>
      <c r="FH50" s="336">
        <v>0</v>
      </c>
      <c r="FI50" s="336">
        <v>0</v>
      </c>
      <c r="FJ50" s="336">
        <v>0</v>
      </c>
      <c r="FK50" s="336">
        <v>0</v>
      </c>
      <c r="FL50" s="336">
        <v>0</v>
      </c>
      <c r="FM50" s="336">
        <v>0</v>
      </c>
      <c r="FN50" s="336">
        <v>7524275</v>
      </c>
      <c r="FO50" s="336">
        <v>0</v>
      </c>
      <c r="FP50" s="336">
        <v>0</v>
      </c>
      <c r="FQ50" s="336">
        <v>0</v>
      </c>
      <c r="FR50" s="336">
        <v>0</v>
      </c>
      <c r="FS50" s="336">
        <v>0</v>
      </c>
      <c r="FT50" s="336">
        <v>0</v>
      </c>
      <c r="FU50" s="336">
        <v>0</v>
      </c>
      <c r="FV50" s="336">
        <v>0</v>
      </c>
      <c r="FW50" s="336">
        <v>0</v>
      </c>
      <c r="FX50" s="336">
        <v>0</v>
      </c>
      <c r="FY50" s="336">
        <v>0</v>
      </c>
      <c r="FZ50" s="336">
        <v>0</v>
      </c>
      <c r="GA50" s="336">
        <v>0</v>
      </c>
      <c r="GB50" s="336">
        <v>0</v>
      </c>
      <c r="GC50" s="336">
        <v>0</v>
      </c>
      <c r="GD50" s="336">
        <v>0</v>
      </c>
      <c r="GE50" s="336">
        <v>0</v>
      </c>
      <c r="GF50" s="336">
        <v>0</v>
      </c>
      <c r="GG50" s="336">
        <v>0</v>
      </c>
      <c r="GH50" s="336">
        <v>0</v>
      </c>
      <c r="GI50" s="336">
        <v>0</v>
      </c>
      <c r="GJ50" s="336">
        <v>0</v>
      </c>
      <c r="GK50" s="336">
        <v>0</v>
      </c>
      <c r="GL50" s="336">
        <v>0</v>
      </c>
      <c r="GM50" s="336">
        <v>0</v>
      </c>
      <c r="GN50" s="336">
        <v>0</v>
      </c>
      <c r="GO50" s="336">
        <v>-142872</v>
      </c>
      <c r="GP50" s="336">
        <v>0</v>
      </c>
      <c r="GQ50" s="336">
        <v>0</v>
      </c>
      <c r="GR50" s="336">
        <v>0</v>
      </c>
      <c r="GS50" s="336">
        <v>0</v>
      </c>
      <c r="GT50" s="336">
        <v>0</v>
      </c>
      <c r="GU50" s="336">
        <v>0</v>
      </c>
      <c r="GV50" s="336">
        <v>0</v>
      </c>
      <c r="GW50" s="336">
        <v>0</v>
      </c>
      <c r="GX50" s="336">
        <v>0</v>
      </c>
      <c r="GY50" s="336">
        <v>0</v>
      </c>
      <c r="GZ50" s="336">
        <v>0</v>
      </c>
      <c r="HA50" s="336">
        <v>0</v>
      </c>
      <c r="HB50" s="336">
        <v>0</v>
      </c>
      <c r="HC50" s="336">
        <v>0</v>
      </c>
      <c r="HD50" s="336">
        <v>0</v>
      </c>
      <c r="HE50" s="336">
        <v>0</v>
      </c>
      <c r="HF50" s="336">
        <v>0</v>
      </c>
      <c r="HG50" s="336">
        <v>0</v>
      </c>
      <c r="HH50" s="336">
        <v>0</v>
      </c>
      <c r="HI50" s="336">
        <v>0</v>
      </c>
      <c r="HJ50" s="336">
        <v>0</v>
      </c>
      <c r="HK50" s="336">
        <v>0</v>
      </c>
      <c r="HL50" s="336">
        <v>0</v>
      </c>
      <c r="HM50" s="336">
        <v>0</v>
      </c>
      <c r="HN50" s="336">
        <v>0</v>
      </c>
      <c r="HO50" s="336">
        <v>0</v>
      </c>
      <c r="HP50" s="336">
        <v>6992</v>
      </c>
      <c r="HQ50" s="336">
        <v>0</v>
      </c>
      <c r="HR50" s="336">
        <v>8668512</v>
      </c>
      <c r="HS50" s="336">
        <v>0</v>
      </c>
      <c r="HT50" s="336">
        <v>0</v>
      </c>
      <c r="HU50" s="336">
        <v>0</v>
      </c>
      <c r="HV50" s="336">
        <v>0</v>
      </c>
      <c r="HW50" s="336">
        <v>0</v>
      </c>
      <c r="HX50" s="336">
        <v>0</v>
      </c>
      <c r="HY50" s="336">
        <v>65930722</v>
      </c>
      <c r="HZ50" s="336">
        <v>0</v>
      </c>
      <c r="IA50" s="336">
        <v>0</v>
      </c>
      <c r="IB50" s="336">
        <v>0</v>
      </c>
      <c r="IC50" s="336">
        <v>0</v>
      </c>
      <c r="ID50" s="336">
        <v>0</v>
      </c>
      <c r="IE50" s="336">
        <v>0</v>
      </c>
      <c r="IF50" s="336">
        <v>0</v>
      </c>
      <c r="IG50" s="336">
        <v>0</v>
      </c>
      <c r="IH50" s="336">
        <v>0</v>
      </c>
      <c r="II50" s="336">
        <v>0</v>
      </c>
      <c r="IJ50" s="336">
        <v>0</v>
      </c>
      <c r="IK50" s="336">
        <v>0</v>
      </c>
      <c r="IL50" s="336">
        <v>0</v>
      </c>
      <c r="IM50" s="336">
        <v>0</v>
      </c>
      <c r="IN50" s="336">
        <v>0</v>
      </c>
      <c r="IO50" s="336">
        <v>0</v>
      </c>
      <c r="IP50" s="336">
        <v>292665</v>
      </c>
      <c r="IQ50" s="336">
        <v>9793342</v>
      </c>
      <c r="IR50" s="336">
        <v>21683</v>
      </c>
      <c r="IS50" s="336">
        <v>2383395</v>
      </c>
      <c r="IT50" s="336">
        <v>37213</v>
      </c>
      <c r="IU50" s="336">
        <v>-2456555</v>
      </c>
      <c r="IV50" s="336">
        <v>112994</v>
      </c>
      <c r="IW50" s="336">
        <v>0</v>
      </c>
      <c r="IX50" s="336">
        <v>0</v>
      </c>
      <c r="IY50" s="336">
        <v>0</v>
      </c>
      <c r="IZ50" s="336">
        <v>79946815</v>
      </c>
      <c r="JA50" s="336">
        <v>0</v>
      </c>
      <c r="JB50" s="336">
        <v>327684</v>
      </c>
      <c r="JC50" s="336">
        <v>0</v>
      </c>
      <c r="JD50" s="336">
        <v>0</v>
      </c>
      <c r="JE50" s="336">
        <v>0</v>
      </c>
      <c r="JF50" s="336">
        <v>0</v>
      </c>
      <c r="JG50" s="336">
        <v>0</v>
      </c>
      <c r="JH50" s="336">
        <v>0</v>
      </c>
      <c r="JI50" s="336">
        <v>16998801</v>
      </c>
      <c r="JJ50" s="336">
        <v>0</v>
      </c>
      <c r="JK50" s="336">
        <v>19335954</v>
      </c>
      <c r="JL50" s="336">
        <v>0</v>
      </c>
      <c r="JM50" s="336">
        <v>0</v>
      </c>
      <c r="JN50" s="336">
        <v>6120</v>
      </c>
      <c r="JO50" s="336">
        <v>0</v>
      </c>
      <c r="JP50" s="336">
        <v>0</v>
      </c>
      <c r="JQ50" s="336">
        <v>0</v>
      </c>
      <c r="JR50" s="336">
        <v>533694</v>
      </c>
      <c r="JS50" s="336">
        <v>0</v>
      </c>
      <c r="JT50" s="336">
        <v>0</v>
      </c>
      <c r="JU50" s="336">
        <v>0</v>
      </c>
      <c r="JV50" s="336">
        <v>0</v>
      </c>
      <c r="JW50" s="336">
        <v>0</v>
      </c>
      <c r="JX50" s="336">
        <v>0</v>
      </c>
      <c r="JY50" s="336">
        <v>0</v>
      </c>
      <c r="JZ50" s="336">
        <v>0</v>
      </c>
      <c r="KA50" s="336">
        <v>0</v>
      </c>
      <c r="KB50" s="336">
        <v>406251</v>
      </c>
      <c r="KC50" s="336">
        <v>0</v>
      </c>
      <c r="KD50" s="336">
        <v>0</v>
      </c>
      <c r="KE50" s="336">
        <v>0</v>
      </c>
      <c r="KF50" s="336">
        <v>0</v>
      </c>
      <c r="KG50" s="336">
        <v>0</v>
      </c>
      <c r="KH50" s="336">
        <v>0</v>
      </c>
      <c r="KI50" s="336">
        <v>46880</v>
      </c>
      <c r="KJ50" s="336">
        <v>40216725</v>
      </c>
      <c r="KK50" s="336">
        <v>6317</v>
      </c>
      <c r="KL50" s="336">
        <v>0</v>
      </c>
      <c r="KM50" s="336">
        <v>0</v>
      </c>
      <c r="KN50" s="336">
        <v>0</v>
      </c>
      <c r="KO50" s="336">
        <v>0</v>
      </c>
      <c r="KP50" s="336">
        <v>0</v>
      </c>
      <c r="KQ50" s="336">
        <v>-47796</v>
      </c>
      <c r="KR50" s="336">
        <v>34767447</v>
      </c>
      <c r="KS50" s="336">
        <v>95420949</v>
      </c>
      <c r="KT50" s="336">
        <v>0</v>
      </c>
      <c r="KU50" s="336">
        <v>7605363</v>
      </c>
      <c r="KV50" s="336">
        <v>0</v>
      </c>
      <c r="KW50" s="336">
        <v>0</v>
      </c>
      <c r="KX50" s="336">
        <v>0</v>
      </c>
      <c r="KY50" s="336">
        <v>0</v>
      </c>
      <c r="KZ50" s="336">
        <v>0</v>
      </c>
      <c r="LA50" s="336">
        <v>2397301</v>
      </c>
      <c r="LB50" s="336">
        <v>3923729</v>
      </c>
      <c r="LC50" s="336">
        <v>0</v>
      </c>
      <c r="LD50" s="336">
        <v>6275389</v>
      </c>
      <c r="LE50" s="336">
        <v>0</v>
      </c>
      <c r="LF50" s="336">
        <v>0</v>
      </c>
      <c r="LG50" s="336">
        <v>0</v>
      </c>
      <c r="LH50" s="336">
        <v>0</v>
      </c>
      <c r="LI50" s="336">
        <v>0</v>
      </c>
      <c r="LJ50" s="336">
        <v>2601404</v>
      </c>
      <c r="LK50" s="336">
        <v>632836</v>
      </c>
      <c r="LL50" s="336">
        <v>0</v>
      </c>
      <c r="LM50" s="336">
        <v>1223443</v>
      </c>
      <c r="LN50" s="336">
        <v>0</v>
      </c>
      <c r="LO50" s="336">
        <v>0</v>
      </c>
      <c r="LP50" s="336">
        <v>0</v>
      </c>
      <c r="LQ50" s="336">
        <v>0</v>
      </c>
      <c r="LR50" s="336">
        <v>0</v>
      </c>
      <c r="LS50" s="336">
        <v>3548811</v>
      </c>
      <c r="LT50" s="336">
        <v>25416811</v>
      </c>
      <c r="LU50" s="336">
        <v>0</v>
      </c>
      <c r="LV50" s="336">
        <v>833900</v>
      </c>
      <c r="LW50" s="336">
        <v>0</v>
      </c>
      <c r="LX50" s="336">
        <v>0</v>
      </c>
      <c r="LY50" s="336">
        <v>0</v>
      </c>
      <c r="LZ50" s="336">
        <v>0</v>
      </c>
      <c r="MA50" s="336">
        <v>0</v>
      </c>
      <c r="MB50" s="336">
        <v>22296385</v>
      </c>
      <c r="MC50" s="336">
        <v>36192190</v>
      </c>
      <c r="MD50" s="336">
        <v>0</v>
      </c>
      <c r="ME50" s="336">
        <v>2797932</v>
      </c>
      <c r="MF50" s="336">
        <v>0</v>
      </c>
      <c r="MG50" s="336">
        <v>0</v>
      </c>
      <c r="MH50" s="336">
        <v>0</v>
      </c>
      <c r="MI50" s="336">
        <v>0</v>
      </c>
      <c r="MJ50" s="336">
        <v>0</v>
      </c>
      <c r="MK50" s="336">
        <v>1412467</v>
      </c>
      <c r="ML50" s="336">
        <v>4641849</v>
      </c>
      <c r="MM50" s="336">
        <v>0</v>
      </c>
      <c r="MN50" s="336">
        <v>5268</v>
      </c>
      <c r="MO50" s="336">
        <v>-1724</v>
      </c>
      <c r="MP50" s="336">
        <v>0</v>
      </c>
      <c r="MQ50" s="336">
        <v>0</v>
      </c>
      <c r="MR50" s="336">
        <v>0</v>
      </c>
      <c r="MS50" s="336">
        <v>0</v>
      </c>
      <c r="MT50" s="336">
        <v>14519581</v>
      </c>
      <c r="MU50" s="336">
        <v>6750381</v>
      </c>
      <c r="MV50" s="336">
        <v>0</v>
      </c>
      <c r="MW50" s="336">
        <v>388961</v>
      </c>
      <c r="MX50" s="336">
        <v>0</v>
      </c>
      <c r="MY50" s="336">
        <v>0</v>
      </c>
      <c r="MZ50" s="336">
        <v>0</v>
      </c>
      <c r="NA50" s="336">
        <v>0</v>
      </c>
      <c r="NB50" s="336">
        <v>0</v>
      </c>
      <c r="NC50" s="336">
        <v>6862739</v>
      </c>
      <c r="ND50" s="336">
        <v>6003535</v>
      </c>
      <c r="NE50" s="336">
        <v>0</v>
      </c>
      <c r="NF50" s="336">
        <v>0</v>
      </c>
      <c r="NG50" s="336">
        <v>0</v>
      </c>
      <c r="NH50" s="336">
        <v>0</v>
      </c>
      <c r="NI50" s="336">
        <v>2134329</v>
      </c>
      <c r="NJ50" s="336">
        <v>0</v>
      </c>
      <c r="NK50" s="336">
        <v>0</v>
      </c>
      <c r="NL50" s="336">
        <v>0</v>
      </c>
      <c r="NM50" s="336">
        <v>303453</v>
      </c>
      <c r="NN50" s="336">
        <v>0</v>
      </c>
      <c r="NO50" s="336">
        <v>1471781</v>
      </c>
      <c r="NP50" s="336">
        <v>60000</v>
      </c>
      <c r="NQ50" s="336">
        <v>0</v>
      </c>
      <c r="NR50" s="336">
        <v>0</v>
      </c>
      <c r="NS50" s="336">
        <v>0</v>
      </c>
      <c r="NT50" s="336">
        <v>0</v>
      </c>
      <c r="NU50" s="336">
        <v>0</v>
      </c>
      <c r="NV50" s="336">
        <v>0</v>
      </c>
      <c r="NW50" s="336">
        <v>283639</v>
      </c>
      <c r="NX50" s="336">
        <v>0</v>
      </c>
      <c r="NY50" s="336">
        <v>0</v>
      </c>
      <c r="NZ50" s="336">
        <v>0</v>
      </c>
      <c r="OA50" s="336">
        <v>0</v>
      </c>
      <c r="OB50" s="336">
        <v>0</v>
      </c>
      <c r="OC50" s="336">
        <v>0</v>
      </c>
      <c r="OD50" s="336">
        <v>2370114</v>
      </c>
      <c r="OE50" s="336">
        <v>6818088</v>
      </c>
      <c r="OF50" s="336">
        <v>23086</v>
      </c>
      <c r="OG50" s="336">
        <v>1973301</v>
      </c>
      <c r="OH50" s="336">
        <v>0</v>
      </c>
      <c r="OI50" s="336">
        <v>0</v>
      </c>
      <c r="OJ50" s="336">
        <v>0</v>
      </c>
      <c r="OK50" s="336">
        <v>0</v>
      </c>
      <c r="OL50" s="336">
        <v>0</v>
      </c>
      <c r="OM50" s="336">
        <v>0</v>
      </c>
      <c r="ON50" s="336">
        <v>0</v>
      </c>
      <c r="OO50" s="336">
        <v>0</v>
      </c>
      <c r="OP50" s="336">
        <v>0</v>
      </c>
      <c r="OQ50" s="336">
        <v>0</v>
      </c>
      <c r="OR50" s="336">
        <v>0</v>
      </c>
      <c r="OS50" s="336">
        <v>0</v>
      </c>
      <c r="OT50" s="336">
        <v>0</v>
      </c>
      <c r="OU50" s="336">
        <v>324541</v>
      </c>
      <c r="OV50" s="336">
        <v>0</v>
      </c>
      <c r="OW50" s="336">
        <v>0</v>
      </c>
      <c r="OX50" s="336">
        <v>0</v>
      </c>
      <c r="OY50" s="336">
        <v>0</v>
      </c>
      <c r="OZ50" s="336">
        <v>0</v>
      </c>
      <c r="PA50" s="336">
        <v>0</v>
      </c>
      <c r="PB50" s="336">
        <v>-9363242</v>
      </c>
      <c r="PC50" s="336">
        <v>0</v>
      </c>
      <c r="PD50" s="336">
        <v>0</v>
      </c>
      <c r="PE50" s="336">
        <v>-2986969</v>
      </c>
      <c r="PF50" s="336">
        <v>-1672866</v>
      </c>
      <c r="PG50" s="336">
        <v>0</v>
      </c>
      <c r="PH50" s="336">
        <v>-4136146</v>
      </c>
      <c r="PI50" s="336">
        <v>0</v>
      </c>
      <c r="PJ50" s="336">
        <v>582132</v>
      </c>
      <c r="PK50" s="336">
        <v>11268168</v>
      </c>
      <c r="PL50" s="336">
        <v>0</v>
      </c>
      <c r="PM50" s="336">
        <v>0</v>
      </c>
      <c r="PN50" s="336">
        <v>0</v>
      </c>
      <c r="PO50" s="336">
        <v>0</v>
      </c>
      <c r="PP50" s="336">
        <v>0</v>
      </c>
      <c r="PQ50" s="336">
        <v>0</v>
      </c>
      <c r="PR50" s="336">
        <v>0</v>
      </c>
      <c r="PS50" s="336">
        <v>0</v>
      </c>
      <c r="PT50" s="336">
        <v>9183864</v>
      </c>
      <c r="PU50" s="336">
        <v>0</v>
      </c>
      <c r="PV50" s="336">
        <v>0</v>
      </c>
      <c r="PW50" s="336">
        <v>-16093928</v>
      </c>
      <c r="PX50" s="336">
        <v>-5644010</v>
      </c>
      <c r="PY50" s="336">
        <v>0</v>
      </c>
      <c r="PZ50" s="336">
        <v>0</v>
      </c>
      <c r="QA50" s="336">
        <v>0</v>
      </c>
      <c r="QB50" s="336">
        <v>0</v>
      </c>
      <c r="QC50" s="336">
        <v>-610240</v>
      </c>
      <c r="QD50" s="336">
        <v>0</v>
      </c>
      <c r="QE50" s="336">
        <v>0</v>
      </c>
      <c r="QF50" s="336">
        <v>0</v>
      </c>
      <c r="QG50" s="336">
        <v>15960336</v>
      </c>
      <c r="QH50" s="336">
        <v>0</v>
      </c>
      <c r="QI50" s="336">
        <v>2308383</v>
      </c>
      <c r="QJ50" s="336">
        <v>0</v>
      </c>
      <c r="QK50" s="336">
        <v>6108361</v>
      </c>
      <c r="QL50" s="336">
        <v>0</v>
      </c>
      <c r="QM50" s="336">
        <v>0</v>
      </c>
      <c r="QN50" s="336">
        <v>0</v>
      </c>
      <c r="QO50" s="336">
        <v>0</v>
      </c>
      <c r="QP50" s="336">
        <v>0</v>
      </c>
      <c r="QQ50" s="336">
        <v>0</v>
      </c>
      <c r="QR50" s="336">
        <v>0</v>
      </c>
      <c r="QS50" s="336">
        <v>0</v>
      </c>
      <c r="QT50" s="336">
        <v>71467</v>
      </c>
      <c r="QU50" s="336">
        <v>0</v>
      </c>
      <c r="QV50" s="336">
        <v>0</v>
      </c>
      <c r="QW50" s="336">
        <v>0</v>
      </c>
      <c r="QX50" s="336">
        <v>0</v>
      </c>
      <c r="QY50" s="336">
        <v>0</v>
      </c>
      <c r="QZ50" s="336">
        <v>0</v>
      </c>
      <c r="RA50" s="336">
        <v>0</v>
      </c>
      <c r="RB50" s="336">
        <v>0</v>
      </c>
      <c r="RC50" s="336">
        <v>0</v>
      </c>
      <c r="RD50" s="336">
        <v>0</v>
      </c>
      <c r="RE50" s="336">
        <v>0</v>
      </c>
      <c r="RF50" s="336">
        <v>0</v>
      </c>
      <c r="RG50" s="336">
        <v>0</v>
      </c>
      <c r="RH50" s="336">
        <v>0</v>
      </c>
      <c r="RI50" s="336">
        <v>0</v>
      </c>
      <c r="RJ50" s="336">
        <v>0</v>
      </c>
      <c r="RK50" s="336">
        <v>0</v>
      </c>
      <c r="RL50" s="336">
        <v>0</v>
      </c>
      <c r="RM50" s="336">
        <v>0</v>
      </c>
      <c r="RN50" s="336">
        <v>0</v>
      </c>
      <c r="RO50" s="336">
        <v>-20684733</v>
      </c>
      <c r="RP50" s="336">
        <v>0</v>
      </c>
      <c r="RQ50" s="336">
        <v>0</v>
      </c>
      <c r="RR50" s="336">
        <v>0</v>
      </c>
      <c r="RS50" s="336">
        <v>0</v>
      </c>
      <c r="RT50" s="336">
        <v>0</v>
      </c>
      <c r="RU50" s="336">
        <v>0</v>
      </c>
      <c r="RV50" s="336">
        <v>0</v>
      </c>
      <c r="RW50" s="336">
        <v>0</v>
      </c>
      <c r="RX50" s="336">
        <v>0</v>
      </c>
      <c r="RY50" s="336">
        <v>0</v>
      </c>
      <c r="RZ50" s="336">
        <v>0</v>
      </c>
      <c r="SA50" s="336">
        <v>0</v>
      </c>
      <c r="SB50" s="336">
        <v>0</v>
      </c>
      <c r="SC50" s="336">
        <v>0</v>
      </c>
      <c r="SD50" s="336">
        <v>0</v>
      </c>
      <c r="SE50" s="336">
        <v>0</v>
      </c>
      <c r="SF50" s="336">
        <v>0</v>
      </c>
      <c r="SG50" s="336">
        <v>0</v>
      </c>
      <c r="SH50" s="336">
        <v>0</v>
      </c>
      <c r="SI50" s="336">
        <v>0</v>
      </c>
      <c r="SJ50" s="336">
        <v>0</v>
      </c>
      <c r="SK50" s="336">
        <v>0</v>
      </c>
      <c r="SL50" s="336">
        <v>0</v>
      </c>
      <c r="SM50" s="336">
        <v>0</v>
      </c>
      <c r="SN50" s="336">
        <v>0</v>
      </c>
      <c r="SO50" s="336">
        <v>0</v>
      </c>
      <c r="SP50" s="336">
        <v>1292530</v>
      </c>
      <c r="SQ50" s="336">
        <v>2370114</v>
      </c>
      <c r="SR50" s="336">
        <v>6818088</v>
      </c>
      <c r="SS50" s="336">
        <v>23086</v>
      </c>
      <c r="ST50" s="336">
        <v>1973301</v>
      </c>
      <c r="SU50" s="336">
        <v>0</v>
      </c>
      <c r="SV50" s="336">
        <v>0</v>
      </c>
      <c r="SW50" s="336">
        <v>9363242</v>
      </c>
      <c r="SX50" s="336">
        <v>0</v>
      </c>
      <c r="SY50" s="336">
        <v>0</v>
      </c>
      <c r="SZ50" s="336" t="s">
        <v>1420</v>
      </c>
      <c r="TA50" s="336" t="s">
        <v>1420</v>
      </c>
      <c r="TB50" s="336" t="s">
        <v>1420</v>
      </c>
      <c r="TC50" s="336">
        <v>117688</v>
      </c>
      <c r="TD50" s="336">
        <v>1257704</v>
      </c>
      <c r="TE50" s="336">
        <v>239300</v>
      </c>
      <c r="TF50" s="336">
        <v>1317755</v>
      </c>
      <c r="TG50" s="336">
        <v>6125412</v>
      </c>
      <c r="TH50" s="336">
        <v>135624</v>
      </c>
      <c r="TI50" s="336">
        <v>1887430</v>
      </c>
      <c r="TJ50" s="336">
        <v>80590</v>
      </c>
      <c r="TK50" s="336">
        <v>0</v>
      </c>
      <c r="TL50" s="336">
        <v>23086</v>
      </c>
      <c r="TM50" s="336">
        <v>0</v>
      </c>
      <c r="TN50" s="336">
        <v>0</v>
      </c>
      <c r="TO50" s="336">
        <v>0</v>
      </c>
      <c r="TP50" s="336">
        <v>0</v>
      </c>
      <c r="TQ50" s="336">
        <v>0</v>
      </c>
      <c r="TR50" s="336">
        <v>0</v>
      </c>
      <c r="TS50" s="336">
        <v>0</v>
      </c>
      <c r="TT50" s="336">
        <v>0</v>
      </c>
      <c r="TU50" s="336">
        <v>0</v>
      </c>
      <c r="TV50" s="336">
        <v>0</v>
      </c>
      <c r="TW50" s="336">
        <v>0</v>
      </c>
      <c r="TX50" s="336">
        <v>125470</v>
      </c>
      <c r="TY50" s="336">
        <v>0</v>
      </c>
      <c r="TZ50" s="336">
        <v>0</v>
      </c>
      <c r="UA50" s="336">
        <v>0</v>
      </c>
      <c r="UB50" s="336">
        <v>0</v>
      </c>
      <c r="UC50" s="336">
        <v>0</v>
      </c>
      <c r="UD50" s="336">
        <v>0</v>
      </c>
      <c r="UE50" s="336">
        <v>0</v>
      </c>
      <c r="UF50" s="336">
        <v>0</v>
      </c>
      <c r="UG50" s="336">
        <v>0</v>
      </c>
      <c r="UH50" s="336">
        <v>137793759</v>
      </c>
      <c r="UI50" s="336">
        <v>12596419</v>
      </c>
      <c r="UJ50" s="336">
        <v>4457683</v>
      </c>
      <c r="UK50" s="336">
        <v>29799522</v>
      </c>
      <c r="UL50" s="336">
        <v>61286507</v>
      </c>
      <c r="UM50" s="336">
        <v>6057860</v>
      </c>
      <c r="UN50" s="336">
        <v>21658923</v>
      </c>
      <c r="UO50" s="336">
        <v>15000603</v>
      </c>
      <c r="UP50" s="336">
        <v>1835234</v>
      </c>
      <c r="UQ50" s="336">
        <v>283639</v>
      </c>
      <c r="UR50"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11184589</v>
      </c>
      <c r="US50" s="338">
        <f>SUM(Input[[#This Row],[Oth Exp E&amp;G]],Input[[#This Row],[Oth Exp Desg]],Input[[#This Row],[Oth Exp Aux]],Input[[#This Row],[Oth Exp R Exp]],Input[[#This Row],[Oth Exp Loan]],Input[[#This Row],[Oth Exp Annuity]],Input[[#This Row],[Oth Exp Unexp]],Input[[#This Row],[Oth Exp R of Ind]],Input[[#This Row],[Oth Exp Inv in P]])</f>
        <v>324541</v>
      </c>
      <c r="UT50" s="336">
        <v>44133377</v>
      </c>
      <c r="UU50" s="336">
        <v>24377080</v>
      </c>
      <c r="UV50" s="339" t="s">
        <v>1550</v>
      </c>
      <c r="UW50" s="340">
        <v>9152155381</v>
      </c>
      <c r="UX50" s="339" t="s">
        <v>1551</v>
      </c>
      <c r="UY50" s="339" t="s">
        <v>1552</v>
      </c>
      <c r="UZ50" s="340">
        <v>9152154211</v>
      </c>
      <c r="VA50" s="339" t="s">
        <v>1553</v>
      </c>
      <c r="VB50" s="341" cm="1">
        <f t="array" ref="VB50">IFERROR(_xlfn.IFS(Input[[#This Row],[Type]]="HRI",VLOOKUP(Input[[#This Row],[Institution Name]],FTSEHRI[],9,FALSE),Input[[#This Row],[Type]]="UNIV",VLOOKUP(Input[[#This Row],[Institution Name]],FTSEUNIV[],9,FALSE),OR(Input[[#This Row],[Type]]="TSTC",Input[[#This Row],[Type]]="LSC"),VLOOKUP(Input[[#This Row],[Institution Name]],FTSETSTC[],8,FALSE)),"N/A")</f>
        <v>1006.77</v>
      </c>
      <c r="VC50" s="342" t="str" cm="1">
        <f t="array" ref="VC50">IFERROR(_xlfn.IFS(Input[[#This Row],[Type]]="HRI",VLOOKUP(Input[[#This Row],[Institution Name]],FTSEHRI[],11,FALSE),Input[[#This Row],[Type]]="UNIV",VLOOKUP(Input[[#This Row],[Institution Name]],FTSEUNIV[],11,FALSE),Input[[#This Row],[Type]]="TSTC",VLOOKUP(Input[[#This Row],[Institution Name]],FTSETSTC[],10,FALSE)),"N/A")</f>
        <v>N/A</v>
      </c>
      <c r="VD50"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97844436</v>
      </c>
      <c r="VE50"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5725243</v>
      </c>
      <c r="VF50" s="338">
        <f>SUM(Input[[#This Row],[Fed G&amp;C E&amp;G]],Input[[#This Row],[Fed G&amp;C Desg]],Input[[#This Row],[Fed G&amp;C R Exp]],Input[[#This Row],[Fed G&amp;C Loan]],Input[[#This Row],[Fed G&amp;C Annuity]],Input[[#This Row],[Fed G&amp;C Unexp]],Input[[#This Row],[Fed G&amp;C R of Ind]],Input[[#This Row],[Fed G&amp;C Inv in P]])</f>
        <v>8675504</v>
      </c>
      <c r="VG50"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167527931</v>
      </c>
      <c r="VH50"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12366401</v>
      </c>
      <c r="VI50"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7381403</v>
      </c>
      <c r="VJ50" s="338">
        <f>SUM(Input[[#This Row],[Oth Inc E&amp;G]],Input[[#This Row],[Oth Exp Desg]],Input[[#This Row],[Oth Exp R Exp]],Input[[#This Row],[Oth Exp Loan]],Input[[#This Row],[Oth Exp Annuity]],Input[[#This Row],[Oth Exp Unexp]],Input[[#This Row],[Oth Exp R of Ind]],Input[[#This Row],[Oth Exp Inv in P]])</f>
        <v>371421</v>
      </c>
      <c r="VK50" s="343">
        <f>SUM(Input[[#This Row],[Instr E&amp;G]],Input[[#This Row],[Instr Desg]],Input[[#This Row],[Instr R Exp]],Input[[#This Row],[Instr Loan]],Input[[#This Row],[Instr Annuity]],Input[[#This Row],[Instr Unexp]],Input[[#This Row],[Instr R of Ind]],Input[[#This Row],[Instr Inv in P]])</f>
        <v>137793759</v>
      </c>
      <c r="VL50" s="343">
        <f>SUM(Input[[#This Row],[Res E&amp;G]],Input[[#This Row],[Res Desg]],Input[[#This Row],[Res R Exp]],Input[[#This Row],[Res Loan]],Input[[#This Row],[Res Annuity]],Input[[#This Row],[Res Unexp]],Input[[#This Row],[Res R of Ind]],Input[[#This Row],[Res Inv in P]])</f>
        <v>12596419</v>
      </c>
      <c r="VM50" s="343">
        <f>SUM(Input[[#This Row],[Acad Sup E&amp;G]],Input[[#This Row],[Acad Sup Desg]],Input[[#This Row],[Acad Sup R Exp]],Input[[#This Row],[Acad Sup Loan]],Input[[#This Row],[Acad Sup Annuity]],Input[[#This Row],[Acad Sup Unexp]],Input[[#This Row],[Acad Sup R of Ind]],Input[[#This Row],[Acad Sup Inv in P]])</f>
        <v>61286507</v>
      </c>
      <c r="VN50" s="343">
        <f>SUM(Input[[#This Row],[Stu Svc E&amp;G]],Input[[#This Row],[Stu Svc Desg]],Input[[#This Row],[Stu Svc R Exp]],Input[[#This Row],[Stu Svc Loan]],Input[[#This Row],[Stu Svc Annuity]],Input[[#This Row],[Stu Svc Unexp]],Input[[#This Row],[Stu Svc R of Ind]],Input[[#This Row],[Stu Svc Inv in P]])</f>
        <v>6057860</v>
      </c>
      <c r="VO50" s="343">
        <f>SUM(Input[[#This Row],[Inst. Spt E&amp;G]],Input[[#This Row],[Inst. Spt Desg]],Input[[#This Row],[Inst. Spt R Exp]],Input[[#This Row],[Inst. Spt Loan]],Input[[#This Row],[Inst. Spt Annuity]],Input[[#This Row],[Inst. Spt Unexp]],Input[[#This Row],[Inst. Spt R of Ind]],Input[[#This Row],[Inst. Spt Inv in P]])</f>
        <v>21658923</v>
      </c>
      <c r="VP50" s="343">
        <f>SUM(Input[[#This Row],[M&amp;O Plnt E&amp;G]],Input[[#This Row],[M&amp;O Plnt Desg]],Input[[#This Row],[M&amp;O Plnt R Exp]],Input[[#This Row],[M&amp;O Plnt Loan]],Input[[#This Row],[M&amp;O Plnt Annuity]],Input[[#This Row],[M&amp;O Plnt Unexp]],Input[[#This Row],[M&amp;O Plnt R of Ind]],Input[[#This Row],[M&amp;O Plnt Inv in P]])</f>
        <v>15000603</v>
      </c>
      <c r="VQ50" s="343">
        <f>SUM(Input[[#This Row],[Schl &amp; Fell E&amp;G]],Input[[#This Row],[Schl &amp; Fell Desg]],Input[[#This Row],[Schl &amp; Fell R Exp]],Input[[#This Row],[Schl &amp; Fell Loan]],Input[[#This Row],[Schl &amp; Fell Annuity]],Input[[#This Row],[Schl &amp; Fell Unexp]],Input[[#This Row],[Schl &amp; Fell R of Ind]],Input[[#This Row],[Schl &amp; Fell Inv in P]])</f>
        <v>1835234</v>
      </c>
      <c r="VR50" s="343">
        <f>SUM(Input[[#This Row],[Cap Out fund E&amp;G]],Input[[#This Row],[Cap Out fund Desg]],Input[[#This Row],[Cap Out fund R Exp]],Input[[#This Row],[Cap Out fund Loan]],Input[[#This Row],[Cap Out fund Annuity]],Input[[#This Row],[Cap Out fund Unexp]],Input[[#This Row],[Cap Out fund R of Ind]],Input[[#This Row],[Cap Out fund Inv in P]])</f>
        <v>11161503</v>
      </c>
      <c r="VS50" s="343">
        <f>SUM(Input[[#This Row],[Oth Exp E&amp;G]],Input[[#This Row],[Oth Exp Desg]],Input[[#This Row],[Oth Exp R Exp]],Input[[#This Row],[Oth Exp Loan]],Input[[#This Row],[Oth Exp Annuity]],Input[[#This Row],[Oth Exp Unexp]],Input[[#This Row],[Oth Exp R of Ind]],Input[[#This Row],[Oth Exp Inv in P]],Input[[#This Row],[Oth Exp Inv in P]])</f>
        <v>649082</v>
      </c>
    </row>
    <row r="51" spans="1:591" s="344" customFormat="1" ht="27" customHeight="1" x14ac:dyDescent="0.55000000000000004">
      <c r="A51" s="339" t="s">
        <v>717</v>
      </c>
      <c r="B51" s="334" t="s">
        <v>833</v>
      </c>
      <c r="C51" s="334" t="s">
        <v>1624</v>
      </c>
      <c r="D51" s="334" t="s">
        <v>718</v>
      </c>
      <c r="E51" s="334" t="s">
        <v>1622</v>
      </c>
      <c r="F51" s="335">
        <v>439154</v>
      </c>
      <c r="G51" s="336">
        <v>2994864</v>
      </c>
      <c r="H51" s="336">
        <v>0</v>
      </c>
      <c r="I51" s="336">
        <v>0</v>
      </c>
      <c r="J51" s="336">
        <v>0</v>
      </c>
      <c r="K51" s="336">
        <v>0</v>
      </c>
      <c r="L51" s="336">
        <v>0</v>
      </c>
      <c r="M51" s="336">
        <v>0</v>
      </c>
      <c r="N51" s="336">
        <v>0</v>
      </c>
      <c r="O51" s="336">
        <v>0</v>
      </c>
      <c r="P51" s="336">
        <v>0</v>
      </c>
      <c r="Q51" s="336">
        <v>0</v>
      </c>
      <c r="R51" s="336">
        <v>0</v>
      </c>
      <c r="S51" s="336">
        <v>0</v>
      </c>
      <c r="T51" s="336">
        <v>0</v>
      </c>
      <c r="U51" s="336">
        <v>0</v>
      </c>
      <c r="V51" s="336">
        <v>0</v>
      </c>
      <c r="W51" s="336">
        <v>0</v>
      </c>
      <c r="X51" s="336">
        <v>0</v>
      </c>
      <c r="Y51" s="336">
        <v>0</v>
      </c>
      <c r="Z51" s="336">
        <v>0</v>
      </c>
      <c r="AA51" s="336">
        <v>0</v>
      </c>
      <c r="AB51" s="336">
        <v>0</v>
      </c>
      <c r="AC51" s="336">
        <v>0</v>
      </c>
      <c r="AD51" s="336">
        <v>0</v>
      </c>
      <c r="AE51" s="336">
        <v>0</v>
      </c>
      <c r="AF51" s="336">
        <v>0</v>
      </c>
      <c r="AG51" s="336">
        <v>0</v>
      </c>
      <c r="AH51" s="336">
        <v>0</v>
      </c>
      <c r="AI51" s="336">
        <v>0</v>
      </c>
      <c r="AJ51" s="336">
        <v>0</v>
      </c>
      <c r="AK51" s="336">
        <v>0</v>
      </c>
      <c r="AL51" s="336">
        <v>0</v>
      </c>
      <c r="AM51" s="336">
        <v>0</v>
      </c>
      <c r="AN51" s="336">
        <v>0</v>
      </c>
      <c r="AO51" s="336">
        <v>0</v>
      </c>
      <c r="AP51" s="336">
        <v>0</v>
      </c>
      <c r="AQ51" s="336">
        <v>0</v>
      </c>
      <c r="AR51" s="336">
        <v>0</v>
      </c>
      <c r="AS51" s="336">
        <v>0</v>
      </c>
      <c r="AT51" s="336">
        <v>0</v>
      </c>
      <c r="AU51" s="336">
        <v>0</v>
      </c>
      <c r="AV51" s="336">
        <v>0</v>
      </c>
      <c r="AW51" s="336">
        <v>0</v>
      </c>
      <c r="AX51" s="336">
        <v>0</v>
      </c>
      <c r="AY51" s="336">
        <v>0</v>
      </c>
      <c r="AZ51" s="336">
        <v>0</v>
      </c>
      <c r="BA51" s="336">
        <v>0</v>
      </c>
      <c r="BB51" s="336">
        <v>0</v>
      </c>
      <c r="BC51" s="336">
        <v>0</v>
      </c>
      <c r="BD51" s="336">
        <v>0</v>
      </c>
      <c r="BE51" s="336">
        <v>0</v>
      </c>
      <c r="BF51" s="336">
        <v>0</v>
      </c>
      <c r="BG51" s="336">
        <v>0</v>
      </c>
      <c r="BH51" s="336">
        <v>0</v>
      </c>
      <c r="BI51" s="336">
        <v>0</v>
      </c>
      <c r="BJ51" s="336">
        <v>0</v>
      </c>
      <c r="BK51" s="336">
        <v>0</v>
      </c>
      <c r="BL51" s="336">
        <v>0</v>
      </c>
      <c r="BM51" s="336">
        <v>0</v>
      </c>
      <c r="BN51" s="336">
        <v>0</v>
      </c>
      <c r="BO51" s="336">
        <v>0</v>
      </c>
      <c r="BP51" s="336">
        <v>0</v>
      </c>
      <c r="BQ51" s="336">
        <v>0</v>
      </c>
      <c r="BR51" s="336">
        <v>0</v>
      </c>
      <c r="BS51" s="336">
        <v>0</v>
      </c>
      <c r="BT51" s="336">
        <v>0</v>
      </c>
      <c r="BU51" s="336">
        <v>0</v>
      </c>
      <c r="BV51" s="336">
        <v>0</v>
      </c>
      <c r="BW51" s="336">
        <v>0</v>
      </c>
      <c r="BX51" s="336">
        <v>0</v>
      </c>
      <c r="BY51" s="336">
        <v>0</v>
      </c>
      <c r="BZ51" s="336">
        <v>0</v>
      </c>
      <c r="CA51" s="336">
        <v>0</v>
      </c>
      <c r="CB51" s="336">
        <v>0</v>
      </c>
      <c r="CC51" s="336">
        <v>0</v>
      </c>
      <c r="CD51" s="336">
        <v>0</v>
      </c>
      <c r="CE51" s="336">
        <v>0</v>
      </c>
      <c r="CF51" s="336">
        <v>0</v>
      </c>
      <c r="CG51" s="336">
        <v>0</v>
      </c>
      <c r="CH51" s="336">
        <v>0</v>
      </c>
      <c r="CI51" s="336">
        <v>0</v>
      </c>
      <c r="CJ51" s="336">
        <v>0</v>
      </c>
      <c r="CK51" s="336">
        <v>0</v>
      </c>
      <c r="CL51" s="336">
        <v>0</v>
      </c>
      <c r="CM51" s="336">
        <v>0</v>
      </c>
      <c r="CN51" s="336">
        <v>0</v>
      </c>
      <c r="CO51" s="336">
        <v>0</v>
      </c>
      <c r="CP51" s="336">
        <v>0</v>
      </c>
      <c r="CQ51" s="336">
        <v>0</v>
      </c>
      <c r="CR51" s="336">
        <v>0</v>
      </c>
      <c r="CS51" s="336">
        <v>0</v>
      </c>
      <c r="CT51" s="336">
        <v>0</v>
      </c>
      <c r="CU51" s="336">
        <v>0</v>
      </c>
      <c r="CV51" s="336">
        <v>0</v>
      </c>
      <c r="CW51" s="336">
        <v>0</v>
      </c>
      <c r="CX51" s="336">
        <v>0</v>
      </c>
      <c r="CY51" s="336">
        <v>0</v>
      </c>
      <c r="CZ51" s="336">
        <v>0</v>
      </c>
      <c r="DA51" s="336">
        <v>0</v>
      </c>
      <c r="DB51" s="336">
        <v>0</v>
      </c>
      <c r="DC51" s="336">
        <v>0</v>
      </c>
      <c r="DD51" s="336">
        <v>0</v>
      </c>
      <c r="DE51" s="336">
        <v>0</v>
      </c>
      <c r="DF51" s="336">
        <v>0</v>
      </c>
      <c r="DG51" s="336">
        <v>0</v>
      </c>
      <c r="DH51" s="336">
        <v>0</v>
      </c>
      <c r="DI51" s="336">
        <v>0</v>
      </c>
      <c r="DJ51" s="336">
        <v>0</v>
      </c>
      <c r="DK51" s="336">
        <v>0</v>
      </c>
      <c r="DL51" s="336">
        <v>0</v>
      </c>
      <c r="DM51" s="336">
        <v>0</v>
      </c>
      <c r="DN51" s="336">
        <v>0</v>
      </c>
      <c r="DO51" s="336">
        <v>0</v>
      </c>
      <c r="DP51" s="336">
        <v>0</v>
      </c>
      <c r="DQ51" s="336">
        <v>0</v>
      </c>
      <c r="DR51" s="336">
        <v>0</v>
      </c>
      <c r="DS51" s="336">
        <v>0</v>
      </c>
      <c r="DT51" s="336">
        <v>0</v>
      </c>
      <c r="DU51" s="336">
        <v>0</v>
      </c>
      <c r="DV51" s="336">
        <v>0</v>
      </c>
      <c r="DW51" s="336">
        <v>0</v>
      </c>
      <c r="DX51" s="336">
        <v>0</v>
      </c>
      <c r="DY51" s="336">
        <v>0</v>
      </c>
      <c r="DZ51" s="336">
        <v>0</v>
      </c>
      <c r="EA51" s="336">
        <v>0</v>
      </c>
      <c r="EB51" s="336">
        <v>0</v>
      </c>
      <c r="EC51" s="336">
        <v>0</v>
      </c>
      <c r="ED51" s="336">
        <v>0</v>
      </c>
      <c r="EE51" s="336">
        <v>0</v>
      </c>
      <c r="EF51" s="336">
        <v>0</v>
      </c>
      <c r="EG51" s="336">
        <v>0</v>
      </c>
      <c r="EH51" s="336">
        <v>0</v>
      </c>
      <c r="EI51" s="336">
        <v>0</v>
      </c>
      <c r="EJ51" s="336">
        <v>0</v>
      </c>
      <c r="EK51" s="336">
        <v>0</v>
      </c>
      <c r="EL51" s="336">
        <v>0</v>
      </c>
      <c r="EM51" s="336">
        <v>0</v>
      </c>
      <c r="EN51" s="336">
        <v>0</v>
      </c>
      <c r="EO51" s="336">
        <v>0</v>
      </c>
      <c r="EP51" s="336">
        <v>0</v>
      </c>
      <c r="EQ51" s="336">
        <v>0</v>
      </c>
      <c r="ER51" s="336">
        <v>0</v>
      </c>
      <c r="ES51" s="336">
        <v>0</v>
      </c>
      <c r="ET51" s="336">
        <v>0</v>
      </c>
      <c r="EU51" s="336">
        <v>0</v>
      </c>
      <c r="EV51" s="336">
        <v>0</v>
      </c>
      <c r="EW51" s="336">
        <v>0</v>
      </c>
      <c r="EX51" s="336">
        <v>0</v>
      </c>
      <c r="EY51" s="336">
        <v>0</v>
      </c>
      <c r="EZ51" s="336">
        <v>0</v>
      </c>
      <c r="FA51" s="336">
        <v>0</v>
      </c>
      <c r="FB51" s="336">
        <v>0</v>
      </c>
      <c r="FC51" s="336">
        <v>0</v>
      </c>
      <c r="FD51" s="336">
        <v>0</v>
      </c>
      <c r="FE51" s="336">
        <v>0</v>
      </c>
      <c r="FF51" s="336">
        <v>0</v>
      </c>
      <c r="FG51" s="336">
        <v>0</v>
      </c>
      <c r="FH51" s="336">
        <v>0</v>
      </c>
      <c r="FI51" s="336">
        <v>0</v>
      </c>
      <c r="FJ51" s="336">
        <v>0</v>
      </c>
      <c r="FK51" s="336">
        <v>0</v>
      </c>
      <c r="FL51" s="336">
        <v>0</v>
      </c>
      <c r="FM51" s="336">
        <v>0</v>
      </c>
      <c r="FN51" s="336">
        <v>0</v>
      </c>
      <c r="FO51" s="336">
        <v>0</v>
      </c>
      <c r="FP51" s="336">
        <v>0</v>
      </c>
      <c r="FQ51" s="336">
        <v>0</v>
      </c>
      <c r="FR51" s="336">
        <v>0</v>
      </c>
      <c r="FS51" s="336">
        <v>0</v>
      </c>
      <c r="FT51" s="336">
        <v>0</v>
      </c>
      <c r="FU51" s="336">
        <v>0</v>
      </c>
      <c r="FV51" s="336">
        <v>0</v>
      </c>
      <c r="FW51" s="336">
        <v>0</v>
      </c>
      <c r="FX51" s="336">
        <v>0</v>
      </c>
      <c r="FY51" s="336">
        <v>0</v>
      </c>
      <c r="FZ51" s="336">
        <v>0</v>
      </c>
      <c r="GA51" s="336">
        <v>0</v>
      </c>
      <c r="GB51" s="336">
        <v>0</v>
      </c>
      <c r="GC51" s="336">
        <v>0</v>
      </c>
      <c r="GD51" s="336">
        <v>0</v>
      </c>
      <c r="GE51" s="336">
        <v>0</v>
      </c>
      <c r="GF51" s="336">
        <v>0</v>
      </c>
      <c r="GG51" s="336">
        <v>0</v>
      </c>
      <c r="GH51" s="336">
        <v>0</v>
      </c>
      <c r="GI51" s="336">
        <v>0</v>
      </c>
      <c r="GJ51" s="336">
        <v>0</v>
      </c>
      <c r="GK51" s="336">
        <v>0</v>
      </c>
      <c r="GL51" s="336">
        <v>0</v>
      </c>
      <c r="GM51" s="336">
        <v>0</v>
      </c>
      <c r="GN51" s="336">
        <v>0</v>
      </c>
      <c r="GO51" s="336">
        <v>0</v>
      </c>
      <c r="GP51" s="336">
        <v>0</v>
      </c>
      <c r="GQ51" s="336">
        <v>0</v>
      </c>
      <c r="GR51" s="336">
        <v>0</v>
      </c>
      <c r="GS51" s="336">
        <v>0</v>
      </c>
      <c r="GT51" s="336">
        <v>0</v>
      </c>
      <c r="GU51" s="336">
        <v>0</v>
      </c>
      <c r="GV51" s="336">
        <v>0</v>
      </c>
      <c r="GW51" s="336">
        <v>0</v>
      </c>
      <c r="GX51" s="336">
        <v>0</v>
      </c>
      <c r="GY51" s="336">
        <v>0</v>
      </c>
      <c r="GZ51" s="336">
        <v>0</v>
      </c>
      <c r="HA51" s="336">
        <v>0</v>
      </c>
      <c r="HB51" s="336">
        <v>0</v>
      </c>
      <c r="HC51" s="336">
        <v>0</v>
      </c>
      <c r="HD51" s="336">
        <v>0</v>
      </c>
      <c r="HE51" s="336">
        <v>0</v>
      </c>
      <c r="HF51" s="336">
        <v>0</v>
      </c>
      <c r="HG51" s="336">
        <v>0</v>
      </c>
      <c r="HH51" s="336">
        <v>0</v>
      </c>
      <c r="HI51" s="336">
        <v>0</v>
      </c>
      <c r="HJ51" s="336">
        <v>0</v>
      </c>
      <c r="HK51" s="336">
        <v>0</v>
      </c>
      <c r="HL51" s="336">
        <v>0</v>
      </c>
      <c r="HM51" s="336">
        <v>0</v>
      </c>
      <c r="HN51" s="336">
        <v>0</v>
      </c>
      <c r="HO51" s="336">
        <v>0</v>
      </c>
      <c r="HP51" s="336">
        <v>0</v>
      </c>
      <c r="HQ51" s="336">
        <v>0</v>
      </c>
      <c r="HR51" s="336">
        <v>0</v>
      </c>
      <c r="HS51" s="336">
        <v>0</v>
      </c>
      <c r="HT51" s="336">
        <v>0</v>
      </c>
      <c r="HU51" s="336">
        <v>0</v>
      </c>
      <c r="HV51" s="336">
        <v>0</v>
      </c>
      <c r="HW51" s="336">
        <v>0</v>
      </c>
      <c r="HX51" s="336">
        <v>0</v>
      </c>
      <c r="HY51" s="336">
        <v>0</v>
      </c>
      <c r="HZ51" s="336">
        <v>0</v>
      </c>
      <c r="IA51" s="336">
        <v>0</v>
      </c>
      <c r="IB51" s="336">
        <v>0</v>
      </c>
      <c r="IC51" s="336">
        <v>0</v>
      </c>
      <c r="ID51" s="336">
        <v>0</v>
      </c>
      <c r="IE51" s="336">
        <v>0</v>
      </c>
      <c r="IF51" s="336">
        <v>0</v>
      </c>
      <c r="IG51" s="336">
        <v>0</v>
      </c>
      <c r="IH51" s="336">
        <v>0</v>
      </c>
      <c r="II51" s="336">
        <v>0</v>
      </c>
      <c r="IJ51" s="336">
        <v>0</v>
      </c>
      <c r="IK51" s="336">
        <v>0</v>
      </c>
      <c r="IL51" s="336">
        <v>0</v>
      </c>
      <c r="IM51" s="336">
        <v>0</v>
      </c>
      <c r="IN51" s="336">
        <v>0</v>
      </c>
      <c r="IO51" s="336">
        <v>0</v>
      </c>
      <c r="IP51" s="336">
        <v>0</v>
      </c>
      <c r="IQ51" s="336">
        <v>2433158</v>
      </c>
      <c r="IR51" s="336">
        <v>0</v>
      </c>
      <c r="IS51" s="336">
        <v>714146</v>
      </c>
      <c r="IT51" s="336">
        <v>0</v>
      </c>
      <c r="IU51" s="336">
        <v>-143329</v>
      </c>
      <c r="IV51" s="336">
        <v>17554229</v>
      </c>
      <c r="IW51" s="336">
        <v>710909</v>
      </c>
      <c r="IX51" s="336">
        <v>0</v>
      </c>
      <c r="IY51" s="336">
        <v>0</v>
      </c>
      <c r="IZ51" s="336">
        <v>0</v>
      </c>
      <c r="JA51" s="336">
        <v>0</v>
      </c>
      <c r="JB51" s="336">
        <v>0</v>
      </c>
      <c r="JC51" s="336">
        <v>0</v>
      </c>
      <c r="JD51" s="336">
        <v>0</v>
      </c>
      <c r="JE51" s="336">
        <v>0</v>
      </c>
      <c r="JF51" s="336">
        <v>0</v>
      </c>
      <c r="JG51" s="336">
        <v>0</v>
      </c>
      <c r="JH51" s="336">
        <v>0</v>
      </c>
      <c r="JI51" s="336">
        <v>0</v>
      </c>
      <c r="JJ51" s="336">
        <v>0</v>
      </c>
      <c r="JK51" s="336">
        <v>751188</v>
      </c>
      <c r="JL51" s="336">
        <v>0</v>
      </c>
      <c r="JM51" s="336">
        <v>0</v>
      </c>
      <c r="JN51" s="336">
        <v>0</v>
      </c>
      <c r="JO51" s="336">
        <v>0</v>
      </c>
      <c r="JP51" s="336">
        <v>0</v>
      </c>
      <c r="JQ51" s="336">
        <v>0</v>
      </c>
      <c r="JR51" s="336">
        <v>17328</v>
      </c>
      <c r="JS51" s="336">
        <v>0</v>
      </c>
      <c r="JT51" s="336">
        <v>0</v>
      </c>
      <c r="JU51" s="336">
        <v>0</v>
      </c>
      <c r="JV51" s="336">
        <v>0</v>
      </c>
      <c r="JW51" s="336">
        <v>0</v>
      </c>
      <c r="JX51" s="336">
        <v>0</v>
      </c>
      <c r="JY51" s="336">
        <v>0</v>
      </c>
      <c r="JZ51" s="336">
        <v>0</v>
      </c>
      <c r="KA51" s="336">
        <v>0</v>
      </c>
      <c r="KB51" s="336">
        <v>0</v>
      </c>
      <c r="KC51" s="336">
        <v>0</v>
      </c>
      <c r="KD51" s="336">
        <v>0</v>
      </c>
      <c r="KE51" s="336">
        <v>0</v>
      </c>
      <c r="KF51" s="336">
        <v>0</v>
      </c>
      <c r="KG51" s="336">
        <v>0</v>
      </c>
      <c r="KH51" s="336">
        <v>0</v>
      </c>
      <c r="KI51" s="336">
        <v>0</v>
      </c>
      <c r="KJ51" s="336">
        <v>0</v>
      </c>
      <c r="KK51" s="336">
        <v>0</v>
      </c>
      <c r="KL51" s="336">
        <v>0</v>
      </c>
      <c r="KM51" s="336">
        <v>0</v>
      </c>
      <c r="KN51" s="336">
        <v>0</v>
      </c>
      <c r="KO51" s="336">
        <v>0</v>
      </c>
      <c r="KP51" s="336">
        <v>0</v>
      </c>
      <c r="KQ51" s="336">
        <v>0</v>
      </c>
      <c r="KR51" s="336">
        <v>0</v>
      </c>
      <c r="KS51" s="336">
        <v>0</v>
      </c>
      <c r="KT51" s="336">
        <v>0</v>
      </c>
      <c r="KU51" s="336">
        <v>0</v>
      </c>
      <c r="KV51" s="336">
        <v>0</v>
      </c>
      <c r="KW51" s="336">
        <v>0</v>
      </c>
      <c r="KX51" s="336">
        <v>0</v>
      </c>
      <c r="KY51" s="336">
        <v>0</v>
      </c>
      <c r="KZ51" s="336">
        <v>0</v>
      </c>
      <c r="LA51" s="336">
        <v>0</v>
      </c>
      <c r="LB51" s="336">
        <v>0</v>
      </c>
      <c r="LC51" s="336">
        <v>0</v>
      </c>
      <c r="LD51" s="336">
        <v>0</v>
      </c>
      <c r="LE51" s="336">
        <v>0</v>
      </c>
      <c r="LF51" s="336">
        <v>0</v>
      </c>
      <c r="LG51" s="336">
        <v>0</v>
      </c>
      <c r="LH51" s="336">
        <v>0</v>
      </c>
      <c r="LI51" s="336">
        <v>0</v>
      </c>
      <c r="LJ51" s="336">
        <v>0</v>
      </c>
      <c r="LK51" s="336">
        <v>0</v>
      </c>
      <c r="LL51" s="336">
        <v>0</v>
      </c>
      <c r="LM51" s="336">
        <v>0</v>
      </c>
      <c r="LN51" s="336">
        <v>0</v>
      </c>
      <c r="LO51" s="336">
        <v>0</v>
      </c>
      <c r="LP51" s="336">
        <v>0</v>
      </c>
      <c r="LQ51" s="336">
        <v>0</v>
      </c>
      <c r="LR51" s="336">
        <v>0</v>
      </c>
      <c r="LS51" s="336">
        <v>0</v>
      </c>
      <c r="LT51" s="336">
        <v>0</v>
      </c>
      <c r="LU51" s="336">
        <v>0</v>
      </c>
      <c r="LV51" s="336">
        <v>0</v>
      </c>
      <c r="LW51" s="336">
        <v>0</v>
      </c>
      <c r="LX51" s="336">
        <v>0</v>
      </c>
      <c r="LY51" s="336">
        <v>0</v>
      </c>
      <c r="LZ51" s="336">
        <v>0</v>
      </c>
      <c r="MA51" s="336">
        <v>0</v>
      </c>
      <c r="MB51" s="336">
        <v>0</v>
      </c>
      <c r="MC51" s="336">
        <v>3048870</v>
      </c>
      <c r="MD51" s="336">
        <v>0</v>
      </c>
      <c r="ME51" s="336">
        <v>0</v>
      </c>
      <c r="MF51" s="336">
        <v>0</v>
      </c>
      <c r="MG51" s="336">
        <v>0</v>
      </c>
      <c r="MH51" s="336">
        <v>0</v>
      </c>
      <c r="MI51" s="336">
        <v>0</v>
      </c>
      <c r="MJ51" s="336">
        <v>0</v>
      </c>
      <c r="MK51" s="336">
        <v>0</v>
      </c>
      <c r="ML51" s="336">
        <v>0</v>
      </c>
      <c r="MM51" s="336">
        <v>0</v>
      </c>
      <c r="MN51" s="336">
        <v>0</v>
      </c>
      <c r="MO51" s="336">
        <v>0</v>
      </c>
      <c r="MP51" s="336">
        <v>0</v>
      </c>
      <c r="MQ51" s="336">
        <v>0</v>
      </c>
      <c r="MR51" s="336">
        <v>0</v>
      </c>
      <c r="MS51" s="336">
        <v>0</v>
      </c>
      <c r="MT51" s="336">
        <v>7346802</v>
      </c>
      <c r="MU51" s="336">
        <v>49044512</v>
      </c>
      <c r="MV51" s="336">
        <v>0</v>
      </c>
      <c r="MW51" s="336">
        <v>1475543</v>
      </c>
      <c r="MX51" s="336">
        <v>0</v>
      </c>
      <c r="MY51" s="336">
        <v>0</v>
      </c>
      <c r="MZ51" s="336">
        <v>6345172</v>
      </c>
      <c r="NA51" s="336">
        <v>0</v>
      </c>
      <c r="NB51" s="336">
        <v>0</v>
      </c>
      <c r="NC51" s="336">
        <v>0</v>
      </c>
      <c r="ND51" s="336">
        <v>0</v>
      </c>
      <c r="NE51" s="336">
        <v>0</v>
      </c>
      <c r="NF51" s="336">
        <v>0</v>
      </c>
      <c r="NG51" s="336">
        <v>0</v>
      </c>
      <c r="NH51" s="336">
        <v>0</v>
      </c>
      <c r="NI51" s="336">
        <v>0</v>
      </c>
      <c r="NJ51" s="336">
        <v>0</v>
      </c>
      <c r="NK51" s="336">
        <v>0</v>
      </c>
      <c r="NL51" s="336">
        <v>0</v>
      </c>
      <c r="NM51" s="336">
        <v>0</v>
      </c>
      <c r="NN51" s="336">
        <v>0</v>
      </c>
      <c r="NO51" s="336">
        <v>0</v>
      </c>
      <c r="NP51" s="336">
        <v>0</v>
      </c>
      <c r="NQ51" s="336">
        <v>0</v>
      </c>
      <c r="NR51" s="336">
        <v>0</v>
      </c>
      <c r="NS51" s="336">
        <v>0</v>
      </c>
      <c r="NT51" s="336">
        <v>0</v>
      </c>
      <c r="NU51" s="336">
        <v>0</v>
      </c>
      <c r="NV51" s="336">
        <v>0</v>
      </c>
      <c r="NW51" s="336">
        <v>0</v>
      </c>
      <c r="NX51" s="336">
        <v>0</v>
      </c>
      <c r="NY51" s="336">
        <v>0</v>
      </c>
      <c r="NZ51" s="336">
        <v>0</v>
      </c>
      <c r="OA51" s="336">
        <v>0</v>
      </c>
      <c r="OB51" s="336">
        <v>0</v>
      </c>
      <c r="OC51" s="336">
        <v>0</v>
      </c>
      <c r="OD51" s="336">
        <v>0</v>
      </c>
      <c r="OE51" s="336">
        <v>8403</v>
      </c>
      <c r="OF51" s="336">
        <v>0</v>
      </c>
      <c r="OG51" s="336">
        <v>16009</v>
      </c>
      <c r="OH51" s="336">
        <v>0</v>
      </c>
      <c r="OI51" s="336">
        <v>0</v>
      </c>
      <c r="OJ51" s="336">
        <v>0</v>
      </c>
      <c r="OK51" s="336">
        <v>0</v>
      </c>
      <c r="OL51" s="336">
        <v>0</v>
      </c>
      <c r="OM51" s="336">
        <v>0</v>
      </c>
      <c r="ON51" s="336">
        <v>0</v>
      </c>
      <c r="OO51" s="336">
        <v>0</v>
      </c>
      <c r="OP51" s="336">
        <v>0</v>
      </c>
      <c r="OQ51" s="336">
        <v>0</v>
      </c>
      <c r="OR51" s="336">
        <v>0</v>
      </c>
      <c r="OS51" s="336">
        <v>0</v>
      </c>
      <c r="OT51" s="336">
        <v>0</v>
      </c>
      <c r="OU51" s="336">
        <v>528116</v>
      </c>
      <c r="OV51" s="336">
        <v>0</v>
      </c>
      <c r="OW51" s="336">
        <v>0</v>
      </c>
      <c r="OX51" s="336">
        <v>0</v>
      </c>
      <c r="OY51" s="336">
        <v>0</v>
      </c>
      <c r="OZ51" s="336">
        <v>0</v>
      </c>
      <c r="PA51" s="336">
        <v>0</v>
      </c>
      <c r="PB51" s="336">
        <v>-1526097</v>
      </c>
      <c r="PC51" s="336">
        <v>0</v>
      </c>
      <c r="PD51" s="336">
        <v>0</v>
      </c>
      <c r="PE51" s="336">
        <v>4351938</v>
      </c>
      <c r="PF51" s="336">
        <v>14380072</v>
      </c>
      <c r="PG51" s="336">
        <v>0</v>
      </c>
      <c r="PH51" s="336">
        <v>-3674572</v>
      </c>
      <c r="PI51" s="336">
        <v>0</v>
      </c>
      <c r="PJ51" s="336">
        <v>10000</v>
      </c>
      <c r="PK51" s="336">
        <v>-1595291</v>
      </c>
      <c r="PL51" s="336">
        <v>34099766</v>
      </c>
      <c r="PM51" s="336">
        <v>-16002732</v>
      </c>
      <c r="PN51" s="336">
        <v>0</v>
      </c>
      <c r="PO51" s="336">
        <v>0</v>
      </c>
      <c r="PP51" s="336">
        <v>0</v>
      </c>
      <c r="PQ51" s="336">
        <v>0</v>
      </c>
      <c r="PR51" s="336">
        <v>0</v>
      </c>
      <c r="PS51" s="336">
        <v>0</v>
      </c>
      <c r="PT51" s="336">
        <v>59970000</v>
      </c>
      <c r="PU51" s="336">
        <v>0</v>
      </c>
      <c r="PV51" s="336">
        <v>0</v>
      </c>
      <c r="PW51" s="336">
        <v>0</v>
      </c>
      <c r="PX51" s="336">
        <v>0</v>
      </c>
      <c r="PY51" s="336">
        <v>0</v>
      </c>
      <c r="PZ51" s="336">
        <v>0</v>
      </c>
      <c r="QA51" s="336">
        <v>0</v>
      </c>
      <c r="QB51" s="336">
        <v>0</v>
      </c>
      <c r="QC51" s="336">
        <v>0</v>
      </c>
      <c r="QD51" s="336">
        <v>-108268254</v>
      </c>
      <c r="QE51" s="336">
        <v>0</v>
      </c>
      <c r="QF51" s="336">
        <v>0</v>
      </c>
      <c r="QG51" s="336">
        <v>5069092</v>
      </c>
      <c r="QH51" s="336">
        <v>0</v>
      </c>
      <c r="QI51" s="336">
        <v>0</v>
      </c>
      <c r="QJ51" s="336">
        <v>0</v>
      </c>
      <c r="QK51" s="336">
        <v>366617</v>
      </c>
      <c r="QL51" s="336">
        <v>0</v>
      </c>
      <c r="QM51" s="336">
        <v>9401571</v>
      </c>
      <c r="QN51" s="336">
        <v>0</v>
      </c>
      <c r="QO51" s="336">
        <v>0</v>
      </c>
      <c r="QP51" s="336">
        <v>0</v>
      </c>
      <c r="QQ51" s="336">
        <v>0</v>
      </c>
      <c r="QR51" s="336">
        <v>0</v>
      </c>
      <c r="QS51" s="336">
        <v>0</v>
      </c>
      <c r="QT51" s="336">
        <v>61268</v>
      </c>
      <c r="QU51" s="336">
        <v>0</v>
      </c>
      <c r="QV51" s="336">
        <v>0</v>
      </c>
      <c r="QW51" s="336">
        <v>0</v>
      </c>
      <c r="QX51" s="336">
        <v>0</v>
      </c>
      <c r="QY51" s="336">
        <v>0</v>
      </c>
      <c r="QZ51" s="336">
        <v>0</v>
      </c>
      <c r="RA51" s="336">
        <v>0</v>
      </c>
      <c r="RB51" s="336">
        <v>0</v>
      </c>
      <c r="RC51" s="336">
        <v>0</v>
      </c>
      <c r="RD51" s="336">
        <v>-59970000</v>
      </c>
      <c r="RE51" s="336">
        <v>76301000</v>
      </c>
      <c r="RF51" s="336">
        <v>0</v>
      </c>
      <c r="RG51" s="336">
        <v>0</v>
      </c>
      <c r="RH51" s="336">
        <v>0</v>
      </c>
      <c r="RI51" s="336">
        <v>0</v>
      </c>
      <c r="RJ51" s="336">
        <v>0</v>
      </c>
      <c r="RK51" s="336">
        <v>0</v>
      </c>
      <c r="RL51" s="336">
        <v>0</v>
      </c>
      <c r="RM51" s="336">
        <v>0</v>
      </c>
      <c r="RN51" s="336">
        <v>0</v>
      </c>
      <c r="RO51" s="336">
        <v>-2943362</v>
      </c>
      <c r="RP51" s="336">
        <v>0</v>
      </c>
      <c r="RQ51" s="336">
        <v>0</v>
      </c>
      <c r="RR51" s="336">
        <v>0</v>
      </c>
      <c r="RS51" s="336">
        <v>0</v>
      </c>
      <c r="RT51" s="336">
        <v>0</v>
      </c>
      <c r="RU51" s="336">
        <v>0</v>
      </c>
      <c r="RV51" s="336">
        <v>0</v>
      </c>
      <c r="RW51" s="336">
        <v>0</v>
      </c>
      <c r="RX51" s="336">
        <v>0</v>
      </c>
      <c r="RY51" s="336">
        <v>0</v>
      </c>
      <c r="RZ51" s="336">
        <v>-43101025</v>
      </c>
      <c r="SA51" s="336">
        <v>0</v>
      </c>
      <c r="SB51" s="336">
        <v>0</v>
      </c>
      <c r="SC51" s="336">
        <v>0</v>
      </c>
      <c r="SD51" s="336">
        <v>0</v>
      </c>
      <c r="SE51" s="336">
        <v>0</v>
      </c>
      <c r="SF51" s="336">
        <v>0</v>
      </c>
      <c r="SG51" s="336">
        <v>0</v>
      </c>
      <c r="SH51" s="336">
        <v>0</v>
      </c>
      <c r="SI51" s="336">
        <v>0</v>
      </c>
      <c r="SJ51" s="336">
        <v>0</v>
      </c>
      <c r="SK51" s="336">
        <v>0</v>
      </c>
      <c r="SL51" s="336">
        <v>0</v>
      </c>
      <c r="SM51" s="336">
        <v>0</v>
      </c>
      <c r="SN51" s="336">
        <v>0</v>
      </c>
      <c r="SO51" s="336">
        <v>0</v>
      </c>
      <c r="SP51" s="336">
        <v>11976015</v>
      </c>
      <c r="SQ51" s="336">
        <v>0</v>
      </c>
      <c r="SR51" s="336">
        <v>8403</v>
      </c>
      <c r="SS51" s="336">
        <v>0</v>
      </c>
      <c r="ST51" s="336">
        <v>16009</v>
      </c>
      <c r="SU51" s="336">
        <v>0</v>
      </c>
      <c r="SV51" s="336">
        <v>0</v>
      </c>
      <c r="SW51" s="336">
        <v>1526097</v>
      </c>
      <c r="SX51" s="336">
        <v>0</v>
      </c>
      <c r="SY51" s="336">
        <v>0</v>
      </c>
      <c r="SZ51" s="336" t="s">
        <v>1420</v>
      </c>
      <c r="TA51" s="336" t="s">
        <v>1420</v>
      </c>
      <c r="TB51" s="336" t="s">
        <v>1420</v>
      </c>
      <c r="TC51" s="336">
        <v>0</v>
      </c>
      <c r="TD51" s="336">
        <v>0</v>
      </c>
      <c r="TE51" s="336">
        <v>0</v>
      </c>
      <c r="TF51" s="336">
        <v>0</v>
      </c>
      <c r="TG51" s="336">
        <v>24412</v>
      </c>
      <c r="TH51" s="336">
        <v>0</v>
      </c>
      <c r="TI51" s="336">
        <v>0</v>
      </c>
      <c r="TJ51" s="336">
        <v>0</v>
      </c>
      <c r="TK51" s="336">
        <v>0</v>
      </c>
      <c r="TL51" s="336">
        <v>0</v>
      </c>
      <c r="TM51" s="336">
        <v>0</v>
      </c>
      <c r="TN51" s="336">
        <v>0</v>
      </c>
      <c r="TO51" s="336">
        <v>0</v>
      </c>
      <c r="TP51" s="336">
        <v>0</v>
      </c>
      <c r="TQ51" s="336">
        <v>0</v>
      </c>
      <c r="TR51" s="336">
        <v>0</v>
      </c>
      <c r="TS51" s="336">
        <v>0</v>
      </c>
      <c r="TT51" s="336">
        <v>0</v>
      </c>
      <c r="TU51" s="336">
        <v>0</v>
      </c>
      <c r="TV51" s="336">
        <v>0</v>
      </c>
      <c r="TW51" s="336">
        <v>0</v>
      </c>
      <c r="TX51" s="336">
        <v>0</v>
      </c>
      <c r="TY51" s="336">
        <v>0</v>
      </c>
      <c r="TZ51" s="336">
        <v>0</v>
      </c>
      <c r="UA51" s="336">
        <v>0</v>
      </c>
      <c r="UB51" s="336">
        <v>0</v>
      </c>
      <c r="UC51" s="336">
        <v>0</v>
      </c>
      <c r="UD51" s="336">
        <v>0</v>
      </c>
      <c r="UE51" s="336">
        <v>0</v>
      </c>
      <c r="UF51" s="336">
        <v>0</v>
      </c>
      <c r="UG51" s="336">
        <v>0</v>
      </c>
      <c r="UH51" s="336">
        <v>0</v>
      </c>
      <c r="UI51" s="336">
        <v>0</v>
      </c>
      <c r="UJ51" s="336">
        <v>0</v>
      </c>
      <c r="UK51" s="336">
        <v>0</v>
      </c>
      <c r="UL51" s="336">
        <v>3048870</v>
      </c>
      <c r="UM51" s="336">
        <v>0</v>
      </c>
      <c r="UN51" s="336">
        <v>64212029</v>
      </c>
      <c r="UO51" s="336">
        <v>0</v>
      </c>
      <c r="UP51" s="336">
        <v>0</v>
      </c>
      <c r="UQ51" s="336">
        <v>0</v>
      </c>
      <c r="UR51"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24412</v>
      </c>
      <c r="US51" s="338">
        <f>SUM(Input[[#This Row],[Oth Exp E&amp;G]],Input[[#This Row],[Oth Exp Desg]],Input[[#This Row],[Oth Exp Aux]],Input[[#This Row],[Oth Exp R Exp]],Input[[#This Row],[Oth Exp Loan]],Input[[#This Row],[Oth Exp Annuity]],Input[[#This Row],[Oth Exp Unexp]],Input[[#This Row],[Oth Exp R of Ind]],Input[[#This Row],[Oth Exp Inv in P]])</f>
        <v>528116</v>
      </c>
      <c r="UT51" s="336">
        <v>0</v>
      </c>
      <c r="UU51" s="336">
        <v>0</v>
      </c>
      <c r="UV51" s="339" t="s">
        <v>1609</v>
      </c>
      <c r="UW51" s="340">
        <v>8068346101</v>
      </c>
      <c r="UX51" s="339" t="s">
        <v>1610</v>
      </c>
      <c r="UY51" s="339" t="s">
        <v>1611</v>
      </c>
      <c r="UZ51" s="340">
        <v>8068346020</v>
      </c>
      <c r="VA51" s="339" t="s">
        <v>1612</v>
      </c>
      <c r="VB51" s="341" t="str" cm="1">
        <f t="array" ref="VB51">IFERROR(_xlfn.IFS(Input[[#This Row],[Type]]="HRI",VLOOKUP(Input[[#This Row],[Institution Name]],FTSEHRI[],9,FALSE),Input[[#This Row],[Type]]="UNIV",VLOOKUP(Input[[#This Row],[Institution Name]],FTSEUNIV[],9,FALSE),OR(Input[[#This Row],[Type]]="TSTC",Input[[#This Row],[Type]]="LSC"),VLOOKUP(Input[[#This Row],[Institution Name]],FTSETSTC[],8,FALSE)),"N/A")</f>
        <v>N/A</v>
      </c>
      <c r="VC51" s="342" t="str" cm="1">
        <f t="array" ref="VC51">IFERROR(_xlfn.IFS(Input[[#This Row],[Type]]="HRI",VLOOKUP(Input[[#This Row],[Institution Name]],FTSEHRI[],11,FALSE),Input[[#This Row],[Type]]="UNIV",VLOOKUP(Input[[#This Row],[Institution Name]],FTSEUNIV[],11,FALSE),Input[[#This Row],[Type]]="TSTC",VLOOKUP(Input[[#This Row],[Institution Name]],FTSETSTC[],10,FALSE)),"N/A")</f>
        <v>N/A</v>
      </c>
      <c r="VD51"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2994864</v>
      </c>
      <c r="VE51"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51" s="338">
        <f>SUM(Input[[#This Row],[Fed G&amp;C E&amp;G]],Input[[#This Row],[Fed G&amp;C Desg]],Input[[#This Row],[Fed G&amp;C R Exp]],Input[[#This Row],[Fed G&amp;C Loan]],Input[[#This Row],[Fed G&amp;C Annuity]],Input[[#This Row],[Fed G&amp;C Unexp]],Input[[#This Row],[Fed G&amp;C R of Ind]],Input[[#This Row],[Fed G&amp;C Inv in P]])</f>
        <v>0</v>
      </c>
      <c r="VG51"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22037629</v>
      </c>
      <c r="VH51"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0</v>
      </c>
      <c r="VI51"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J51" s="338">
        <f>SUM(Input[[#This Row],[Oth Inc E&amp;G]],Input[[#This Row],[Oth Exp Desg]],Input[[#This Row],[Oth Exp R Exp]],Input[[#This Row],[Oth Exp Loan]],Input[[#This Row],[Oth Exp Annuity]],Input[[#This Row],[Oth Exp Unexp]],Input[[#This Row],[Oth Exp R of Ind]],Input[[#This Row],[Oth Exp Inv in P]])</f>
        <v>528116</v>
      </c>
      <c r="VK51" s="343">
        <f>SUM(Input[[#This Row],[Instr E&amp;G]],Input[[#This Row],[Instr Desg]],Input[[#This Row],[Instr R Exp]],Input[[#This Row],[Instr Loan]],Input[[#This Row],[Instr Annuity]],Input[[#This Row],[Instr Unexp]],Input[[#This Row],[Instr R of Ind]],Input[[#This Row],[Instr Inv in P]])</f>
        <v>0</v>
      </c>
      <c r="VL51" s="343">
        <f>SUM(Input[[#This Row],[Res E&amp;G]],Input[[#This Row],[Res Desg]],Input[[#This Row],[Res R Exp]],Input[[#This Row],[Res Loan]],Input[[#This Row],[Res Annuity]],Input[[#This Row],[Res Unexp]],Input[[#This Row],[Res R of Ind]],Input[[#This Row],[Res Inv in P]])</f>
        <v>0</v>
      </c>
      <c r="VM51" s="343">
        <f>SUM(Input[[#This Row],[Acad Sup E&amp;G]],Input[[#This Row],[Acad Sup Desg]],Input[[#This Row],[Acad Sup R Exp]],Input[[#This Row],[Acad Sup Loan]],Input[[#This Row],[Acad Sup Annuity]],Input[[#This Row],[Acad Sup Unexp]],Input[[#This Row],[Acad Sup R of Ind]],Input[[#This Row],[Acad Sup Inv in P]])</f>
        <v>3048870</v>
      </c>
      <c r="VN51" s="343">
        <f>SUM(Input[[#This Row],[Stu Svc E&amp;G]],Input[[#This Row],[Stu Svc Desg]],Input[[#This Row],[Stu Svc R Exp]],Input[[#This Row],[Stu Svc Loan]],Input[[#This Row],[Stu Svc Annuity]],Input[[#This Row],[Stu Svc Unexp]],Input[[#This Row],[Stu Svc R of Ind]],Input[[#This Row],[Stu Svc Inv in P]])</f>
        <v>0</v>
      </c>
      <c r="VO51" s="343">
        <f>SUM(Input[[#This Row],[Inst. Spt E&amp;G]],Input[[#This Row],[Inst. Spt Desg]],Input[[#This Row],[Inst. Spt R Exp]],Input[[#This Row],[Inst. Spt Loan]],Input[[#This Row],[Inst. Spt Annuity]],Input[[#This Row],[Inst. Spt Unexp]],Input[[#This Row],[Inst. Spt R of Ind]],Input[[#This Row],[Inst. Spt Inv in P]])</f>
        <v>64212029</v>
      </c>
      <c r="VP51" s="343">
        <f>SUM(Input[[#This Row],[M&amp;O Plnt E&amp;G]],Input[[#This Row],[M&amp;O Plnt Desg]],Input[[#This Row],[M&amp;O Plnt R Exp]],Input[[#This Row],[M&amp;O Plnt Loan]],Input[[#This Row],[M&amp;O Plnt Annuity]],Input[[#This Row],[M&amp;O Plnt Unexp]],Input[[#This Row],[M&amp;O Plnt R of Ind]],Input[[#This Row],[M&amp;O Plnt Inv in P]])</f>
        <v>0</v>
      </c>
      <c r="VQ51" s="343">
        <f>SUM(Input[[#This Row],[Schl &amp; Fell E&amp;G]],Input[[#This Row],[Schl &amp; Fell Desg]],Input[[#This Row],[Schl &amp; Fell R Exp]],Input[[#This Row],[Schl &amp; Fell Loan]],Input[[#This Row],[Schl &amp; Fell Annuity]],Input[[#This Row],[Schl &amp; Fell Unexp]],Input[[#This Row],[Schl &amp; Fell R of Ind]],Input[[#This Row],[Schl &amp; Fell Inv in P]])</f>
        <v>0</v>
      </c>
      <c r="VR51" s="343">
        <f>SUM(Input[[#This Row],[Cap Out fund E&amp;G]],Input[[#This Row],[Cap Out fund Desg]],Input[[#This Row],[Cap Out fund R Exp]],Input[[#This Row],[Cap Out fund Loan]],Input[[#This Row],[Cap Out fund Annuity]],Input[[#This Row],[Cap Out fund Unexp]],Input[[#This Row],[Cap Out fund R of Ind]],Input[[#This Row],[Cap Out fund Inv in P]])</f>
        <v>24412</v>
      </c>
      <c r="VS51" s="343">
        <f>SUM(Input[[#This Row],[Oth Exp E&amp;G]],Input[[#This Row],[Oth Exp Desg]],Input[[#This Row],[Oth Exp R Exp]],Input[[#This Row],[Oth Exp Loan]],Input[[#This Row],[Oth Exp Annuity]],Input[[#This Row],[Oth Exp Unexp]],Input[[#This Row],[Oth Exp R of Ind]],Input[[#This Row],[Oth Exp Inv in P]],Input[[#This Row],[Oth Exp Inv in P]])</f>
        <v>1056232</v>
      </c>
    </row>
    <row r="52" spans="1:591" s="344" customFormat="1" ht="27" customHeight="1" x14ac:dyDescent="0.55000000000000004">
      <c r="A52" s="339" t="s">
        <v>92</v>
      </c>
      <c r="B52" s="334" t="s">
        <v>826</v>
      </c>
      <c r="C52" s="334" t="s">
        <v>21</v>
      </c>
      <c r="D52" s="334">
        <v>370</v>
      </c>
      <c r="E52" s="334" t="s">
        <v>1623</v>
      </c>
      <c r="F52" s="335">
        <v>3646</v>
      </c>
      <c r="G52" s="336">
        <v>103116052</v>
      </c>
      <c r="H52" s="336">
        <v>0</v>
      </c>
      <c r="I52" s="336">
        <v>0</v>
      </c>
      <c r="J52" s="336">
        <v>0</v>
      </c>
      <c r="K52" s="336">
        <v>0</v>
      </c>
      <c r="L52" s="336">
        <v>0</v>
      </c>
      <c r="M52" s="336">
        <v>0</v>
      </c>
      <c r="N52" s="336">
        <v>0</v>
      </c>
      <c r="O52" s="336">
        <v>0</v>
      </c>
      <c r="P52" s="336">
        <v>0</v>
      </c>
      <c r="Q52" s="336">
        <v>0</v>
      </c>
      <c r="R52" s="336">
        <v>0</v>
      </c>
      <c r="S52" s="336">
        <v>8294270</v>
      </c>
      <c r="T52" s="336">
        <v>0</v>
      </c>
      <c r="U52" s="336">
        <v>0</v>
      </c>
      <c r="V52" s="336">
        <v>0</v>
      </c>
      <c r="W52" s="336">
        <v>0</v>
      </c>
      <c r="X52" s="336">
        <v>0</v>
      </c>
      <c r="Y52" s="336">
        <v>14993229</v>
      </c>
      <c r="Z52" s="336">
        <v>0</v>
      </c>
      <c r="AA52" s="336">
        <v>0</v>
      </c>
      <c r="AB52" s="336">
        <v>0</v>
      </c>
      <c r="AC52" s="336">
        <v>0</v>
      </c>
      <c r="AD52" s="336">
        <v>0</v>
      </c>
      <c r="AE52" s="336">
        <v>0</v>
      </c>
      <c r="AF52" s="336">
        <v>0</v>
      </c>
      <c r="AG52" s="336">
        <v>0</v>
      </c>
      <c r="AH52" s="336">
        <v>0</v>
      </c>
      <c r="AI52" s="336">
        <v>0</v>
      </c>
      <c r="AJ52" s="336">
        <v>0</v>
      </c>
      <c r="AK52" s="336">
        <v>0</v>
      </c>
      <c r="AL52" s="336">
        <v>0</v>
      </c>
      <c r="AM52" s="336">
        <v>0</v>
      </c>
      <c r="AN52" s="336">
        <v>0</v>
      </c>
      <c r="AO52" s="336">
        <v>0</v>
      </c>
      <c r="AP52" s="336">
        <v>0</v>
      </c>
      <c r="AQ52" s="336">
        <v>0</v>
      </c>
      <c r="AR52" s="336">
        <v>0</v>
      </c>
      <c r="AS52" s="336">
        <v>0</v>
      </c>
      <c r="AT52" s="336">
        <v>0</v>
      </c>
      <c r="AU52" s="336">
        <v>0</v>
      </c>
      <c r="AV52" s="336">
        <v>0</v>
      </c>
      <c r="AW52" s="336">
        <v>0</v>
      </c>
      <c r="AX52" s="336">
        <v>0</v>
      </c>
      <c r="AY52" s="336">
        <v>0</v>
      </c>
      <c r="AZ52" s="336">
        <v>0</v>
      </c>
      <c r="BA52" s="336">
        <v>0</v>
      </c>
      <c r="BB52" s="336">
        <v>0</v>
      </c>
      <c r="BC52" s="336">
        <v>0</v>
      </c>
      <c r="BD52" s="336">
        <v>0</v>
      </c>
      <c r="BE52" s="336">
        <v>0</v>
      </c>
      <c r="BF52" s="336">
        <v>0</v>
      </c>
      <c r="BG52" s="336">
        <v>0</v>
      </c>
      <c r="BH52" s="336">
        <v>0</v>
      </c>
      <c r="BI52" s="336">
        <v>0</v>
      </c>
      <c r="BJ52" s="336">
        <v>0</v>
      </c>
      <c r="BK52" s="336">
        <v>0</v>
      </c>
      <c r="BL52" s="336">
        <v>0</v>
      </c>
      <c r="BM52" s="336">
        <v>0</v>
      </c>
      <c r="BN52" s="336">
        <v>0</v>
      </c>
      <c r="BO52" s="336">
        <v>0</v>
      </c>
      <c r="BP52" s="336">
        <v>0</v>
      </c>
      <c r="BQ52" s="336">
        <v>0</v>
      </c>
      <c r="BR52" s="336">
        <v>0</v>
      </c>
      <c r="BS52" s="336">
        <v>0</v>
      </c>
      <c r="BT52" s="336">
        <v>0</v>
      </c>
      <c r="BU52" s="336">
        <v>0</v>
      </c>
      <c r="BV52" s="336">
        <v>0</v>
      </c>
      <c r="BW52" s="336">
        <v>0</v>
      </c>
      <c r="BX52" s="336">
        <v>0</v>
      </c>
      <c r="BY52" s="336">
        <v>0</v>
      </c>
      <c r="BZ52" s="336">
        <v>0</v>
      </c>
      <c r="CA52" s="336">
        <v>35596884</v>
      </c>
      <c r="CB52" s="336">
        <v>86242412</v>
      </c>
      <c r="CC52" s="336">
        <v>0</v>
      </c>
      <c r="CD52" s="336">
        <v>0</v>
      </c>
      <c r="CE52" s="336">
        <v>0</v>
      </c>
      <c r="CF52" s="336">
        <v>0</v>
      </c>
      <c r="CG52" s="336">
        <v>0</v>
      </c>
      <c r="CH52" s="336">
        <v>0</v>
      </c>
      <c r="CI52" s="336">
        <v>0</v>
      </c>
      <c r="CJ52" s="336">
        <v>-4259640</v>
      </c>
      <c r="CK52" s="336">
        <v>0</v>
      </c>
      <c r="CL52" s="336">
        <v>0</v>
      </c>
      <c r="CM52" s="336">
        <v>0</v>
      </c>
      <c r="CN52" s="336">
        <v>0</v>
      </c>
      <c r="CO52" s="336">
        <v>0</v>
      </c>
      <c r="CP52" s="336">
        <v>0</v>
      </c>
      <c r="CQ52" s="336">
        <v>0</v>
      </c>
      <c r="CR52" s="336">
        <v>0</v>
      </c>
      <c r="CS52" s="336">
        <v>0</v>
      </c>
      <c r="CT52" s="336">
        <v>-45504</v>
      </c>
      <c r="CU52" s="336">
        <v>0</v>
      </c>
      <c r="CV52" s="336">
        <v>0</v>
      </c>
      <c r="CW52" s="336">
        <v>0</v>
      </c>
      <c r="CX52" s="336">
        <v>0</v>
      </c>
      <c r="CY52" s="336">
        <v>0</v>
      </c>
      <c r="CZ52" s="336">
        <v>0</v>
      </c>
      <c r="DA52" s="336">
        <v>0</v>
      </c>
      <c r="DB52" s="336">
        <v>-3633816</v>
      </c>
      <c r="DC52" s="336">
        <v>0</v>
      </c>
      <c r="DD52" s="336">
        <v>0</v>
      </c>
      <c r="DE52" s="336">
        <v>0</v>
      </c>
      <c r="DF52" s="336">
        <v>0</v>
      </c>
      <c r="DG52" s="336">
        <v>0</v>
      </c>
      <c r="DH52" s="336">
        <v>0</v>
      </c>
      <c r="DI52" s="336">
        <v>0</v>
      </c>
      <c r="DJ52" s="336">
        <v>0</v>
      </c>
      <c r="DK52" s="336">
        <v>0</v>
      </c>
      <c r="DL52" s="336">
        <v>-3083264</v>
      </c>
      <c r="DM52" s="336">
        <v>0</v>
      </c>
      <c r="DN52" s="336">
        <v>0</v>
      </c>
      <c r="DO52" s="336">
        <v>0</v>
      </c>
      <c r="DP52" s="336">
        <v>0</v>
      </c>
      <c r="DQ52" s="336">
        <v>0</v>
      </c>
      <c r="DR52" s="336">
        <v>0</v>
      </c>
      <c r="DS52" s="336">
        <v>0</v>
      </c>
      <c r="DT52" s="336">
        <v>0</v>
      </c>
      <c r="DU52" s="336">
        <v>0</v>
      </c>
      <c r="DV52" s="336">
        <v>0</v>
      </c>
      <c r="DW52" s="336">
        <v>0</v>
      </c>
      <c r="DX52" s="336">
        <v>0</v>
      </c>
      <c r="DY52" s="336">
        <v>0</v>
      </c>
      <c r="DZ52" s="336">
        <v>0</v>
      </c>
      <c r="EA52" s="336">
        <v>0</v>
      </c>
      <c r="EB52" s="336">
        <v>0</v>
      </c>
      <c r="EC52" s="336">
        <v>0</v>
      </c>
      <c r="ED52" s="336">
        <v>0</v>
      </c>
      <c r="EE52" s="336">
        <v>0</v>
      </c>
      <c r="EF52" s="336">
        <v>0</v>
      </c>
      <c r="EG52" s="336">
        <v>0</v>
      </c>
      <c r="EH52" s="336">
        <v>0</v>
      </c>
      <c r="EI52" s="336">
        <v>0</v>
      </c>
      <c r="EJ52" s="336">
        <v>0</v>
      </c>
      <c r="EK52" s="336">
        <v>0</v>
      </c>
      <c r="EL52" s="336">
        <v>0</v>
      </c>
      <c r="EM52" s="336">
        <v>0</v>
      </c>
      <c r="EN52" s="336">
        <v>0</v>
      </c>
      <c r="EO52" s="336">
        <v>0</v>
      </c>
      <c r="EP52" s="336">
        <v>0</v>
      </c>
      <c r="EQ52" s="336">
        <v>0</v>
      </c>
      <c r="ER52" s="336">
        <v>0</v>
      </c>
      <c r="ES52" s="336">
        <v>0</v>
      </c>
      <c r="ET52" s="336">
        <v>0</v>
      </c>
      <c r="EU52" s="336">
        <v>0</v>
      </c>
      <c r="EV52" s="336">
        <v>0</v>
      </c>
      <c r="EW52" s="336">
        <v>0</v>
      </c>
      <c r="EX52" s="336">
        <v>0</v>
      </c>
      <c r="EY52" s="336">
        <v>0</v>
      </c>
      <c r="EZ52" s="336">
        <v>0</v>
      </c>
      <c r="FA52" s="336">
        <v>0</v>
      </c>
      <c r="FB52" s="336">
        <v>0</v>
      </c>
      <c r="FC52" s="336">
        <v>0</v>
      </c>
      <c r="FD52" s="336">
        <v>0</v>
      </c>
      <c r="FE52" s="336">
        <v>0</v>
      </c>
      <c r="FF52" s="336">
        <v>0</v>
      </c>
      <c r="FG52" s="336">
        <v>0</v>
      </c>
      <c r="FH52" s="336">
        <v>0</v>
      </c>
      <c r="FI52" s="336">
        <v>0</v>
      </c>
      <c r="FJ52" s="336">
        <v>0</v>
      </c>
      <c r="FK52" s="336">
        <v>0</v>
      </c>
      <c r="FL52" s="336">
        <v>0</v>
      </c>
      <c r="FM52" s="336">
        <v>617294</v>
      </c>
      <c r="FN52" s="336">
        <v>20212402</v>
      </c>
      <c r="FO52" s="336">
        <v>0</v>
      </c>
      <c r="FP52" s="336">
        <v>0</v>
      </c>
      <c r="FQ52" s="336">
        <v>0</v>
      </c>
      <c r="FR52" s="336">
        <v>0</v>
      </c>
      <c r="FS52" s="336">
        <v>0</v>
      </c>
      <c r="FT52" s="336">
        <v>0</v>
      </c>
      <c r="FU52" s="336">
        <v>0</v>
      </c>
      <c r="FV52" s="336">
        <v>0</v>
      </c>
      <c r="FW52" s="336">
        <v>0</v>
      </c>
      <c r="FX52" s="336">
        <v>0</v>
      </c>
      <c r="FY52" s="336">
        <v>0</v>
      </c>
      <c r="FZ52" s="336">
        <v>0</v>
      </c>
      <c r="GA52" s="336">
        <v>0</v>
      </c>
      <c r="GB52" s="336">
        <v>0</v>
      </c>
      <c r="GC52" s="336">
        <v>0</v>
      </c>
      <c r="GD52" s="336">
        <v>0</v>
      </c>
      <c r="GE52" s="336">
        <v>0</v>
      </c>
      <c r="GF52" s="336">
        <v>0</v>
      </c>
      <c r="GG52" s="336">
        <v>0</v>
      </c>
      <c r="GH52" s="336">
        <v>0</v>
      </c>
      <c r="GI52" s="336">
        <v>0</v>
      </c>
      <c r="GJ52" s="336">
        <v>0</v>
      </c>
      <c r="GK52" s="336">
        <v>0</v>
      </c>
      <c r="GL52" s="336">
        <v>0</v>
      </c>
      <c r="GM52" s="336">
        <v>0</v>
      </c>
      <c r="GN52" s="336">
        <v>-1690905</v>
      </c>
      <c r="GO52" s="336">
        <v>0</v>
      </c>
      <c r="GP52" s="336">
        <v>0</v>
      </c>
      <c r="GQ52" s="336">
        <v>0</v>
      </c>
      <c r="GR52" s="336">
        <v>0</v>
      </c>
      <c r="GS52" s="336">
        <v>0</v>
      </c>
      <c r="GT52" s="336">
        <v>0</v>
      </c>
      <c r="GU52" s="336">
        <v>0</v>
      </c>
      <c r="GV52" s="336">
        <v>0</v>
      </c>
      <c r="GW52" s="336">
        <v>0</v>
      </c>
      <c r="GX52" s="336">
        <v>-2452</v>
      </c>
      <c r="GY52" s="336">
        <v>0</v>
      </c>
      <c r="GZ52" s="336">
        <v>0</v>
      </c>
      <c r="HA52" s="336">
        <v>0</v>
      </c>
      <c r="HB52" s="336">
        <v>0</v>
      </c>
      <c r="HC52" s="336">
        <v>0</v>
      </c>
      <c r="HD52" s="336">
        <v>0</v>
      </c>
      <c r="HE52" s="336">
        <v>0</v>
      </c>
      <c r="HF52" s="336">
        <v>-11899360</v>
      </c>
      <c r="HG52" s="336">
        <v>-34979632</v>
      </c>
      <c r="HH52" s="336">
        <v>0</v>
      </c>
      <c r="HI52" s="336">
        <v>0</v>
      </c>
      <c r="HJ52" s="336">
        <v>0</v>
      </c>
      <c r="HK52" s="336">
        <v>0</v>
      </c>
      <c r="HL52" s="336">
        <v>0</v>
      </c>
      <c r="HM52" s="336">
        <v>0</v>
      </c>
      <c r="HN52" s="336">
        <v>0</v>
      </c>
      <c r="HO52" s="336">
        <v>0</v>
      </c>
      <c r="HP52" s="336">
        <v>0</v>
      </c>
      <c r="HQ52" s="336">
        <v>0</v>
      </c>
      <c r="HR52" s="336">
        <v>38254113</v>
      </c>
      <c r="HS52" s="336">
        <v>0</v>
      </c>
      <c r="HT52" s="336">
        <v>0</v>
      </c>
      <c r="HU52" s="336">
        <v>0</v>
      </c>
      <c r="HV52" s="336">
        <v>0</v>
      </c>
      <c r="HW52" s="336">
        <v>0</v>
      </c>
      <c r="HX52" s="336">
        <v>0</v>
      </c>
      <c r="HY52" s="336">
        <v>0</v>
      </c>
      <c r="HZ52" s="336">
        <v>0</v>
      </c>
      <c r="IA52" s="336">
        <v>0</v>
      </c>
      <c r="IB52" s="336">
        <v>0</v>
      </c>
      <c r="IC52" s="336">
        <v>0</v>
      </c>
      <c r="ID52" s="336">
        <v>0</v>
      </c>
      <c r="IE52" s="336">
        <v>0</v>
      </c>
      <c r="IF52" s="336">
        <v>0</v>
      </c>
      <c r="IG52" s="336">
        <v>0</v>
      </c>
      <c r="IH52" s="336">
        <v>0</v>
      </c>
      <c r="II52" s="336">
        <v>0</v>
      </c>
      <c r="IJ52" s="336">
        <v>0</v>
      </c>
      <c r="IK52" s="336">
        <v>0</v>
      </c>
      <c r="IL52" s="336">
        <v>0</v>
      </c>
      <c r="IM52" s="336">
        <v>0</v>
      </c>
      <c r="IN52" s="336">
        <v>0</v>
      </c>
      <c r="IO52" s="336">
        <v>0</v>
      </c>
      <c r="IP52" s="336">
        <v>605931</v>
      </c>
      <c r="IQ52" s="336">
        <v>12069690</v>
      </c>
      <c r="IR52" s="336">
        <v>839983</v>
      </c>
      <c r="IS52" s="336">
        <v>602071</v>
      </c>
      <c r="IT52" s="336">
        <v>142400</v>
      </c>
      <c r="IU52" s="336">
        <v>269869</v>
      </c>
      <c r="IV52" s="336">
        <v>10340825</v>
      </c>
      <c r="IW52" s="336">
        <v>1866767</v>
      </c>
      <c r="IX52" s="336">
        <v>0</v>
      </c>
      <c r="IY52" s="336">
        <v>0</v>
      </c>
      <c r="IZ52" s="336">
        <v>0</v>
      </c>
      <c r="JA52" s="336">
        <v>0</v>
      </c>
      <c r="JB52" s="336">
        <v>3523263</v>
      </c>
      <c r="JC52" s="336">
        <v>0</v>
      </c>
      <c r="JD52" s="336">
        <v>0</v>
      </c>
      <c r="JE52" s="336">
        <v>0</v>
      </c>
      <c r="JF52" s="336">
        <v>0</v>
      </c>
      <c r="JG52" s="336">
        <v>0</v>
      </c>
      <c r="JH52" s="336">
        <v>0</v>
      </c>
      <c r="JI52" s="336">
        <v>41000</v>
      </c>
      <c r="JJ52" s="336">
        <v>0</v>
      </c>
      <c r="JK52" s="336">
        <v>5741457</v>
      </c>
      <c r="JL52" s="336">
        <v>0</v>
      </c>
      <c r="JM52" s="336">
        <v>0</v>
      </c>
      <c r="JN52" s="336">
        <v>0</v>
      </c>
      <c r="JO52" s="336">
        <v>0</v>
      </c>
      <c r="JP52" s="336">
        <v>0</v>
      </c>
      <c r="JQ52" s="336">
        <v>0</v>
      </c>
      <c r="JR52" s="336">
        <v>0</v>
      </c>
      <c r="JS52" s="336">
        <v>0</v>
      </c>
      <c r="JT52" s="336">
        <v>0</v>
      </c>
      <c r="JU52" s="336">
        <v>0</v>
      </c>
      <c r="JV52" s="336">
        <v>0</v>
      </c>
      <c r="JW52" s="336">
        <v>0</v>
      </c>
      <c r="JX52" s="336">
        <v>0</v>
      </c>
      <c r="JY52" s="336">
        <v>0</v>
      </c>
      <c r="JZ52" s="336">
        <v>0</v>
      </c>
      <c r="KA52" s="336">
        <v>0</v>
      </c>
      <c r="KB52" s="336">
        <v>21896597</v>
      </c>
      <c r="KC52" s="336">
        <v>0</v>
      </c>
      <c r="KD52" s="336">
        <v>0</v>
      </c>
      <c r="KE52" s="336">
        <v>0</v>
      </c>
      <c r="KF52" s="336">
        <v>0</v>
      </c>
      <c r="KG52" s="336">
        <v>0</v>
      </c>
      <c r="KH52" s="336">
        <v>0</v>
      </c>
      <c r="KI52" s="336">
        <v>31145</v>
      </c>
      <c r="KJ52" s="336">
        <v>2215171</v>
      </c>
      <c r="KK52" s="336">
        <v>1731388</v>
      </c>
      <c r="KL52" s="336">
        <v>285732</v>
      </c>
      <c r="KM52" s="336">
        <v>0</v>
      </c>
      <c r="KN52" s="336">
        <v>717861</v>
      </c>
      <c r="KO52" s="336">
        <v>0</v>
      </c>
      <c r="KP52" s="336">
        <v>0</v>
      </c>
      <c r="KQ52" s="336">
        <v>0</v>
      </c>
      <c r="KR52" s="336">
        <v>75394016</v>
      </c>
      <c r="KS52" s="336">
        <v>13021857</v>
      </c>
      <c r="KT52" s="336">
        <v>0</v>
      </c>
      <c r="KU52" s="336">
        <v>2057252</v>
      </c>
      <c r="KV52" s="336">
        <v>0</v>
      </c>
      <c r="KW52" s="336">
        <v>0</v>
      </c>
      <c r="KX52" s="336">
        <v>0</v>
      </c>
      <c r="KY52" s="336">
        <v>0</v>
      </c>
      <c r="KZ52" s="336">
        <v>0</v>
      </c>
      <c r="LA52" s="336">
        <v>1689873</v>
      </c>
      <c r="LB52" s="336">
        <v>398738</v>
      </c>
      <c r="LC52" s="336">
        <v>0</v>
      </c>
      <c r="LD52" s="336">
        <v>4444979</v>
      </c>
      <c r="LE52" s="336">
        <v>0</v>
      </c>
      <c r="LF52" s="336">
        <v>0</v>
      </c>
      <c r="LG52" s="336">
        <v>0</v>
      </c>
      <c r="LH52" s="336">
        <v>0</v>
      </c>
      <c r="LI52" s="336">
        <v>0</v>
      </c>
      <c r="LJ52" s="336">
        <v>0</v>
      </c>
      <c r="LK52" s="336">
        <v>68616</v>
      </c>
      <c r="LL52" s="336">
        <v>0</v>
      </c>
      <c r="LM52" s="336">
        <v>608471</v>
      </c>
      <c r="LN52" s="336">
        <v>0</v>
      </c>
      <c r="LO52" s="336">
        <v>0</v>
      </c>
      <c r="LP52" s="336">
        <v>0</v>
      </c>
      <c r="LQ52" s="336">
        <v>0</v>
      </c>
      <c r="LR52" s="336">
        <v>0</v>
      </c>
      <c r="LS52" s="336">
        <v>0</v>
      </c>
      <c r="LT52" s="336">
        <v>0</v>
      </c>
      <c r="LU52" s="336">
        <v>0</v>
      </c>
      <c r="LV52" s="336">
        <v>0</v>
      </c>
      <c r="LW52" s="336">
        <v>0</v>
      </c>
      <c r="LX52" s="336">
        <v>0</v>
      </c>
      <c r="LY52" s="336">
        <v>0</v>
      </c>
      <c r="LZ52" s="336">
        <v>0</v>
      </c>
      <c r="MA52" s="336">
        <v>0</v>
      </c>
      <c r="MB52" s="336">
        <v>9305475</v>
      </c>
      <c r="MC52" s="336">
        <v>17496662</v>
      </c>
      <c r="MD52" s="336">
        <v>0</v>
      </c>
      <c r="ME52" s="336">
        <v>526733</v>
      </c>
      <c r="MF52" s="336">
        <v>0</v>
      </c>
      <c r="MG52" s="336">
        <v>0</v>
      </c>
      <c r="MH52" s="336">
        <v>1997335</v>
      </c>
      <c r="MI52" s="336">
        <v>0</v>
      </c>
      <c r="MJ52" s="336">
        <v>0</v>
      </c>
      <c r="MK52" s="336">
        <v>6819982</v>
      </c>
      <c r="ML52" s="336">
        <v>8290442</v>
      </c>
      <c r="MM52" s="336">
        <v>0</v>
      </c>
      <c r="MN52" s="336">
        <v>1094081</v>
      </c>
      <c r="MO52" s="336">
        <v>0</v>
      </c>
      <c r="MP52" s="336">
        <v>0</v>
      </c>
      <c r="MQ52" s="336">
        <v>0</v>
      </c>
      <c r="MR52" s="336">
        <v>0</v>
      </c>
      <c r="MS52" s="336">
        <v>0</v>
      </c>
      <c r="MT52" s="336">
        <v>11361414</v>
      </c>
      <c r="MU52" s="336">
        <v>28665882</v>
      </c>
      <c r="MV52" s="336">
        <v>0</v>
      </c>
      <c r="MW52" s="336">
        <v>213770</v>
      </c>
      <c r="MX52" s="336">
        <v>0</v>
      </c>
      <c r="MY52" s="336">
        <v>170300</v>
      </c>
      <c r="MZ52" s="336">
        <v>0</v>
      </c>
      <c r="NA52" s="336">
        <v>0</v>
      </c>
      <c r="NB52" s="336">
        <v>0</v>
      </c>
      <c r="NC52" s="336">
        <v>11126791</v>
      </c>
      <c r="ND52" s="336">
        <v>7951917</v>
      </c>
      <c r="NE52" s="336">
        <v>0</v>
      </c>
      <c r="NF52" s="336">
        <v>20434</v>
      </c>
      <c r="NG52" s="336">
        <v>0</v>
      </c>
      <c r="NH52" s="336">
        <v>0</v>
      </c>
      <c r="NI52" s="336">
        <v>10683143</v>
      </c>
      <c r="NJ52" s="336">
        <v>0</v>
      </c>
      <c r="NK52" s="336">
        <v>0</v>
      </c>
      <c r="NL52" s="336">
        <v>2944202</v>
      </c>
      <c r="NM52" s="336">
        <v>975986</v>
      </c>
      <c r="NN52" s="336">
        <v>0</v>
      </c>
      <c r="NO52" s="336">
        <v>6764504</v>
      </c>
      <c r="NP52" s="336">
        <v>0</v>
      </c>
      <c r="NQ52" s="336">
        <v>0</v>
      </c>
      <c r="NR52" s="336">
        <v>0</v>
      </c>
      <c r="NS52" s="336">
        <v>0</v>
      </c>
      <c r="NT52" s="336">
        <v>0</v>
      </c>
      <c r="NU52" s="336">
        <v>0</v>
      </c>
      <c r="NV52" s="336">
        <v>22051</v>
      </c>
      <c r="NW52" s="336">
        <v>25472858</v>
      </c>
      <c r="NX52" s="336">
        <v>124841</v>
      </c>
      <c r="NY52" s="336">
        <v>0</v>
      </c>
      <c r="NZ52" s="336">
        <v>0</v>
      </c>
      <c r="OA52" s="336">
        <v>0</v>
      </c>
      <c r="OB52" s="336">
        <v>0</v>
      </c>
      <c r="OC52" s="336">
        <v>0</v>
      </c>
      <c r="OD52" s="336">
        <v>6445</v>
      </c>
      <c r="OE52" s="336">
        <v>117212</v>
      </c>
      <c r="OF52" s="336">
        <v>207249</v>
      </c>
      <c r="OG52" s="336">
        <v>435632</v>
      </c>
      <c r="OH52" s="336">
        <v>0</v>
      </c>
      <c r="OI52" s="336">
        <v>0</v>
      </c>
      <c r="OJ52" s="336">
        <v>0</v>
      </c>
      <c r="OK52" s="336">
        <v>0</v>
      </c>
      <c r="OL52" s="336">
        <v>0</v>
      </c>
      <c r="OM52" s="336">
        <v>0</v>
      </c>
      <c r="ON52" s="336">
        <v>26834</v>
      </c>
      <c r="OO52" s="336">
        <v>0</v>
      </c>
      <c r="OP52" s="336">
        <v>6400</v>
      </c>
      <c r="OQ52" s="336">
        <v>0</v>
      </c>
      <c r="OR52" s="336">
        <v>0</v>
      </c>
      <c r="OS52" s="336">
        <v>12064</v>
      </c>
      <c r="OT52" s="336">
        <v>4250</v>
      </c>
      <c r="OU52" s="336">
        <v>0</v>
      </c>
      <c r="OV52" s="336">
        <v>0</v>
      </c>
      <c r="OW52" s="336">
        <v>0</v>
      </c>
      <c r="OX52" s="336">
        <v>0</v>
      </c>
      <c r="OY52" s="336">
        <v>0</v>
      </c>
      <c r="OZ52" s="336">
        <v>0</v>
      </c>
      <c r="PA52" s="336">
        <v>0</v>
      </c>
      <c r="PB52" s="336">
        <v>-53550075</v>
      </c>
      <c r="PC52" s="336">
        <v>0</v>
      </c>
      <c r="PD52" s="336">
        <v>0</v>
      </c>
      <c r="PE52" s="336">
        <v>-17646087</v>
      </c>
      <c r="PF52" s="336">
        <v>20086869</v>
      </c>
      <c r="PG52" s="336">
        <v>6187566</v>
      </c>
      <c r="PH52" s="336">
        <v>-46031094</v>
      </c>
      <c r="PI52" s="336">
        <v>238322</v>
      </c>
      <c r="PJ52" s="336">
        <v>147873</v>
      </c>
      <c r="PK52" s="336">
        <v>10281938</v>
      </c>
      <c r="PL52" s="336">
        <v>28140356</v>
      </c>
      <c r="PM52" s="336">
        <v>0</v>
      </c>
      <c r="PN52" s="336">
        <v>0</v>
      </c>
      <c r="PO52" s="336">
        <v>0</v>
      </c>
      <c r="PP52" s="336">
        <v>0</v>
      </c>
      <c r="PQ52" s="336">
        <v>0</v>
      </c>
      <c r="PR52" s="336">
        <v>0</v>
      </c>
      <c r="PS52" s="336">
        <v>0</v>
      </c>
      <c r="PT52" s="336">
        <v>0</v>
      </c>
      <c r="PU52" s="336">
        <v>0</v>
      </c>
      <c r="PV52" s="336">
        <v>0</v>
      </c>
      <c r="PW52" s="336">
        <v>0</v>
      </c>
      <c r="PX52" s="336">
        <v>0</v>
      </c>
      <c r="PY52" s="336">
        <v>0</v>
      </c>
      <c r="PZ52" s="336">
        <v>0</v>
      </c>
      <c r="QA52" s="336">
        <v>0</v>
      </c>
      <c r="QB52" s="336">
        <v>0</v>
      </c>
      <c r="QC52" s="336">
        <v>0</v>
      </c>
      <c r="QD52" s="336">
        <v>-26565260</v>
      </c>
      <c r="QE52" s="336">
        <v>0</v>
      </c>
      <c r="QF52" s="336">
        <v>0</v>
      </c>
      <c r="QG52" s="336">
        <v>24266140</v>
      </c>
      <c r="QH52" s="336">
        <v>0</v>
      </c>
      <c r="QI52" s="336">
        <v>0</v>
      </c>
      <c r="QJ52" s="336">
        <v>0</v>
      </c>
      <c r="QK52" s="336">
        <v>1232582</v>
      </c>
      <c r="QL52" s="336">
        <v>0</v>
      </c>
      <c r="QM52" s="336">
        <v>0</v>
      </c>
      <c r="QN52" s="336">
        <v>0</v>
      </c>
      <c r="QO52" s="336">
        <v>0</v>
      </c>
      <c r="QP52" s="336">
        <v>0</v>
      </c>
      <c r="QQ52" s="336">
        <v>0</v>
      </c>
      <c r="QR52" s="336">
        <v>0</v>
      </c>
      <c r="QS52" s="336">
        <v>0</v>
      </c>
      <c r="QT52" s="336">
        <v>59393</v>
      </c>
      <c r="QU52" s="336">
        <v>0</v>
      </c>
      <c r="QV52" s="336">
        <v>0</v>
      </c>
      <c r="QW52" s="336">
        <v>0</v>
      </c>
      <c r="QX52" s="336">
        <v>0</v>
      </c>
      <c r="QY52" s="336">
        <v>0</v>
      </c>
      <c r="QZ52" s="336">
        <v>0</v>
      </c>
      <c r="RA52" s="336">
        <v>0</v>
      </c>
      <c r="RB52" s="336">
        <v>0</v>
      </c>
      <c r="RC52" s="336">
        <v>0</v>
      </c>
      <c r="RD52" s="336">
        <v>0</v>
      </c>
      <c r="RE52" s="336">
        <v>16750000</v>
      </c>
      <c r="RF52" s="336">
        <v>0</v>
      </c>
      <c r="RG52" s="336">
        <v>0</v>
      </c>
      <c r="RH52" s="336">
        <v>0</v>
      </c>
      <c r="RI52" s="336">
        <v>0</v>
      </c>
      <c r="RJ52" s="336">
        <v>0</v>
      </c>
      <c r="RK52" s="336">
        <v>0</v>
      </c>
      <c r="RL52" s="336">
        <v>0</v>
      </c>
      <c r="RM52" s="336">
        <v>0</v>
      </c>
      <c r="RN52" s="336">
        <v>0</v>
      </c>
      <c r="RO52" s="336">
        <v>-23222183</v>
      </c>
      <c r="RP52" s="336">
        <v>0</v>
      </c>
      <c r="RQ52" s="336">
        <v>0</v>
      </c>
      <c r="RR52" s="336">
        <v>0</v>
      </c>
      <c r="RS52" s="336">
        <v>0</v>
      </c>
      <c r="RT52" s="336">
        <v>0</v>
      </c>
      <c r="RU52" s="336">
        <v>0</v>
      </c>
      <c r="RV52" s="336">
        <v>0</v>
      </c>
      <c r="RW52" s="336">
        <v>0</v>
      </c>
      <c r="RX52" s="336">
        <v>0</v>
      </c>
      <c r="RY52" s="336">
        <v>0</v>
      </c>
      <c r="RZ52" s="336">
        <v>0</v>
      </c>
      <c r="SA52" s="336">
        <v>0</v>
      </c>
      <c r="SB52" s="336">
        <v>0</v>
      </c>
      <c r="SC52" s="336">
        <v>0</v>
      </c>
      <c r="SD52" s="336">
        <v>0</v>
      </c>
      <c r="SE52" s="336">
        <v>0</v>
      </c>
      <c r="SF52" s="336">
        <v>0</v>
      </c>
      <c r="SG52" s="336">
        <v>0</v>
      </c>
      <c r="SH52" s="336">
        <v>0</v>
      </c>
      <c r="SI52" s="336">
        <v>0</v>
      </c>
      <c r="SJ52" s="336">
        <v>0</v>
      </c>
      <c r="SK52" s="336">
        <v>0</v>
      </c>
      <c r="SL52" s="336">
        <v>0</v>
      </c>
      <c r="SM52" s="336">
        <v>0</v>
      </c>
      <c r="SN52" s="336">
        <v>0</v>
      </c>
      <c r="SO52" s="336">
        <v>0</v>
      </c>
      <c r="SP52" s="336">
        <v>0</v>
      </c>
      <c r="SQ52" s="336">
        <v>6445</v>
      </c>
      <c r="SR52" s="336">
        <v>117212</v>
      </c>
      <c r="SS52" s="336">
        <v>207249</v>
      </c>
      <c r="ST52" s="336">
        <v>435632</v>
      </c>
      <c r="SU52" s="336">
        <v>0</v>
      </c>
      <c r="SV52" s="336">
        <v>0</v>
      </c>
      <c r="SW52" s="336">
        <v>53550075</v>
      </c>
      <c r="SX52" s="336">
        <v>0</v>
      </c>
      <c r="SY52" s="336">
        <v>0</v>
      </c>
      <c r="SZ52" s="336" t="s">
        <v>1420</v>
      </c>
      <c r="TA52" s="336" t="s">
        <v>1420</v>
      </c>
      <c r="TB52" s="336" t="s">
        <v>1420</v>
      </c>
      <c r="TC52" s="336">
        <v>306276</v>
      </c>
      <c r="TD52" s="336">
        <v>110226</v>
      </c>
      <c r="TE52" s="336">
        <v>0</v>
      </c>
      <c r="TF52" s="336">
        <v>0</v>
      </c>
      <c r="TG52" s="336">
        <v>73830</v>
      </c>
      <c r="TH52" s="336">
        <v>4595</v>
      </c>
      <c r="TI52" s="336">
        <v>13444</v>
      </c>
      <c r="TJ52" s="336">
        <v>35918</v>
      </c>
      <c r="TK52" s="336">
        <v>0</v>
      </c>
      <c r="TL52" s="336">
        <v>222249</v>
      </c>
      <c r="TM52" s="336">
        <v>0</v>
      </c>
      <c r="TN52" s="336">
        <v>0</v>
      </c>
      <c r="TO52" s="336">
        <v>0</v>
      </c>
      <c r="TP52" s="336">
        <v>0</v>
      </c>
      <c r="TQ52" s="336">
        <v>0</v>
      </c>
      <c r="TR52" s="336">
        <v>0</v>
      </c>
      <c r="TS52" s="336">
        <v>0</v>
      </c>
      <c r="TT52" s="336">
        <v>0</v>
      </c>
      <c r="TU52" s="336">
        <v>0</v>
      </c>
      <c r="TV52" s="336">
        <v>0</v>
      </c>
      <c r="TW52" s="336">
        <v>0</v>
      </c>
      <c r="TX52" s="336">
        <v>0</v>
      </c>
      <c r="TY52" s="336">
        <v>0</v>
      </c>
      <c r="TZ52" s="336">
        <v>0</v>
      </c>
      <c r="UA52" s="336">
        <v>0</v>
      </c>
      <c r="UB52" s="336">
        <v>0</v>
      </c>
      <c r="UC52" s="336">
        <v>0</v>
      </c>
      <c r="UD52" s="336">
        <v>0</v>
      </c>
      <c r="UE52" s="336">
        <v>0</v>
      </c>
      <c r="UF52" s="336">
        <v>0</v>
      </c>
      <c r="UG52" s="336">
        <v>0</v>
      </c>
      <c r="UH52" s="336">
        <v>90473125</v>
      </c>
      <c r="UI52" s="336">
        <v>6533590</v>
      </c>
      <c r="UJ52" s="336">
        <v>677087</v>
      </c>
      <c r="UK52" s="336">
        <v>0</v>
      </c>
      <c r="UL52" s="336">
        <v>29326205</v>
      </c>
      <c r="UM52" s="336">
        <v>16204505</v>
      </c>
      <c r="UN52" s="336">
        <v>40411366</v>
      </c>
      <c r="UO52" s="336">
        <v>29782285</v>
      </c>
      <c r="UP52" s="336">
        <v>10684692</v>
      </c>
      <c r="UQ52" s="336">
        <v>25619750</v>
      </c>
      <c r="UR52"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766538</v>
      </c>
      <c r="US52" s="338">
        <f>SUM(Input[[#This Row],[Oth Exp E&amp;G]],Input[[#This Row],[Oth Exp Desg]],Input[[#This Row],[Oth Exp Aux]],Input[[#This Row],[Oth Exp R Exp]],Input[[#This Row],[Oth Exp Loan]],Input[[#This Row],[Oth Exp Annuity]],Input[[#This Row],[Oth Exp Unexp]],Input[[#This Row],[Oth Exp R of Ind]],Input[[#This Row],[Oth Exp Inv in P]])</f>
        <v>49548</v>
      </c>
      <c r="UT52" s="336">
        <v>0</v>
      </c>
      <c r="UU52" s="336">
        <v>0</v>
      </c>
      <c r="UV52" s="339" t="s">
        <v>1513</v>
      </c>
      <c r="UW52" s="340">
        <v>9408983534</v>
      </c>
      <c r="UX52" s="339" t="s">
        <v>1514</v>
      </c>
      <c r="UY52" s="339" t="s">
        <v>1515</v>
      </c>
      <c r="UZ52" s="340">
        <v>9408983543</v>
      </c>
      <c r="VA52" s="339" t="s">
        <v>1516</v>
      </c>
      <c r="VB52" s="341" cm="1">
        <f t="array" ref="VB52">IFERROR(_xlfn.IFS(Input[[#This Row],[Type]]="HRI",VLOOKUP(Input[[#This Row],[Institution Name]],FTSEHRI[],9,FALSE),Input[[#This Row],[Type]]="UNIV",VLOOKUP(Input[[#This Row],[Institution Name]],FTSEUNIV[],9,FALSE),OR(Input[[#This Row],[Type]]="TSTC",Input[[#This Row],[Type]]="LSC"),VLOOKUP(Input[[#This Row],[Institution Name]],FTSETSTC[],8,FALSE)),"N/A")</f>
        <v>12346.25</v>
      </c>
      <c r="VC52" s="342" t="str" cm="1">
        <f t="array" ref="VC52">IFERROR(_xlfn.IFS(Input[[#This Row],[Type]]="HRI",VLOOKUP(Input[[#This Row],[Institution Name]],FTSEHRI[],11,FALSE),Input[[#This Row],[Type]]="UNIV",VLOOKUP(Input[[#This Row],[Institution Name]],FTSEUNIV[],11,FALSE),Input[[#This Row],[Type]]="TSTC",VLOOKUP(Input[[#This Row],[Institution Name]],FTSETSTC[],10,FALSE)),"N/A")</f>
        <v>N/A</v>
      </c>
      <c r="VD52"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111410322</v>
      </c>
      <c r="VE52"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14993229</v>
      </c>
      <c r="VF52" s="338">
        <f>SUM(Input[[#This Row],[Fed G&amp;C E&amp;G]],Input[[#This Row],[Fed G&amp;C Desg]],Input[[#This Row],[Fed G&amp;C R Exp]],Input[[#This Row],[Fed G&amp;C Loan]],Input[[#This Row],[Fed G&amp;C Annuity]],Input[[#This Row],[Fed G&amp;C Unexp]],Input[[#This Row],[Fed G&amp;C R of Ind]],Input[[#This Row],[Fed G&amp;C Inv in P]])</f>
        <v>38254113</v>
      </c>
      <c r="VG52"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38453182</v>
      </c>
      <c r="VH52"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110817072</v>
      </c>
      <c r="VI52"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-27742653</v>
      </c>
      <c r="VJ52" s="338">
        <f>SUM(Input[[#This Row],[Oth Inc E&amp;G]],Input[[#This Row],[Oth Exp Desg]],Input[[#This Row],[Oth Exp R Exp]],Input[[#This Row],[Oth Exp Loan]],Input[[#This Row],[Oth Exp Annuity]],Input[[#This Row],[Oth Exp Unexp]],Input[[#This Row],[Oth Exp R of Ind]],Input[[#This Row],[Oth Exp Inv in P]])</f>
        <v>80693</v>
      </c>
      <c r="VK52" s="343">
        <f>SUM(Input[[#This Row],[Instr E&amp;G]],Input[[#This Row],[Instr Desg]],Input[[#This Row],[Instr R Exp]],Input[[#This Row],[Instr Loan]],Input[[#This Row],[Instr Annuity]],Input[[#This Row],[Instr Unexp]],Input[[#This Row],[Instr R of Ind]],Input[[#This Row],[Instr Inv in P]])</f>
        <v>90473125</v>
      </c>
      <c r="VL52" s="343">
        <f>SUM(Input[[#This Row],[Res E&amp;G]],Input[[#This Row],[Res Desg]],Input[[#This Row],[Res R Exp]],Input[[#This Row],[Res Loan]],Input[[#This Row],[Res Annuity]],Input[[#This Row],[Res Unexp]],Input[[#This Row],[Res R of Ind]],Input[[#This Row],[Res Inv in P]])</f>
        <v>6533590</v>
      </c>
      <c r="VM52" s="343">
        <f>SUM(Input[[#This Row],[Acad Sup E&amp;G]],Input[[#This Row],[Acad Sup Desg]],Input[[#This Row],[Acad Sup R Exp]],Input[[#This Row],[Acad Sup Loan]],Input[[#This Row],[Acad Sup Annuity]],Input[[#This Row],[Acad Sup Unexp]],Input[[#This Row],[Acad Sup R of Ind]],Input[[#This Row],[Acad Sup Inv in P]])</f>
        <v>29326205</v>
      </c>
      <c r="VN52" s="343">
        <f>SUM(Input[[#This Row],[Stu Svc E&amp;G]],Input[[#This Row],[Stu Svc Desg]],Input[[#This Row],[Stu Svc R Exp]],Input[[#This Row],[Stu Svc Loan]],Input[[#This Row],[Stu Svc Annuity]],Input[[#This Row],[Stu Svc Unexp]],Input[[#This Row],[Stu Svc R of Ind]],Input[[#This Row],[Stu Svc Inv in P]])</f>
        <v>16204505</v>
      </c>
      <c r="VO52" s="343">
        <f>SUM(Input[[#This Row],[Inst. Spt E&amp;G]],Input[[#This Row],[Inst. Spt Desg]],Input[[#This Row],[Inst. Spt R Exp]],Input[[#This Row],[Inst. Spt Loan]],Input[[#This Row],[Inst. Spt Annuity]],Input[[#This Row],[Inst. Spt Unexp]],Input[[#This Row],[Inst. Spt R of Ind]],Input[[#This Row],[Inst. Spt Inv in P]])</f>
        <v>40411366</v>
      </c>
      <c r="VP52" s="343">
        <f>SUM(Input[[#This Row],[M&amp;O Plnt E&amp;G]],Input[[#This Row],[M&amp;O Plnt Desg]],Input[[#This Row],[M&amp;O Plnt R Exp]],Input[[#This Row],[M&amp;O Plnt Loan]],Input[[#This Row],[M&amp;O Plnt Annuity]],Input[[#This Row],[M&amp;O Plnt Unexp]],Input[[#This Row],[M&amp;O Plnt R of Ind]],Input[[#This Row],[M&amp;O Plnt Inv in P]])</f>
        <v>29782285</v>
      </c>
      <c r="VQ52" s="343">
        <f>SUM(Input[[#This Row],[Schl &amp; Fell E&amp;G]],Input[[#This Row],[Schl &amp; Fell Desg]],Input[[#This Row],[Schl &amp; Fell R Exp]],Input[[#This Row],[Schl &amp; Fell Loan]],Input[[#This Row],[Schl &amp; Fell Annuity]],Input[[#This Row],[Schl &amp; Fell Unexp]],Input[[#This Row],[Schl &amp; Fell R of Ind]],Input[[#This Row],[Schl &amp; Fell Inv in P]])</f>
        <v>10684692</v>
      </c>
      <c r="VR52" s="343">
        <f>SUM(Input[[#This Row],[Cap Out fund E&amp;G]],Input[[#This Row],[Cap Out fund Desg]],Input[[#This Row],[Cap Out fund R Exp]],Input[[#This Row],[Cap Out fund Loan]],Input[[#This Row],[Cap Out fund Annuity]],Input[[#This Row],[Cap Out fund Unexp]],Input[[#This Row],[Cap Out fund R of Ind]],Input[[#This Row],[Cap Out fund Inv in P]])</f>
        <v>559289</v>
      </c>
      <c r="VS52" s="343">
        <f>SUM(Input[[#This Row],[Oth Exp E&amp;G]],Input[[#This Row],[Oth Exp Desg]],Input[[#This Row],[Oth Exp R Exp]],Input[[#This Row],[Oth Exp Loan]],Input[[#This Row],[Oth Exp Annuity]],Input[[#This Row],[Oth Exp Unexp]],Input[[#This Row],[Oth Exp R of Ind]],Input[[#This Row],[Oth Exp Inv in P]],Input[[#This Row],[Oth Exp Inv in P]])</f>
        <v>49548</v>
      </c>
    </row>
    <row r="53" spans="1:591" s="344" customFormat="1" ht="27" customHeight="1" x14ac:dyDescent="0.55000000000000004">
      <c r="A53" s="339" t="s">
        <v>58</v>
      </c>
      <c r="B53" s="334" t="s">
        <v>829</v>
      </c>
      <c r="C53" s="334" t="s">
        <v>21</v>
      </c>
      <c r="D53" s="334">
        <v>40</v>
      </c>
      <c r="E53" s="334" t="s">
        <v>1622</v>
      </c>
      <c r="F53" s="335">
        <v>3656</v>
      </c>
      <c r="G53" s="336">
        <v>187560730</v>
      </c>
      <c r="H53" s="336">
        <v>0</v>
      </c>
      <c r="I53" s="336">
        <v>0</v>
      </c>
      <c r="J53" s="336">
        <v>0</v>
      </c>
      <c r="K53" s="336">
        <v>0</v>
      </c>
      <c r="L53" s="336">
        <v>0</v>
      </c>
      <c r="M53" s="336">
        <v>0</v>
      </c>
      <c r="N53" s="336">
        <v>0</v>
      </c>
      <c r="O53" s="336">
        <v>0</v>
      </c>
      <c r="P53" s="336">
        <v>23375412</v>
      </c>
      <c r="Q53" s="336">
        <v>548337</v>
      </c>
      <c r="R53" s="336">
        <v>0</v>
      </c>
      <c r="S53" s="336">
        <v>3640843</v>
      </c>
      <c r="T53" s="336">
        <v>0</v>
      </c>
      <c r="U53" s="336">
        <v>0</v>
      </c>
      <c r="V53" s="336">
        <v>0</v>
      </c>
      <c r="W53" s="336">
        <v>0</v>
      </c>
      <c r="X53" s="336">
        <v>0</v>
      </c>
      <c r="Y53" s="336">
        <v>0</v>
      </c>
      <c r="Z53" s="336">
        <v>0</v>
      </c>
      <c r="AA53" s="336">
        <v>0</v>
      </c>
      <c r="AB53" s="336">
        <v>0</v>
      </c>
      <c r="AC53" s="336">
        <v>0</v>
      </c>
      <c r="AD53" s="336">
        <v>0</v>
      </c>
      <c r="AE53" s="336">
        <v>0</v>
      </c>
      <c r="AF53" s="336">
        <v>0</v>
      </c>
      <c r="AG53" s="336">
        <v>0</v>
      </c>
      <c r="AH53" s="336">
        <v>0</v>
      </c>
      <c r="AI53" s="336">
        <v>0</v>
      </c>
      <c r="AJ53" s="336">
        <v>0</v>
      </c>
      <c r="AK53" s="336">
        <v>0</v>
      </c>
      <c r="AL53" s="336">
        <v>0</v>
      </c>
      <c r="AM53" s="336">
        <v>0</v>
      </c>
      <c r="AN53" s="336">
        <v>0</v>
      </c>
      <c r="AO53" s="336">
        <v>0</v>
      </c>
      <c r="AP53" s="336">
        <v>0</v>
      </c>
      <c r="AQ53" s="336">
        <v>-25708128</v>
      </c>
      <c r="AR53" s="336">
        <v>0</v>
      </c>
      <c r="AS53" s="336">
        <v>0</v>
      </c>
      <c r="AT53" s="336">
        <v>0</v>
      </c>
      <c r="AU53" s="336">
        <v>0</v>
      </c>
      <c r="AV53" s="336">
        <v>0</v>
      </c>
      <c r="AW53" s="336">
        <v>0</v>
      </c>
      <c r="AX53" s="336">
        <v>0</v>
      </c>
      <c r="AY53" s="336">
        <v>0</v>
      </c>
      <c r="AZ53" s="336">
        <v>0</v>
      </c>
      <c r="BA53" s="336">
        <v>-4641788</v>
      </c>
      <c r="BB53" s="336">
        <v>0</v>
      </c>
      <c r="BC53" s="336">
        <v>0</v>
      </c>
      <c r="BD53" s="336">
        <v>0</v>
      </c>
      <c r="BE53" s="336">
        <v>0</v>
      </c>
      <c r="BF53" s="336">
        <v>0</v>
      </c>
      <c r="BG53" s="336">
        <v>0</v>
      </c>
      <c r="BH53" s="336">
        <v>0</v>
      </c>
      <c r="BI53" s="336">
        <v>0</v>
      </c>
      <c r="BJ53" s="336">
        <v>0</v>
      </c>
      <c r="BK53" s="336">
        <v>0</v>
      </c>
      <c r="BL53" s="336">
        <v>0</v>
      </c>
      <c r="BM53" s="336">
        <v>0</v>
      </c>
      <c r="BN53" s="336">
        <v>0</v>
      </c>
      <c r="BO53" s="336">
        <v>0</v>
      </c>
      <c r="BP53" s="336">
        <v>0</v>
      </c>
      <c r="BQ53" s="336">
        <v>0</v>
      </c>
      <c r="BR53" s="336">
        <v>0</v>
      </c>
      <c r="BS53" s="336">
        <v>0</v>
      </c>
      <c r="BT53" s="336">
        <v>0</v>
      </c>
      <c r="BU53" s="336">
        <v>0</v>
      </c>
      <c r="BV53" s="336">
        <v>0</v>
      </c>
      <c r="BW53" s="336">
        <v>0</v>
      </c>
      <c r="BX53" s="336">
        <v>0</v>
      </c>
      <c r="BY53" s="336">
        <v>0</v>
      </c>
      <c r="BZ53" s="336">
        <v>0</v>
      </c>
      <c r="CA53" s="336">
        <v>98699545</v>
      </c>
      <c r="CB53" s="336">
        <v>295340681</v>
      </c>
      <c r="CC53" s="336">
        <v>0</v>
      </c>
      <c r="CD53" s="336">
        <v>0</v>
      </c>
      <c r="CE53" s="336">
        <v>0</v>
      </c>
      <c r="CF53" s="336">
        <v>0</v>
      </c>
      <c r="CG53" s="336">
        <v>0</v>
      </c>
      <c r="CH53" s="336">
        <v>0</v>
      </c>
      <c r="CI53" s="336">
        <v>0</v>
      </c>
      <c r="CJ53" s="336">
        <v>0</v>
      </c>
      <c r="CK53" s="336">
        <v>0</v>
      </c>
      <c r="CL53" s="336">
        <v>0</v>
      </c>
      <c r="CM53" s="336">
        <v>0</v>
      </c>
      <c r="CN53" s="336">
        <v>0</v>
      </c>
      <c r="CO53" s="336">
        <v>0</v>
      </c>
      <c r="CP53" s="336">
        <v>0</v>
      </c>
      <c r="CQ53" s="336">
        <v>0</v>
      </c>
      <c r="CR53" s="336">
        <v>0</v>
      </c>
      <c r="CS53" s="336">
        <v>0</v>
      </c>
      <c r="CT53" s="336">
        <v>0</v>
      </c>
      <c r="CU53" s="336">
        <v>0</v>
      </c>
      <c r="CV53" s="336">
        <v>0</v>
      </c>
      <c r="CW53" s="336">
        <v>0</v>
      </c>
      <c r="CX53" s="336">
        <v>0</v>
      </c>
      <c r="CY53" s="336">
        <v>0</v>
      </c>
      <c r="CZ53" s="336">
        <v>0</v>
      </c>
      <c r="DA53" s="336">
        <v>0</v>
      </c>
      <c r="DB53" s="336">
        <v>-10449099</v>
      </c>
      <c r="DC53" s="336">
        <v>0</v>
      </c>
      <c r="DD53" s="336">
        <v>0</v>
      </c>
      <c r="DE53" s="336">
        <v>0</v>
      </c>
      <c r="DF53" s="336">
        <v>0</v>
      </c>
      <c r="DG53" s="336">
        <v>0</v>
      </c>
      <c r="DH53" s="336">
        <v>0</v>
      </c>
      <c r="DI53" s="336">
        <v>0</v>
      </c>
      <c r="DJ53" s="336">
        <v>0</v>
      </c>
      <c r="DK53" s="336">
        <v>0</v>
      </c>
      <c r="DL53" s="336">
        <v>-1886643</v>
      </c>
      <c r="DM53" s="336">
        <v>0</v>
      </c>
      <c r="DN53" s="336">
        <v>0</v>
      </c>
      <c r="DO53" s="336">
        <v>0</v>
      </c>
      <c r="DP53" s="336">
        <v>0</v>
      </c>
      <c r="DQ53" s="336">
        <v>0</v>
      </c>
      <c r="DR53" s="336">
        <v>0</v>
      </c>
      <c r="DS53" s="336">
        <v>0</v>
      </c>
      <c r="DT53" s="336">
        <v>-21673698</v>
      </c>
      <c r="DU53" s="336">
        <v>-94235066</v>
      </c>
      <c r="DV53" s="336">
        <v>0</v>
      </c>
      <c r="DW53" s="336">
        <v>0</v>
      </c>
      <c r="DX53" s="336">
        <v>0</v>
      </c>
      <c r="DY53" s="336">
        <v>0</v>
      </c>
      <c r="DZ53" s="336">
        <v>0</v>
      </c>
      <c r="EA53" s="336">
        <v>0</v>
      </c>
      <c r="EB53" s="336">
        <v>0</v>
      </c>
      <c r="EC53" s="336">
        <v>-236</v>
      </c>
      <c r="ED53" s="336">
        <v>0</v>
      </c>
      <c r="EE53" s="336">
        <v>0</v>
      </c>
      <c r="EF53" s="336">
        <v>0</v>
      </c>
      <c r="EG53" s="336">
        <v>0</v>
      </c>
      <c r="EH53" s="336">
        <v>0</v>
      </c>
      <c r="EI53" s="336">
        <v>0</v>
      </c>
      <c r="EJ53" s="336">
        <v>0</v>
      </c>
      <c r="EK53" s="336">
        <v>0</v>
      </c>
      <c r="EL53" s="336">
        <v>0</v>
      </c>
      <c r="EM53" s="336">
        <v>-1428242</v>
      </c>
      <c r="EN53" s="336">
        <v>-3927667</v>
      </c>
      <c r="EO53" s="336">
        <v>0</v>
      </c>
      <c r="EP53" s="336">
        <v>0</v>
      </c>
      <c r="EQ53" s="336">
        <v>0</v>
      </c>
      <c r="ER53" s="336">
        <v>0</v>
      </c>
      <c r="ES53" s="336">
        <v>0</v>
      </c>
      <c r="ET53" s="336">
        <v>0</v>
      </c>
      <c r="EU53" s="336">
        <v>0</v>
      </c>
      <c r="EV53" s="336">
        <v>0</v>
      </c>
      <c r="EW53" s="336">
        <v>0</v>
      </c>
      <c r="EX53" s="336">
        <v>0</v>
      </c>
      <c r="EY53" s="336">
        <v>0</v>
      </c>
      <c r="EZ53" s="336">
        <v>0</v>
      </c>
      <c r="FA53" s="336">
        <v>0</v>
      </c>
      <c r="FB53" s="336">
        <v>0</v>
      </c>
      <c r="FC53" s="336">
        <v>0</v>
      </c>
      <c r="FD53" s="336">
        <v>0</v>
      </c>
      <c r="FE53" s="336">
        <v>0</v>
      </c>
      <c r="FF53" s="336">
        <v>0</v>
      </c>
      <c r="FG53" s="336">
        <v>0</v>
      </c>
      <c r="FH53" s="336">
        <v>0</v>
      </c>
      <c r="FI53" s="336">
        <v>0</v>
      </c>
      <c r="FJ53" s="336">
        <v>0</v>
      </c>
      <c r="FK53" s="336">
        <v>0</v>
      </c>
      <c r="FL53" s="336">
        <v>0</v>
      </c>
      <c r="FM53" s="336">
        <v>905</v>
      </c>
      <c r="FN53" s="336">
        <v>114035693</v>
      </c>
      <c r="FO53" s="336">
        <v>21523304</v>
      </c>
      <c r="FP53" s="336">
        <v>0</v>
      </c>
      <c r="FQ53" s="336">
        <v>0</v>
      </c>
      <c r="FR53" s="336">
        <v>0</v>
      </c>
      <c r="FS53" s="336">
        <v>0</v>
      </c>
      <c r="FT53" s="336">
        <v>0</v>
      </c>
      <c r="FU53" s="336">
        <v>0</v>
      </c>
      <c r="FV53" s="336">
        <v>0</v>
      </c>
      <c r="FW53" s="336">
        <v>0</v>
      </c>
      <c r="FX53" s="336">
        <v>0</v>
      </c>
      <c r="FY53" s="336">
        <v>0</v>
      </c>
      <c r="FZ53" s="336">
        <v>0</v>
      </c>
      <c r="GA53" s="336">
        <v>0</v>
      </c>
      <c r="GB53" s="336">
        <v>0</v>
      </c>
      <c r="GC53" s="336">
        <v>0</v>
      </c>
      <c r="GD53" s="336">
        <v>0</v>
      </c>
      <c r="GE53" s="336">
        <v>0</v>
      </c>
      <c r="GF53" s="336">
        <v>0</v>
      </c>
      <c r="GG53" s="336">
        <v>0</v>
      </c>
      <c r="GH53" s="336">
        <v>0</v>
      </c>
      <c r="GI53" s="336">
        <v>0</v>
      </c>
      <c r="GJ53" s="336">
        <v>0</v>
      </c>
      <c r="GK53" s="336">
        <v>0</v>
      </c>
      <c r="GL53" s="336">
        <v>0</v>
      </c>
      <c r="GM53" s="336">
        <v>0</v>
      </c>
      <c r="GN53" s="336">
        <v>0</v>
      </c>
      <c r="GO53" s="336">
        <v>0</v>
      </c>
      <c r="GP53" s="336">
        <v>0</v>
      </c>
      <c r="GQ53" s="336">
        <v>0</v>
      </c>
      <c r="GR53" s="336">
        <v>0</v>
      </c>
      <c r="GS53" s="336">
        <v>0</v>
      </c>
      <c r="GT53" s="336">
        <v>0</v>
      </c>
      <c r="GU53" s="336">
        <v>0</v>
      </c>
      <c r="GV53" s="336">
        <v>0</v>
      </c>
      <c r="GW53" s="336">
        <v>0</v>
      </c>
      <c r="GX53" s="336">
        <v>-580506</v>
      </c>
      <c r="GY53" s="336">
        <v>-1596390</v>
      </c>
      <c r="GZ53" s="336">
        <v>0</v>
      </c>
      <c r="HA53" s="336">
        <v>0</v>
      </c>
      <c r="HB53" s="336">
        <v>0</v>
      </c>
      <c r="HC53" s="336">
        <v>0</v>
      </c>
      <c r="HD53" s="336">
        <v>0</v>
      </c>
      <c r="HE53" s="336">
        <v>0</v>
      </c>
      <c r="HF53" s="336">
        <v>-295</v>
      </c>
      <c r="HG53" s="336">
        <v>-36533601</v>
      </c>
      <c r="HH53" s="336">
        <v>-5408594</v>
      </c>
      <c r="HI53" s="336">
        <v>0</v>
      </c>
      <c r="HJ53" s="336">
        <v>0</v>
      </c>
      <c r="HK53" s="336">
        <v>0</v>
      </c>
      <c r="HL53" s="336">
        <v>0</v>
      </c>
      <c r="HM53" s="336">
        <v>0</v>
      </c>
      <c r="HN53" s="336">
        <v>0</v>
      </c>
      <c r="HO53" s="336">
        <v>-79307</v>
      </c>
      <c r="HP53" s="336">
        <v>17594436</v>
      </c>
      <c r="HQ53" s="336">
        <v>0</v>
      </c>
      <c r="HR53" s="336">
        <v>155127031</v>
      </c>
      <c r="HS53" s="336">
        <v>0</v>
      </c>
      <c r="HT53" s="336">
        <v>0</v>
      </c>
      <c r="HU53" s="336">
        <v>0</v>
      </c>
      <c r="HV53" s="336">
        <v>0</v>
      </c>
      <c r="HW53" s="336">
        <v>0</v>
      </c>
      <c r="HX53" s="336">
        <v>0</v>
      </c>
      <c r="HY53" s="336">
        <v>0</v>
      </c>
      <c r="HZ53" s="336">
        <v>0</v>
      </c>
      <c r="IA53" s="336">
        <v>0</v>
      </c>
      <c r="IB53" s="336">
        <v>0</v>
      </c>
      <c r="IC53" s="336">
        <v>0</v>
      </c>
      <c r="ID53" s="336">
        <v>0</v>
      </c>
      <c r="IE53" s="336">
        <v>0</v>
      </c>
      <c r="IF53" s="336">
        <v>0</v>
      </c>
      <c r="IG53" s="336">
        <v>0</v>
      </c>
      <c r="IH53" s="336">
        <v>0</v>
      </c>
      <c r="II53" s="336">
        <v>0</v>
      </c>
      <c r="IJ53" s="336">
        <v>0</v>
      </c>
      <c r="IK53" s="336">
        <v>0</v>
      </c>
      <c r="IL53" s="336">
        <v>0</v>
      </c>
      <c r="IM53" s="336">
        <v>0</v>
      </c>
      <c r="IN53" s="336">
        <v>0</v>
      </c>
      <c r="IO53" s="336">
        <v>0</v>
      </c>
      <c r="IP53" s="336">
        <v>2215628</v>
      </c>
      <c r="IQ53" s="336">
        <v>33167606</v>
      </c>
      <c r="IR53" s="336">
        <v>550866</v>
      </c>
      <c r="IS53" s="336">
        <v>7620471</v>
      </c>
      <c r="IT53" s="336">
        <v>33830</v>
      </c>
      <c r="IU53" s="336">
        <v>460</v>
      </c>
      <c r="IV53" s="336">
        <v>2531484</v>
      </c>
      <c r="IW53" s="336">
        <v>0</v>
      </c>
      <c r="IX53" s="336">
        <v>0</v>
      </c>
      <c r="IY53" s="336">
        <v>0</v>
      </c>
      <c r="IZ53" s="336">
        <v>138731</v>
      </c>
      <c r="JA53" s="336">
        <v>0</v>
      </c>
      <c r="JB53" s="336">
        <v>733326</v>
      </c>
      <c r="JC53" s="336">
        <v>0</v>
      </c>
      <c r="JD53" s="336">
        <v>0</v>
      </c>
      <c r="JE53" s="336">
        <v>0</v>
      </c>
      <c r="JF53" s="336">
        <v>0</v>
      </c>
      <c r="JG53" s="336">
        <v>0</v>
      </c>
      <c r="JH53" s="336">
        <v>0</v>
      </c>
      <c r="JI53" s="336">
        <v>1611916</v>
      </c>
      <c r="JJ53" s="336">
        <v>0</v>
      </c>
      <c r="JK53" s="336">
        <v>26817814</v>
      </c>
      <c r="JL53" s="336">
        <v>0</v>
      </c>
      <c r="JM53" s="336">
        <v>0</v>
      </c>
      <c r="JN53" s="336">
        <v>709833</v>
      </c>
      <c r="JO53" s="336">
        <v>0</v>
      </c>
      <c r="JP53" s="336">
        <v>0</v>
      </c>
      <c r="JQ53" s="336">
        <v>80417</v>
      </c>
      <c r="JR53" s="336">
        <v>29733969</v>
      </c>
      <c r="JS53" s="336">
        <v>0</v>
      </c>
      <c r="JT53" s="336">
        <v>382608</v>
      </c>
      <c r="JU53" s="336">
        <v>0</v>
      </c>
      <c r="JV53" s="336">
        <v>0</v>
      </c>
      <c r="JW53" s="336">
        <v>0</v>
      </c>
      <c r="JX53" s="336">
        <v>0</v>
      </c>
      <c r="JY53" s="336">
        <v>0</v>
      </c>
      <c r="JZ53" s="336">
        <v>0</v>
      </c>
      <c r="KA53" s="336">
        <v>0</v>
      </c>
      <c r="KB53" s="336">
        <v>52989289</v>
      </c>
      <c r="KC53" s="336">
        <v>0</v>
      </c>
      <c r="KD53" s="336">
        <v>0</v>
      </c>
      <c r="KE53" s="336">
        <v>0</v>
      </c>
      <c r="KF53" s="336">
        <v>0</v>
      </c>
      <c r="KG53" s="336">
        <v>0</v>
      </c>
      <c r="KH53" s="336">
        <v>0</v>
      </c>
      <c r="KI53" s="336">
        <v>143625</v>
      </c>
      <c r="KJ53" s="336">
        <v>4942558</v>
      </c>
      <c r="KK53" s="336">
        <v>0</v>
      </c>
      <c r="KL53" s="336">
        <v>1475627</v>
      </c>
      <c r="KM53" s="336">
        <v>73910</v>
      </c>
      <c r="KN53" s="336">
        <v>0</v>
      </c>
      <c r="KO53" s="336">
        <v>721699</v>
      </c>
      <c r="KP53" s="336">
        <v>0</v>
      </c>
      <c r="KQ53" s="336">
        <v>1756252</v>
      </c>
      <c r="KR53" s="336">
        <v>128145494</v>
      </c>
      <c r="KS53" s="336">
        <v>107252498</v>
      </c>
      <c r="KT53" s="336">
        <v>0</v>
      </c>
      <c r="KU53" s="336">
        <v>6570420</v>
      </c>
      <c r="KV53" s="336">
        <v>0</v>
      </c>
      <c r="KW53" s="336">
        <v>0</v>
      </c>
      <c r="KX53" s="336">
        <v>0</v>
      </c>
      <c r="KY53" s="336">
        <v>0</v>
      </c>
      <c r="KZ53" s="336">
        <v>0</v>
      </c>
      <c r="LA53" s="336">
        <v>22917546</v>
      </c>
      <c r="LB53" s="336">
        <v>33867460</v>
      </c>
      <c r="LC53" s="336">
        <v>0</v>
      </c>
      <c r="LD53" s="336">
        <v>60948477</v>
      </c>
      <c r="LE53" s="336">
        <v>0</v>
      </c>
      <c r="LF53" s="336">
        <v>0</v>
      </c>
      <c r="LG53" s="336">
        <v>0</v>
      </c>
      <c r="LH53" s="336">
        <v>0</v>
      </c>
      <c r="LI53" s="336">
        <v>0</v>
      </c>
      <c r="LJ53" s="336">
        <v>5055711</v>
      </c>
      <c r="LK53" s="336">
        <v>1771550</v>
      </c>
      <c r="LL53" s="336">
        <v>0</v>
      </c>
      <c r="LM53" s="336">
        <v>18266921</v>
      </c>
      <c r="LN53" s="336">
        <v>0</v>
      </c>
      <c r="LO53" s="336">
        <v>0</v>
      </c>
      <c r="LP53" s="336">
        <v>0</v>
      </c>
      <c r="LQ53" s="336">
        <v>0</v>
      </c>
      <c r="LR53" s="336">
        <v>0</v>
      </c>
      <c r="LS53" s="336">
        <v>0</v>
      </c>
      <c r="LT53" s="336">
        <v>0</v>
      </c>
      <c r="LU53" s="336">
        <v>0</v>
      </c>
      <c r="LV53" s="336">
        <v>0</v>
      </c>
      <c r="LW53" s="336">
        <v>0</v>
      </c>
      <c r="LX53" s="336">
        <v>0</v>
      </c>
      <c r="LY53" s="336">
        <v>0</v>
      </c>
      <c r="LZ53" s="336">
        <v>0</v>
      </c>
      <c r="MA53" s="336">
        <v>0</v>
      </c>
      <c r="MB53" s="336">
        <v>25765583</v>
      </c>
      <c r="MC53" s="336">
        <v>32595755</v>
      </c>
      <c r="MD53" s="336">
        <v>0</v>
      </c>
      <c r="ME53" s="336">
        <v>777491</v>
      </c>
      <c r="MF53" s="336">
        <v>0</v>
      </c>
      <c r="MG53" s="336">
        <v>0</v>
      </c>
      <c r="MH53" s="336">
        <v>0</v>
      </c>
      <c r="MI53" s="336">
        <v>0</v>
      </c>
      <c r="MJ53" s="336">
        <v>0</v>
      </c>
      <c r="MK53" s="336">
        <v>12034205</v>
      </c>
      <c r="ML53" s="336">
        <v>74431855</v>
      </c>
      <c r="MM53" s="336">
        <v>0</v>
      </c>
      <c r="MN53" s="336">
        <v>647273</v>
      </c>
      <c r="MO53" s="336">
        <v>-110653</v>
      </c>
      <c r="MP53" s="336">
        <v>0</v>
      </c>
      <c r="MQ53" s="336">
        <v>0</v>
      </c>
      <c r="MR53" s="336">
        <v>0</v>
      </c>
      <c r="MS53" s="336">
        <v>0</v>
      </c>
      <c r="MT53" s="336">
        <v>34980591</v>
      </c>
      <c r="MU53" s="336">
        <v>26193376</v>
      </c>
      <c r="MV53" s="336">
        <v>0</v>
      </c>
      <c r="MW53" s="336">
        <v>390892</v>
      </c>
      <c r="MX53" s="336">
        <v>0</v>
      </c>
      <c r="MY53" s="336">
        <v>0</v>
      </c>
      <c r="MZ53" s="336">
        <v>0</v>
      </c>
      <c r="NA53" s="336">
        <v>0</v>
      </c>
      <c r="NB53" s="336">
        <v>0</v>
      </c>
      <c r="NC53" s="336">
        <v>28454656</v>
      </c>
      <c r="ND53" s="336">
        <v>13862924</v>
      </c>
      <c r="NE53" s="336">
        <v>0</v>
      </c>
      <c r="NF53" s="336">
        <v>23962</v>
      </c>
      <c r="NG53" s="336">
        <v>0</v>
      </c>
      <c r="NH53" s="336">
        <v>0</v>
      </c>
      <c r="NI53" s="336">
        <v>3840079</v>
      </c>
      <c r="NJ53" s="336">
        <v>0</v>
      </c>
      <c r="NK53" s="336">
        <v>0</v>
      </c>
      <c r="NL53" s="336">
        <v>7237805</v>
      </c>
      <c r="NM53" s="336">
        <v>29247968</v>
      </c>
      <c r="NN53" s="336">
        <v>0</v>
      </c>
      <c r="NO53" s="336">
        <v>29105399</v>
      </c>
      <c r="NP53" s="336">
        <v>0</v>
      </c>
      <c r="NQ53" s="336">
        <v>0</v>
      </c>
      <c r="NR53" s="336">
        <v>0</v>
      </c>
      <c r="NS53" s="336">
        <v>0</v>
      </c>
      <c r="NT53" s="336">
        <v>0</v>
      </c>
      <c r="NU53" s="336">
        <v>0</v>
      </c>
      <c r="NV53" s="336">
        <v>0</v>
      </c>
      <c r="NW53" s="336">
        <v>66334201</v>
      </c>
      <c r="NX53" s="336">
        <v>341531</v>
      </c>
      <c r="NY53" s="336">
        <v>0</v>
      </c>
      <c r="NZ53" s="336">
        <v>0</v>
      </c>
      <c r="OA53" s="336">
        <v>0</v>
      </c>
      <c r="OB53" s="336">
        <v>0</v>
      </c>
      <c r="OC53" s="336">
        <v>0</v>
      </c>
      <c r="OD53" s="336">
        <v>2827596</v>
      </c>
      <c r="OE53" s="336">
        <v>7108357</v>
      </c>
      <c r="OF53" s="336">
        <v>141338</v>
      </c>
      <c r="OG53" s="336">
        <v>5776689</v>
      </c>
      <c r="OH53" s="336">
        <v>0</v>
      </c>
      <c r="OI53" s="336">
        <v>0</v>
      </c>
      <c r="OJ53" s="336">
        <v>0</v>
      </c>
      <c r="OK53" s="336">
        <v>0</v>
      </c>
      <c r="OL53" s="336">
        <v>0</v>
      </c>
      <c r="OM53" s="336">
        <v>0</v>
      </c>
      <c r="ON53" s="336">
        <v>81017</v>
      </c>
      <c r="OO53" s="336">
        <v>456</v>
      </c>
      <c r="OP53" s="336">
        <v>0</v>
      </c>
      <c r="OQ53" s="336">
        <v>3048</v>
      </c>
      <c r="OR53" s="336">
        <v>0</v>
      </c>
      <c r="OS53" s="336">
        <v>0</v>
      </c>
      <c r="OT53" s="336">
        <v>0</v>
      </c>
      <c r="OU53" s="336">
        <v>68840</v>
      </c>
      <c r="OV53" s="336">
        <v>0</v>
      </c>
      <c r="OW53" s="336">
        <v>0</v>
      </c>
      <c r="OX53" s="336">
        <v>0</v>
      </c>
      <c r="OY53" s="336">
        <v>0</v>
      </c>
      <c r="OZ53" s="336">
        <v>0</v>
      </c>
      <c r="PA53" s="336">
        <v>0</v>
      </c>
      <c r="PB53" s="336">
        <v>-59650935</v>
      </c>
      <c r="PC53" s="336">
        <v>0</v>
      </c>
      <c r="PD53" s="336">
        <v>75504915</v>
      </c>
      <c r="PE53" s="336">
        <v>14954097</v>
      </c>
      <c r="PF53" s="336">
        <v>38164093</v>
      </c>
      <c r="PG53" s="336">
        <v>1759500</v>
      </c>
      <c r="PH53" s="336">
        <v>-71941646</v>
      </c>
      <c r="PI53" s="336">
        <v>0</v>
      </c>
      <c r="PJ53" s="336">
        <v>3301580</v>
      </c>
      <c r="PK53" s="336">
        <v>39423518</v>
      </c>
      <c r="PL53" s="336">
        <v>0</v>
      </c>
      <c r="PM53" s="336">
        <v>2854958</v>
      </c>
      <c r="PN53" s="336">
        <v>0</v>
      </c>
      <c r="PO53" s="336">
        <v>0</v>
      </c>
      <c r="PP53" s="336">
        <v>0</v>
      </c>
      <c r="PQ53" s="336">
        <v>0</v>
      </c>
      <c r="PR53" s="336">
        <v>0</v>
      </c>
      <c r="PS53" s="336">
        <v>0</v>
      </c>
      <c r="PT53" s="336">
        <v>66801087</v>
      </c>
      <c r="PU53" s="336">
        <v>0</v>
      </c>
      <c r="PV53" s="336">
        <v>0</v>
      </c>
      <c r="PW53" s="336">
        <v>-17396841</v>
      </c>
      <c r="PX53" s="336">
        <v>-3361507</v>
      </c>
      <c r="PY53" s="336">
        <v>-16781482</v>
      </c>
      <c r="PZ53" s="336">
        <v>0</v>
      </c>
      <c r="QA53" s="336">
        <v>0</v>
      </c>
      <c r="QB53" s="336">
        <v>0</v>
      </c>
      <c r="QC53" s="336">
        <v>0</v>
      </c>
      <c r="QD53" s="336">
        <v>0</v>
      </c>
      <c r="QE53" s="336">
        <v>0</v>
      </c>
      <c r="QF53" s="336">
        <v>0</v>
      </c>
      <c r="QG53" s="336">
        <v>57453196</v>
      </c>
      <c r="QH53" s="336">
        <v>832866</v>
      </c>
      <c r="QI53" s="336">
        <v>3931307</v>
      </c>
      <c r="QJ53" s="336">
        <v>91756</v>
      </c>
      <c r="QK53" s="336">
        <v>10194528</v>
      </c>
      <c r="QL53" s="336">
        <v>6866045</v>
      </c>
      <c r="QM53" s="336">
        <v>0</v>
      </c>
      <c r="QN53" s="336">
        <v>0</v>
      </c>
      <c r="QO53" s="336">
        <v>0</v>
      </c>
      <c r="QP53" s="336">
        <v>0</v>
      </c>
      <c r="QQ53" s="336">
        <v>0</v>
      </c>
      <c r="QR53" s="336">
        <v>0</v>
      </c>
      <c r="QS53" s="336">
        <v>0</v>
      </c>
      <c r="QT53" s="336">
        <v>3457704</v>
      </c>
      <c r="QU53" s="336">
        <v>0</v>
      </c>
      <c r="QV53" s="336">
        <v>0</v>
      </c>
      <c r="QW53" s="336">
        <v>0</v>
      </c>
      <c r="QX53" s="336">
        <v>0</v>
      </c>
      <c r="QY53" s="336">
        <v>0</v>
      </c>
      <c r="QZ53" s="336">
        <v>0</v>
      </c>
      <c r="RA53" s="336">
        <v>0</v>
      </c>
      <c r="RB53" s="336">
        <v>0</v>
      </c>
      <c r="RC53" s="336">
        <v>0</v>
      </c>
      <c r="RD53" s="336">
        <v>0</v>
      </c>
      <c r="RE53" s="336">
        <v>0</v>
      </c>
      <c r="RF53" s="336">
        <v>0</v>
      </c>
      <c r="RG53" s="336">
        <v>0</v>
      </c>
      <c r="RH53" s="336">
        <v>0</v>
      </c>
      <c r="RI53" s="336">
        <v>0</v>
      </c>
      <c r="RJ53" s="336">
        <v>0</v>
      </c>
      <c r="RK53" s="336">
        <v>0</v>
      </c>
      <c r="RL53" s="336">
        <v>0</v>
      </c>
      <c r="RM53" s="336">
        <v>0</v>
      </c>
      <c r="RN53" s="336">
        <v>0</v>
      </c>
      <c r="RO53" s="336">
        <v>-57527922</v>
      </c>
      <c r="RP53" s="336">
        <v>0</v>
      </c>
      <c r="RQ53" s="336">
        <v>0</v>
      </c>
      <c r="RR53" s="336">
        <v>0</v>
      </c>
      <c r="RS53" s="336">
        <v>0</v>
      </c>
      <c r="RT53" s="336">
        <v>0</v>
      </c>
      <c r="RU53" s="336">
        <v>0</v>
      </c>
      <c r="RV53" s="336">
        <v>0</v>
      </c>
      <c r="RW53" s="336">
        <v>0</v>
      </c>
      <c r="RX53" s="336">
        <v>0</v>
      </c>
      <c r="RY53" s="336">
        <v>0</v>
      </c>
      <c r="RZ53" s="336">
        <v>0</v>
      </c>
      <c r="SA53" s="336">
        <v>0</v>
      </c>
      <c r="SB53" s="336">
        <v>0</v>
      </c>
      <c r="SC53" s="336">
        <v>0</v>
      </c>
      <c r="SD53" s="336">
        <v>0</v>
      </c>
      <c r="SE53" s="336">
        <v>0</v>
      </c>
      <c r="SF53" s="336">
        <v>0</v>
      </c>
      <c r="SG53" s="336">
        <v>0</v>
      </c>
      <c r="SH53" s="336">
        <v>0</v>
      </c>
      <c r="SI53" s="336">
        <v>0</v>
      </c>
      <c r="SJ53" s="336">
        <v>0</v>
      </c>
      <c r="SK53" s="336">
        <v>0</v>
      </c>
      <c r="SL53" s="336">
        <v>0</v>
      </c>
      <c r="SM53" s="336">
        <v>0</v>
      </c>
      <c r="SN53" s="336">
        <v>0</v>
      </c>
      <c r="SO53" s="336">
        <v>0</v>
      </c>
      <c r="SP53" s="336">
        <v>107710</v>
      </c>
      <c r="SQ53" s="336">
        <v>0</v>
      </c>
      <c r="SR53" s="336">
        <v>0</v>
      </c>
      <c r="SS53" s="336">
        <v>0</v>
      </c>
      <c r="ST53" s="336">
        <v>0</v>
      </c>
      <c r="SU53" s="336">
        <v>0</v>
      </c>
      <c r="SV53" s="336">
        <v>0</v>
      </c>
      <c r="SW53" s="336">
        <v>0</v>
      </c>
      <c r="SX53" s="336">
        <v>0</v>
      </c>
      <c r="SY53" s="336">
        <v>0</v>
      </c>
      <c r="SZ53" s="336" t="s">
        <v>1420</v>
      </c>
      <c r="TA53" s="336" t="s">
        <v>1420</v>
      </c>
      <c r="TB53" s="336" t="s">
        <v>1420</v>
      </c>
      <c r="TC53" s="336">
        <v>1210078</v>
      </c>
      <c r="TD53" s="336">
        <v>11691539</v>
      </c>
      <c r="TE53" s="336">
        <v>73896</v>
      </c>
      <c r="TF53" s="336">
        <v>0</v>
      </c>
      <c r="TG53" s="336">
        <v>324283</v>
      </c>
      <c r="TH53" s="336">
        <v>1797371</v>
      </c>
      <c r="TI53" s="336">
        <v>321537</v>
      </c>
      <c r="TJ53" s="336">
        <v>293938</v>
      </c>
      <c r="TK53" s="336">
        <v>0</v>
      </c>
      <c r="TL53" s="336">
        <v>141338</v>
      </c>
      <c r="TM53" s="336">
        <v>0</v>
      </c>
      <c r="TN53" s="336">
        <v>9687</v>
      </c>
      <c r="TO53" s="336">
        <v>2585023</v>
      </c>
      <c r="TP53" s="336">
        <v>78169</v>
      </c>
      <c r="TQ53" s="336">
        <v>0</v>
      </c>
      <c r="TR53" s="336">
        <v>0</v>
      </c>
      <c r="TS53" s="336">
        <v>0</v>
      </c>
      <c r="TT53" s="336">
        <v>0</v>
      </c>
      <c r="TU53" s="336">
        <v>0</v>
      </c>
      <c r="TV53" s="336">
        <v>0</v>
      </c>
      <c r="TW53" s="336">
        <v>0</v>
      </c>
      <c r="TX53" s="336">
        <v>29804</v>
      </c>
      <c r="TY53" s="336">
        <v>0</v>
      </c>
      <c r="TZ53" s="336">
        <v>0</v>
      </c>
      <c r="UA53" s="336">
        <v>0</v>
      </c>
      <c r="UB53" s="336">
        <v>0</v>
      </c>
      <c r="UC53" s="336">
        <v>0</v>
      </c>
      <c r="UD53" s="336">
        <v>0</v>
      </c>
      <c r="UE53" s="336">
        <v>0</v>
      </c>
      <c r="UF53" s="336">
        <v>0</v>
      </c>
      <c r="UG53" s="336">
        <v>0</v>
      </c>
      <c r="UH53" s="336">
        <v>241968412</v>
      </c>
      <c r="UI53" s="336">
        <v>117733483</v>
      </c>
      <c r="UJ53" s="336">
        <v>25094182</v>
      </c>
      <c r="UK53" s="336">
        <v>0</v>
      </c>
      <c r="UL53" s="336">
        <v>59138829</v>
      </c>
      <c r="UM53" s="336">
        <v>87002680</v>
      </c>
      <c r="UN53" s="336">
        <v>61564859</v>
      </c>
      <c r="UO53" s="336">
        <v>46181621</v>
      </c>
      <c r="UP53" s="336">
        <v>65591172</v>
      </c>
      <c r="UQ53" s="336">
        <v>66675732</v>
      </c>
      <c r="UR53"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15853980</v>
      </c>
      <c r="US53" s="338">
        <f>SUM(Input[[#This Row],[Oth Exp E&amp;G]],Input[[#This Row],[Oth Exp Desg]],Input[[#This Row],[Oth Exp Aux]],Input[[#This Row],[Oth Exp R Exp]],Input[[#This Row],[Oth Exp Loan]],Input[[#This Row],[Oth Exp Annuity]],Input[[#This Row],[Oth Exp Unexp]],Input[[#This Row],[Oth Exp R of Ind]],Input[[#This Row],[Oth Exp Inv in P]])</f>
        <v>153361</v>
      </c>
      <c r="UT53" s="336">
        <v>200108663</v>
      </c>
      <c r="UU53" s="336">
        <v>79369698</v>
      </c>
      <c r="UV53" s="339" t="s">
        <v>1519</v>
      </c>
      <c r="UW53" s="340">
        <v>8172723330</v>
      </c>
      <c r="UX53" s="339" t="s">
        <v>1520</v>
      </c>
      <c r="UY53" s="339" t="s">
        <v>1521</v>
      </c>
      <c r="UZ53" s="340">
        <v>8172723449</v>
      </c>
      <c r="VA53" s="339" t="s">
        <v>1522</v>
      </c>
      <c r="VB53" s="341" cm="1">
        <f t="array" ref="VB53">IFERROR(_xlfn.IFS(Input[[#This Row],[Type]]="HRI",VLOOKUP(Input[[#This Row],[Institution Name]],FTSEHRI[],9,FALSE),Input[[#This Row],[Type]]="UNIV",VLOOKUP(Input[[#This Row],[Institution Name]],FTSEUNIV[],9,FALSE),OR(Input[[#This Row],[Type]]="TSTC",Input[[#This Row],[Type]]="LSC"),VLOOKUP(Input[[#This Row],[Institution Name]],FTSETSTC[],8,FALSE)),"N/A")</f>
        <v>33010.629999999997</v>
      </c>
      <c r="VC53" s="342" t="str" cm="1">
        <f t="array" ref="VC53">IFERROR(_xlfn.IFS(Input[[#This Row],[Type]]="HRI",VLOOKUP(Input[[#This Row],[Institution Name]],FTSEHRI[],11,FALSE),Input[[#This Row],[Type]]="UNIV",VLOOKUP(Input[[#This Row],[Institution Name]],FTSEUNIV[],11,FALSE),Input[[#This Row],[Type]]="TSTC",VLOOKUP(Input[[#This Row],[Institution Name]],FTSETSTC[],10,FALSE)),"N/A")</f>
        <v>N/A</v>
      </c>
      <c r="VD53"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215125322</v>
      </c>
      <c r="VE53"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53" s="338">
        <f>SUM(Input[[#This Row],[Fed G&amp;C E&amp;G]],Input[[#This Row],[Fed G&amp;C Desg]],Input[[#This Row],[Fed G&amp;C R Exp]],Input[[#This Row],[Fed G&amp;C Loan]],Input[[#This Row],[Fed G&amp;C Annuity]],Input[[#This Row],[Fed G&amp;C Unexp]],Input[[#This Row],[Fed G&amp;C R of Ind]],Input[[#This Row],[Fed G&amp;C Inv in P]])</f>
        <v>172642160</v>
      </c>
      <c r="VG53"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114891764</v>
      </c>
      <c r="VH53"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265795720</v>
      </c>
      <c r="VI53"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76922196</v>
      </c>
      <c r="VJ53" s="338">
        <f>SUM(Input[[#This Row],[Oth Inc E&amp;G]],Input[[#This Row],[Oth Exp Desg]],Input[[#This Row],[Oth Exp R Exp]],Input[[#This Row],[Oth Exp Loan]],Input[[#This Row],[Oth Exp Annuity]],Input[[#This Row],[Oth Exp Unexp]],Input[[#This Row],[Oth Exp R of Ind]],Input[[#This Row],[Oth Exp Inv in P]])</f>
        <v>296530</v>
      </c>
      <c r="VK53" s="343">
        <f>SUM(Input[[#This Row],[Instr E&amp;G]],Input[[#This Row],[Instr Desg]],Input[[#This Row],[Instr R Exp]],Input[[#This Row],[Instr Loan]],Input[[#This Row],[Instr Annuity]],Input[[#This Row],[Instr Unexp]],Input[[#This Row],[Instr R of Ind]],Input[[#This Row],[Instr Inv in P]])</f>
        <v>241968412</v>
      </c>
      <c r="VL53" s="343">
        <f>SUM(Input[[#This Row],[Res E&amp;G]],Input[[#This Row],[Res Desg]],Input[[#This Row],[Res R Exp]],Input[[#This Row],[Res Loan]],Input[[#This Row],[Res Annuity]],Input[[#This Row],[Res Unexp]],Input[[#This Row],[Res R of Ind]],Input[[#This Row],[Res Inv in P]])</f>
        <v>117733483</v>
      </c>
      <c r="VM53" s="343">
        <f>SUM(Input[[#This Row],[Acad Sup E&amp;G]],Input[[#This Row],[Acad Sup Desg]],Input[[#This Row],[Acad Sup R Exp]],Input[[#This Row],[Acad Sup Loan]],Input[[#This Row],[Acad Sup Annuity]],Input[[#This Row],[Acad Sup Unexp]],Input[[#This Row],[Acad Sup R of Ind]],Input[[#This Row],[Acad Sup Inv in P]])</f>
        <v>59138829</v>
      </c>
      <c r="VN53" s="343">
        <f>SUM(Input[[#This Row],[Stu Svc E&amp;G]],Input[[#This Row],[Stu Svc Desg]],Input[[#This Row],[Stu Svc R Exp]],Input[[#This Row],[Stu Svc Loan]],Input[[#This Row],[Stu Svc Annuity]],Input[[#This Row],[Stu Svc Unexp]],Input[[#This Row],[Stu Svc R of Ind]],Input[[#This Row],[Stu Svc Inv in P]])</f>
        <v>87002680</v>
      </c>
      <c r="VO53" s="343">
        <f>SUM(Input[[#This Row],[Inst. Spt E&amp;G]],Input[[#This Row],[Inst. Spt Desg]],Input[[#This Row],[Inst. Spt R Exp]],Input[[#This Row],[Inst. Spt Loan]],Input[[#This Row],[Inst. Spt Annuity]],Input[[#This Row],[Inst. Spt Unexp]],Input[[#This Row],[Inst. Spt R of Ind]],Input[[#This Row],[Inst. Spt Inv in P]])</f>
        <v>61564859</v>
      </c>
      <c r="VP53" s="343">
        <f>SUM(Input[[#This Row],[M&amp;O Plnt E&amp;G]],Input[[#This Row],[M&amp;O Plnt Desg]],Input[[#This Row],[M&amp;O Plnt R Exp]],Input[[#This Row],[M&amp;O Plnt Loan]],Input[[#This Row],[M&amp;O Plnt Annuity]],Input[[#This Row],[M&amp;O Plnt Unexp]],Input[[#This Row],[M&amp;O Plnt R of Ind]],Input[[#This Row],[M&amp;O Plnt Inv in P]])</f>
        <v>46181621</v>
      </c>
      <c r="VQ53" s="343">
        <f>SUM(Input[[#This Row],[Schl &amp; Fell E&amp;G]],Input[[#This Row],[Schl &amp; Fell Desg]],Input[[#This Row],[Schl &amp; Fell R Exp]],Input[[#This Row],[Schl &amp; Fell Loan]],Input[[#This Row],[Schl &amp; Fell Annuity]],Input[[#This Row],[Schl &amp; Fell Unexp]],Input[[#This Row],[Schl &amp; Fell R of Ind]],Input[[#This Row],[Schl &amp; Fell Inv in P]])</f>
        <v>65591172</v>
      </c>
      <c r="VR53" s="343">
        <f>SUM(Input[[#This Row],[Cap Out fund E&amp;G]],Input[[#This Row],[Cap Out fund Desg]],Input[[#This Row],[Cap Out fund R Exp]],Input[[#This Row],[Cap Out fund Loan]],Input[[#This Row],[Cap Out fund Annuity]],Input[[#This Row],[Cap Out fund Unexp]],Input[[#This Row],[Cap Out fund R of Ind]],Input[[#This Row],[Cap Out fund Inv in P]])</f>
        <v>15712642</v>
      </c>
      <c r="VS53" s="343">
        <f>SUM(Input[[#This Row],[Oth Exp E&amp;G]],Input[[#This Row],[Oth Exp Desg]],Input[[#This Row],[Oth Exp R Exp]],Input[[#This Row],[Oth Exp Loan]],Input[[#This Row],[Oth Exp Annuity]],Input[[#This Row],[Oth Exp Unexp]],Input[[#This Row],[Oth Exp R of Ind]],Input[[#This Row],[Oth Exp Inv in P]],Input[[#This Row],[Oth Exp Inv in P]])</f>
        <v>221745</v>
      </c>
    </row>
    <row r="54" spans="1:591" s="344" customFormat="1" ht="27" customHeight="1" x14ac:dyDescent="0.55000000000000004">
      <c r="A54" s="339" t="s">
        <v>59</v>
      </c>
      <c r="B54" s="334" t="s">
        <v>829</v>
      </c>
      <c r="C54" s="334" t="s">
        <v>21</v>
      </c>
      <c r="D54" s="334">
        <v>51</v>
      </c>
      <c r="E54" s="334" t="s">
        <v>1622</v>
      </c>
      <c r="F54" s="335">
        <v>3658</v>
      </c>
      <c r="G54" s="336">
        <v>403994775</v>
      </c>
      <c r="H54" s="336">
        <v>0</v>
      </c>
      <c r="I54" s="336">
        <v>0</v>
      </c>
      <c r="J54" s="336">
        <v>0</v>
      </c>
      <c r="K54" s="336">
        <v>0</v>
      </c>
      <c r="L54" s="336">
        <v>0</v>
      </c>
      <c r="M54" s="336">
        <v>0</v>
      </c>
      <c r="N54" s="336">
        <v>0</v>
      </c>
      <c r="O54" s="336">
        <v>0</v>
      </c>
      <c r="P54" s="336">
        <v>32709965</v>
      </c>
      <c r="Q54" s="336">
        <v>26051634</v>
      </c>
      <c r="R54" s="336">
        <v>0</v>
      </c>
      <c r="S54" s="336">
        <v>8233699</v>
      </c>
      <c r="T54" s="336">
        <v>0</v>
      </c>
      <c r="U54" s="336">
        <v>0</v>
      </c>
      <c r="V54" s="336">
        <v>0</v>
      </c>
      <c r="W54" s="336">
        <v>0</v>
      </c>
      <c r="X54" s="336">
        <v>0</v>
      </c>
      <c r="Y54" s="336">
        <v>0</v>
      </c>
      <c r="Z54" s="336">
        <v>0</v>
      </c>
      <c r="AA54" s="336">
        <v>0</v>
      </c>
      <c r="AB54" s="336">
        <v>0</v>
      </c>
      <c r="AC54" s="336">
        <v>0</v>
      </c>
      <c r="AD54" s="336">
        <v>0</v>
      </c>
      <c r="AE54" s="336">
        <v>0</v>
      </c>
      <c r="AF54" s="336">
        <v>0</v>
      </c>
      <c r="AG54" s="336">
        <v>0</v>
      </c>
      <c r="AH54" s="336">
        <v>499956810</v>
      </c>
      <c r="AI54" s="336">
        <v>0</v>
      </c>
      <c r="AJ54" s="336">
        <v>0</v>
      </c>
      <c r="AK54" s="336">
        <v>0</v>
      </c>
      <c r="AL54" s="336">
        <v>0</v>
      </c>
      <c r="AM54" s="336">
        <v>0</v>
      </c>
      <c r="AN54" s="336">
        <v>0</v>
      </c>
      <c r="AO54" s="336">
        <v>0</v>
      </c>
      <c r="AP54" s="336">
        <v>0</v>
      </c>
      <c r="AQ54" s="336">
        <v>-51091923</v>
      </c>
      <c r="AR54" s="336">
        <v>-17289426</v>
      </c>
      <c r="AS54" s="336">
        <v>0</v>
      </c>
      <c r="AT54" s="336">
        <v>0</v>
      </c>
      <c r="AU54" s="336">
        <v>0</v>
      </c>
      <c r="AV54" s="336">
        <v>0</v>
      </c>
      <c r="AW54" s="336">
        <v>0</v>
      </c>
      <c r="AX54" s="336">
        <v>0</v>
      </c>
      <c r="AY54" s="336">
        <v>0</v>
      </c>
      <c r="AZ54" s="336">
        <v>0</v>
      </c>
      <c r="BA54" s="336">
        <v>0</v>
      </c>
      <c r="BB54" s="336">
        <v>0</v>
      </c>
      <c r="BC54" s="336">
        <v>0</v>
      </c>
      <c r="BD54" s="336">
        <v>0</v>
      </c>
      <c r="BE54" s="336">
        <v>0</v>
      </c>
      <c r="BF54" s="336">
        <v>0</v>
      </c>
      <c r="BG54" s="336">
        <v>0</v>
      </c>
      <c r="BH54" s="336">
        <v>0</v>
      </c>
      <c r="BI54" s="336">
        <v>0</v>
      </c>
      <c r="BJ54" s="336">
        <v>0</v>
      </c>
      <c r="BK54" s="336">
        <v>0</v>
      </c>
      <c r="BL54" s="336">
        <v>0</v>
      </c>
      <c r="BM54" s="336">
        <v>0</v>
      </c>
      <c r="BN54" s="336">
        <v>0</v>
      </c>
      <c r="BO54" s="336">
        <v>0</v>
      </c>
      <c r="BP54" s="336">
        <v>0</v>
      </c>
      <c r="BQ54" s="336">
        <v>0</v>
      </c>
      <c r="BR54" s="336">
        <v>0</v>
      </c>
      <c r="BS54" s="336">
        <v>0</v>
      </c>
      <c r="BT54" s="336">
        <v>0</v>
      </c>
      <c r="BU54" s="336">
        <v>0</v>
      </c>
      <c r="BV54" s="336">
        <v>0</v>
      </c>
      <c r="BW54" s="336">
        <v>0</v>
      </c>
      <c r="BX54" s="336">
        <v>0</v>
      </c>
      <c r="BY54" s="336">
        <v>0</v>
      </c>
      <c r="BZ54" s="336">
        <v>0</v>
      </c>
      <c r="CA54" s="336">
        <v>128499973</v>
      </c>
      <c r="CB54" s="336">
        <v>534670009</v>
      </c>
      <c r="CC54" s="336">
        <v>0</v>
      </c>
      <c r="CD54" s="336">
        <v>0</v>
      </c>
      <c r="CE54" s="336">
        <v>0</v>
      </c>
      <c r="CF54" s="336">
        <v>0</v>
      </c>
      <c r="CG54" s="336">
        <v>0</v>
      </c>
      <c r="CH54" s="336">
        <v>0</v>
      </c>
      <c r="CI54" s="336">
        <v>0</v>
      </c>
      <c r="CJ54" s="336">
        <v>0</v>
      </c>
      <c r="CK54" s="336">
        <v>0</v>
      </c>
      <c r="CL54" s="336">
        <v>0</v>
      </c>
      <c r="CM54" s="336">
        <v>0</v>
      </c>
      <c r="CN54" s="336">
        <v>0</v>
      </c>
      <c r="CO54" s="336">
        <v>0</v>
      </c>
      <c r="CP54" s="336">
        <v>0</v>
      </c>
      <c r="CQ54" s="336">
        <v>0</v>
      </c>
      <c r="CR54" s="336">
        <v>0</v>
      </c>
      <c r="CS54" s="336">
        <v>0</v>
      </c>
      <c r="CT54" s="336">
        <v>0</v>
      </c>
      <c r="CU54" s="336">
        <v>0</v>
      </c>
      <c r="CV54" s="336">
        <v>0</v>
      </c>
      <c r="CW54" s="336">
        <v>0</v>
      </c>
      <c r="CX54" s="336">
        <v>0</v>
      </c>
      <c r="CY54" s="336">
        <v>0</v>
      </c>
      <c r="CZ54" s="336">
        <v>0</v>
      </c>
      <c r="DA54" s="336">
        <v>0</v>
      </c>
      <c r="DB54" s="336">
        <v>-2344758</v>
      </c>
      <c r="DC54" s="336">
        <v>-16436394</v>
      </c>
      <c r="DD54" s="336">
        <v>0</v>
      </c>
      <c r="DE54" s="336">
        <v>0</v>
      </c>
      <c r="DF54" s="336">
        <v>0</v>
      </c>
      <c r="DG54" s="336">
        <v>0</v>
      </c>
      <c r="DH54" s="336">
        <v>0</v>
      </c>
      <c r="DI54" s="336">
        <v>0</v>
      </c>
      <c r="DJ54" s="336">
        <v>0</v>
      </c>
      <c r="DK54" s="336">
        <v>0</v>
      </c>
      <c r="DL54" s="336">
        <v>0</v>
      </c>
      <c r="DM54" s="336">
        <v>0</v>
      </c>
      <c r="DN54" s="336">
        <v>0</v>
      </c>
      <c r="DO54" s="336">
        <v>0</v>
      </c>
      <c r="DP54" s="336">
        <v>0</v>
      </c>
      <c r="DQ54" s="336">
        <v>0</v>
      </c>
      <c r="DR54" s="336">
        <v>0</v>
      </c>
      <c r="DS54" s="336">
        <v>0</v>
      </c>
      <c r="DT54" s="336">
        <v>-31154665</v>
      </c>
      <c r="DU54" s="336">
        <v>-135463451</v>
      </c>
      <c r="DV54" s="336">
        <v>0</v>
      </c>
      <c r="DW54" s="336">
        <v>0</v>
      </c>
      <c r="DX54" s="336">
        <v>0</v>
      </c>
      <c r="DY54" s="336">
        <v>0</v>
      </c>
      <c r="DZ54" s="336">
        <v>0</v>
      </c>
      <c r="EA54" s="336">
        <v>0</v>
      </c>
      <c r="EB54" s="336">
        <v>0</v>
      </c>
      <c r="EC54" s="336">
        <v>0</v>
      </c>
      <c r="ED54" s="336">
        <v>0</v>
      </c>
      <c r="EE54" s="336">
        <v>0</v>
      </c>
      <c r="EF54" s="336">
        <v>0</v>
      </c>
      <c r="EG54" s="336">
        <v>0</v>
      </c>
      <c r="EH54" s="336">
        <v>0</v>
      </c>
      <c r="EI54" s="336">
        <v>0</v>
      </c>
      <c r="EJ54" s="336">
        <v>0</v>
      </c>
      <c r="EK54" s="336">
        <v>0</v>
      </c>
      <c r="EL54" s="336">
        <v>0</v>
      </c>
      <c r="EM54" s="336">
        <v>0</v>
      </c>
      <c r="EN54" s="336">
        <v>0</v>
      </c>
      <c r="EO54" s="336">
        <v>0</v>
      </c>
      <c r="EP54" s="336">
        <v>0</v>
      </c>
      <c r="EQ54" s="336">
        <v>0</v>
      </c>
      <c r="ER54" s="336">
        <v>0</v>
      </c>
      <c r="ES54" s="336">
        <v>0</v>
      </c>
      <c r="ET54" s="336">
        <v>0</v>
      </c>
      <c r="EU54" s="336">
        <v>0</v>
      </c>
      <c r="EV54" s="336">
        <v>0</v>
      </c>
      <c r="EW54" s="336">
        <v>0</v>
      </c>
      <c r="EX54" s="336">
        <v>0</v>
      </c>
      <c r="EY54" s="336">
        <v>0</v>
      </c>
      <c r="EZ54" s="336">
        <v>0</v>
      </c>
      <c r="FA54" s="336">
        <v>0</v>
      </c>
      <c r="FB54" s="336">
        <v>0</v>
      </c>
      <c r="FC54" s="336">
        <v>0</v>
      </c>
      <c r="FD54" s="336">
        <v>0</v>
      </c>
      <c r="FE54" s="336">
        <v>0</v>
      </c>
      <c r="FF54" s="336">
        <v>0</v>
      </c>
      <c r="FG54" s="336">
        <v>0</v>
      </c>
      <c r="FH54" s="336">
        <v>0</v>
      </c>
      <c r="FI54" s="336">
        <v>0</v>
      </c>
      <c r="FJ54" s="336">
        <v>0</v>
      </c>
      <c r="FK54" s="336">
        <v>0</v>
      </c>
      <c r="FL54" s="336">
        <v>0</v>
      </c>
      <c r="FM54" s="336">
        <v>139273</v>
      </c>
      <c r="FN54" s="336">
        <v>49024905</v>
      </c>
      <c r="FO54" s="336">
        <v>47702938</v>
      </c>
      <c r="FP54" s="336">
        <v>0</v>
      </c>
      <c r="FQ54" s="336">
        <v>0</v>
      </c>
      <c r="FR54" s="336">
        <v>0</v>
      </c>
      <c r="FS54" s="336">
        <v>0</v>
      </c>
      <c r="FT54" s="336">
        <v>0</v>
      </c>
      <c r="FU54" s="336">
        <v>0</v>
      </c>
      <c r="FV54" s="336">
        <v>0</v>
      </c>
      <c r="FW54" s="336">
        <v>0</v>
      </c>
      <c r="FX54" s="336">
        <v>0</v>
      </c>
      <c r="FY54" s="336">
        <v>0</v>
      </c>
      <c r="FZ54" s="336">
        <v>0</v>
      </c>
      <c r="GA54" s="336">
        <v>0</v>
      </c>
      <c r="GB54" s="336">
        <v>0</v>
      </c>
      <c r="GC54" s="336">
        <v>0</v>
      </c>
      <c r="GD54" s="336">
        <v>0</v>
      </c>
      <c r="GE54" s="336">
        <v>0</v>
      </c>
      <c r="GF54" s="336">
        <v>0</v>
      </c>
      <c r="GG54" s="336">
        <v>0</v>
      </c>
      <c r="GH54" s="336">
        <v>0</v>
      </c>
      <c r="GI54" s="336">
        <v>0</v>
      </c>
      <c r="GJ54" s="336">
        <v>0</v>
      </c>
      <c r="GK54" s="336">
        <v>0</v>
      </c>
      <c r="GL54" s="336">
        <v>0</v>
      </c>
      <c r="GM54" s="336">
        <v>0</v>
      </c>
      <c r="GN54" s="336">
        <v>0</v>
      </c>
      <c r="GO54" s="336">
        <v>-1189766</v>
      </c>
      <c r="GP54" s="336">
        <v>0</v>
      </c>
      <c r="GQ54" s="336">
        <v>0</v>
      </c>
      <c r="GR54" s="336">
        <v>0</v>
      </c>
      <c r="GS54" s="336">
        <v>0</v>
      </c>
      <c r="GT54" s="336">
        <v>0</v>
      </c>
      <c r="GU54" s="336">
        <v>0</v>
      </c>
      <c r="GV54" s="336">
        <v>0</v>
      </c>
      <c r="GW54" s="336">
        <v>0</v>
      </c>
      <c r="GX54" s="336">
        <v>0</v>
      </c>
      <c r="GY54" s="336">
        <v>0</v>
      </c>
      <c r="GZ54" s="336">
        <v>0</v>
      </c>
      <c r="HA54" s="336">
        <v>0</v>
      </c>
      <c r="HB54" s="336">
        <v>0</v>
      </c>
      <c r="HC54" s="336">
        <v>0</v>
      </c>
      <c r="HD54" s="336">
        <v>0</v>
      </c>
      <c r="HE54" s="336">
        <v>0</v>
      </c>
      <c r="HF54" s="336">
        <v>-33767</v>
      </c>
      <c r="HG54" s="336">
        <v>-12420900</v>
      </c>
      <c r="HH54" s="336">
        <v>-11598416</v>
      </c>
      <c r="HI54" s="336">
        <v>0</v>
      </c>
      <c r="HJ54" s="336">
        <v>0</v>
      </c>
      <c r="HK54" s="336">
        <v>0</v>
      </c>
      <c r="HL54" s="336">
        <v>0</v>
      </c>
      <c r="HM54" s="336">
        <v>0</v>
      </c>
      <c r="HN54" s="336">
        <v>0</v>
      </c>
      <c r="HO54" s="336">
        <v>33103</v>
      </c>
      <c r="HP54" s="336">
        <v>153581703</v>
      </c>
      <c r="HQ54" s="336">
        <v>0</v>
      </c>
      <c r="HR54" s="336">
        <v>671967822</v>
      </c>
      <c r="HS54" s="336">
        <v>0</v>
      </c>
      <c r="HT54" s="336">
        <v>0</v>
      </c>
      <c r="HU54" s="336">
        <v>0</v>
      </c>
      <c r="HV54" s="336">
        <v>0</v>
      </c>
      <c r="HW54" s="336">
        <v>0</v>
      </c>
      <c r="HX54" s="336">
        <v>0</v>
      </c>
      <c r="HY54" s="336">
        <v>0</v>
      </c>
      <c r="HZ54" s="336">
        <v>0</v>
      </c>
      <c r="IA54" s="336">
        <v>0</v>
      </c>
      <c r="IB54" s="336">
        <v>0</v>
      </c>
      <c r="IC54" s="336">
        <v>0</v>
      </c>
      <c r="ID54" s="336">
        <v>0</v>
      </c>
      <c r="IE54" s="336">
        <v>0</v>
      </c>
      <c r="IF54" s="336">
        <v>0</v>
      </c>
      <c r="IG54" s="336">
        <v>0</v>
      </c>
      <c r="IH54" s="336">
        <v>0</v>
      </c>
      <c r="II54" s="336">
        <v>0</v>
      </c>
      <c r="IJ54" s="336">
        <v>0</v>
      </c>
      <c r="IK54" s="336">
        <v>0</v>
      </c>
      <c r="IL54" s="336">
        <v>0</v>
      </c>
      <c r="IM54" s="336">
        <v>0</v>
      </c>
      <c r="IN54" s="336">
        <v>0</v>
      </c>
      <c r="IO54" s="336">
        <v>0</v>
      </c>
      <c r="IP54" s="336">
        <v>10162594</v>
      </c>
      <c r="IQ54" s="336">
        <v>152430557</v>
      </c>
      <c r="IR54" s="336">
        <v>4287879</v>
      </c>
      <c r="IS54" s="336">
        <v>189079853</v>
      </c>
      <c r="IT54" s="336">
        <v>612414</v>
      </c>
      <c r="IU54" s="336">
        <v>15047</v>
      </c>
      <c r="IV54" s="336">
        <v>7496689</v>
      </c>
      <c r="IW54" s="336">
        <v>0</v>
      </c>
      <c r="IX54" s="336">
        <v>0</v>
      </c>
      <c r="IY54" s="336">
        <v>0</v>
      </c>
      <c r="IZ54" s="336">
        <v>938928</v>
      </c>
      <c r="JA54" s="336">
        <v>0</v>
      </c>
      <c r="JB54" s="336">
        <v>5094114</v>
      </c>
      <c r="JC54" s="336">
        <v>0</v>
      </c>
      <c r="JD54" s="336">
        <v>0</v>
      </c>
      <c r="JE54" s="336">
        <v>0</v>
      </c>
      <c r="JF54" s="336">
        <v>0</v>
      </c>
      <c r="JG54" s="336">
        <v>0</v>
      </c>
      <c r="JH54" s="336">
        <v>0</v>
      </c>
      <c r="JI54" s="336">
        <v>13806535</v>
      </c>
      <c r="JJ54" s="336">
        <v>0</v>
      </c>
      <c r="JK54" s="336">
        <v>465540374</v>
      </c>
      <c r="JL54" s="336">
        <v>0</v>
      </c>
      <c r="JM54" s="336">
        <v>0</v>
      </c>
      <c r="JN54" s="336">
        <v>0</v>
      </c>
      <c r="JO54" s="336">
        <v>0</v>
      </c>
      <c r="JP54" s="336">
        <v>0</v>
      </c>
      <c r="JQ54" s="336">
        <v>6582820</v>
      </c>
      <c r="JR54" s="336">
        <v>309446846</v>
      </c>
      <c r="JS54" s="336">
        <v>0</v>
      </c>
      <c r="JT54" s="336">
        <v>43316955</v>
      </c>
      <c r="JU54" s="336">
        <v>0</v>
      </c>
      <c r="JV54" s="336">
        <v>0</v>
      </c>
      <c r="JW54" s="336">
        <v>0</v>
      </c>
      <c r="JX54" s="336">
        <v>0</v>
      </c>
      <c r="JY54" s="336">
        <v>0</v>
      </c>
      <c r="JZ54" s="336">
        <v>0</v>
      </c>
      <c r="KA54" s="336">
        <v>0</v>
      </c>
      <c r="KB54" s="336">
        <v>401517540</v>
      </c>
      <c r="KC54" s="336">
        <v>0</v>
      </c>
      <c r="KD54" s="336">
        <v>0</v>
      </c>
      <c r="KE54" s="336">
        <v>0</v>
      </c>
      <c r="KF54" s="336">
        <v>0</v>
      </c>
      <c r="KG54" s="336">
        <v>0</v>
      </c>
      <c r="KH54" s="336">
        <v>0</v>
      </c>
      <c r="KI54" s="336">
        <v>428802</v>
      </c>
      <c r="KJ54" s="336">
        <v>44301989</v>
      </c>
      <c r="KK54" s="336">
        <v>0</v>
      </c>
      <c r="KL54" s="336">
        <v>0</v>
      </c>
      <c r="KM54" s="336">
        <v>-741760</v>
      </c>
      <c r="KN54" s="336">
        <v>0</v>
      </c>
      <c r="KO54" s="336">
        <v>0</v>
      </c>
      <c r="KP54" s="336">
        <v>0</v>
      </c>
      <c r="KQ54" s="336">
        <v>21926349</v>
      </c>
      <c r="KR54" s="336">
        <v>536923631</v>
      </c>
      <c r="KS54" s="336">
        <v>157481026</v>
      </c>
      <c r="KT54" s="336">
        <v>0</v>
      </c>
      <c r="KU54" s="336">
        <v>74696692</v>
      </c>
      <c r="KV54" s="336">
        <v>0</v>
      </c>
      <c r="KW54" s="336">
        <v>0</v>
      </c>
      <c r="KX54" s="336">
        <v>0</v>
      </c>
      <c r="KY54" s="336">
        <v>0</v>
      </c>
      <c r="KZ54" s="336">
        <v>0</v>
      </c>
      <c r="LA54" s="336">
        <v>78226769</v>
      </c>
      <c r="LB54" s="336">
        <v>61924210</v>
      </c>
      <c r="LC54" s="336">
        <v>0</v>
      </c>
      <c r="LD54" s="336">
        <v>668654753</v>
      </c>
      <c r="LE54" s="336">
        <v>0</v>
      </c>
      <c r="LF54" s="336">
        <v>0</v>
      </c>
      <c r="LG54" s="336">
        <v>0</v>
      </c>
      <c r="LH54" s="336">
        <v>0</v>
      </c>
      <c r="LI54" s="336">
        <v>0</v>
      </c>
      <c r="LJ54" s="336">
        <v>12437966</v>
      </c>
      <c r="LK54" s="336">
        <v>85474869</v>
      </c>
      <c r="LL54" s="336">
        <v>0</v>
      </c>
      <c r="LM54" s="336">
        <v>89327559</v>
      </c>
      <c r="LN54" s="336">
        <v>0</v>
      </c>
      <c r="LO54" s="336">
        <v>0</v>
      </c>
      <c r="LP54" s="336">
        <v>0</v>
      </c>
      <c r="LQ54" s="336">
        <v>0</v>
      </c>
      <c r="LR54" s="336">
        <v>0</v>
      </c>
      <c r="LS54" s="336">
        <v>0</v>
      </c>
      <c r="LT54" s="336">
        <v>0</v>
      </c>
      <c r="LU54" s="336">
        <v>0</v>
      </c>
      <c r="LV54" s="336">
        <v>0</v>
      </c>
      <c r="LW54" s="336">
        <v>0</v>
      </c>
      <c r="LX54" s="336">
        <v>0</v>
      </c>
      <c r="LY54" s="336">
        <v>0</v>
      </c>
      <c r="LZ54" s="336">
        <v>0</v>
      </c>
      <c r="MA54" s="336">
        <v>0</v>
      </c>
      <c r="MB54" s="336">
        <v>144908718</v>
      </c>
      <c r="MC54" s="336">
        <v>265961503</v>
      </c>
      <c r="MD54" s="336">
        <v>0</v>
      </c>
      <c r="ME54" s="336">
        <v>91444322</v>
      </c>
      <c r="MF54" s="336">
        <v>0</v>
      </c>
      <c r="MG54" s="336">
        <v>0</v>
      </c>
      <c r="MH54" s="336">
        <v>0</v>
      </c>
      <c r="MI54" s="336">
        <v>0</v>
      </c>
      <c r="MJ54" s="336">
        <v>0</v>
      </c>
      <c r="MK54" s="336">
        <v>18861934</v>
      </c>
      <c r="ML54" s="336">
        <v>31674300</v>
      </c>
      <c r="MM54" s="336">
        <v>0</v>
      </c>
      <c r="MN54" s="336">
        <v>4010401</v>
      </c>
      <c r="MO54" s="336">
        <v>-3881659</v>
      </c>
      <c r="MP54" s="336">
        <v>0</v>
      </c>
      <c r="MQ54" s="336">
        <v>0</v>
      </c>
      <c r="MR54" s="336">
        <v>0</v>
      </c>
      <c r="MS54" s="336">
        <v>0</v>
      </c>
      <c r="MT54" s="336">
        <v>88129452</v>
      </c>
      <c r="MU54" s="336">
        <v>121142045</v>
      </c>
      <c r="MV54" s="336">
        <v>0</v>
      </c>
      <c r="MW54" s="336">
        <v>15975699</v>
      </c>
      <c r="MX54" s="336">
        <v>0</v>
      </c>
      <c r="MY54" s="336">
        <v>0</v>
      </c>
      <c r="MZ54" s="336">
        <v>0</v>
      </c>
      <c r="NA54" s="336">
        <v>0</v>
      </c>
      <c r="NB54" s="336">
        <v>0</v>
      </c>
      <c r="NC54" s="336">
        <v>1106419</v>
      </c>
      <c r="ND54" s="336">
        <v>182038706</v>
      </c>
      <c r="NE54" s="336">
        <v>0</v>
      </c>
      <c r="NF54" s="336">
        <v>44799</v>
      </c>
      <c r="NG54" s="336">
        <v>0</v>
      </c>
      <c r="NH54" s="336">
        <v>0</v>
      </c>
      <c r="NI54" s="336">
        <v>86910403</v>
      </c>
      <c r="NJ54" s="336">
        <v>0</v>
      </c>
      <c r="NK54" s="336">
        <v>0</v>
      </c>
      <c r="NL54" s="336">
        <v>53238879</v>
      </c>
      <c r="NM54" s="336">
        <v>53787542</v>
      </c>
      <c r="NN54" s="336">
        <v>0</v>
      </c>
      <c r="NO54" s="336">
        <v>81484655</v>
      </c>
      <c r="NP54" s="336">
        <v>0</v>
      </c>
      <c r="NQ54" s="336">
        <v>0</v>
      </c>
      <c r="NR54" s="336">
        <v>0</v>
      </c>
      <c r="NS54" s="336">
        <v>0</v>
      </c>
      <c r="NT54" s="336">
        <v>0</v>
      </c>
      <c r="NU54" s="336">
        <v>0</v>
      </c>
      <c r="NV54" s="336">
        <v>1105</v>
      </c>
      <c r="NW54" s="336">
        <v>337900731</v>
      </c>
      <c r="NX54" s="336">
        <v>92538115</v>
      </c>
      <c r="NY54" s="336">
        <v>0</v>
      </c>
      <c r="NZ54" s="336">
        <v>0</v>
      </c>
      <c r="OA54" s="336">
        <v>0</v>
      </c>
      <c r="OB54" s="336">
        <v>0</v>
      </c>
      <c r="OC54" s="336">
        <v>0</v>
      </c>
      <c r="OD54" s="336">
        <v>91765385</v>
      </c>
      <c r="OE54" s="336">
        <v>35866779</v>
      </c>
      <c r="OF54" s="336">
        <v>1890242</v>
      </c>
      <c r="OG54" s="336">
        <v>39468921</v>
      </c>
      <c r="OH54" s="336">
        <v>0</v>
      </c>
      <c r="OI54" s="336">
        <v>0</v>
      </c>
      <c r="OJ54" s="336">
        <v>0</v>
      </c>
      <c r="OK54" s="336">
        <v>0</v>
      </c>
      <c r="OL54" s="336">
        <v>0</v>
      </c>
      <c r="OM54" s="336">
        <v>62650</v>
      </c>
      <c r="ON54" s="336">
        <v>2046261</v>
      </c>
      <c r="OO54" s="336">
        <v>2219</v>
      </c>
      <c r="OP54" s="336">
        <v>59761</v>
      </c>
      <c r="OQ54" s="336">
        <v>1695684</v>
      </c>
      <c r="OR54" s="336">
        <v>0</v>
      </c>
      <c r="OS54" s="336">
        <v>0</v>
      </c>
      <c r="OT54" s="336">
        <v>0</v>
      </c>
      <c r="OU54" s="336">
        <v>6546321</v>
      </c>
      <c r="OV54" s="336">
        <v>0</v>
      </c>
      <c r="OW54" s="336">
        <v>0</v>
      </c>
      <c r="OX54" s="336">
        <v>0</v>
      </c>
      <c r="OY54" s="336">
        <v>0</v>
      </c>
      <c r="OZ54" s="336">
        <v>0</v>
      </c>
      <c r="PA54" s="336">
        <v>0</v>
      </c>
      <c r="PB54" s="336">
        <v>-383634015</v>
      </c>
      <c r="PC54" s="336">
        <v>0</v>
      </c>
      <c r="PD54" s="336">
        <v>0</v>
      </c>
      <c r="PE54" s="336">
        <v>109404719</v>
      </c>
      <c r="PF54" s="336">
        <v>-165452747</v>
      </c>
      <c r="PG54" s="336">
        <v>303540510</v>
      </c>
      <c r="PH54" s="336">
        <v>-148791805</v>
      </c>
      <c r="PI54" s="336">
        <v>-950986</v>
      </c>
      <c r="PJ54" s="336">
        <v>31480893</v>
      </c>
      <c r="PK54" s="336">
        <v>207945137</v>
      </c>
      <c r="PL54" s="336">
        <v>0</v>
      </c>
      <c r="PM54" s="336">
        <v>-329496653</v>
      </c>
      <c r="PN54" s="336">
        <v>0</v>
      </c>
      <c r="PO54" s="336">
        <v>0</v>
      </c>
      <c r="PP54" s="336">
        <v>0</v>
      </c>
      <c r="PQ54" s="336">
        <v>0</v>
      </c>
      <c r="PR54" s="336">
        <v>0</v>
      </c>
      <c r="PS54" s="336">
        <v>0</v>
      </c>
      <c r="PT54" s="336">
        <v>197329230</v>
      </c>
      <c r="PU54" s="336">
        <v>0</v>
      </c>
      <c r="PV54" s="336">
        <v>0</v>
      </c>
      <c r="PW54" s="336">
        <v>-20722489</v>
      </c>
      <c r="PX54" s="336">
        <v>-61092795</v>
      </c>
      <c r="PY54" s="336">
        <v>-53624593</v>
      </c>
      <c r="PZ54" s="336">
        <v>-2136460</v>
      </c>
      <c r="QA54" s="336">
        <v>0</v>
      </c>
      <c r="QB54" s="336">
        <v>0</v>
      </c>
      <c r="QC54" s="336">
        <v>-1402132</v>
      </c>
      <c r="QD54" s="336">
        <v>0</v>
      </c>
      <c r="QE54" s="336">
        <v>0</v>
      </c>
      <c r="QF54" s="336">
        <v>9573638</v>
      </c>
      <c r="QG54" s="336">
        <v>72858435</v>
      </c>
      <c r="QH54" s="336">
        <v>14963611</v>
      </c>
      <c r="QI54" s="336">
        <v>38605217</v>
      </c>
      <c r="QJ54" s="336">
        <v>2200382</v>
      </c>
      <c r="QK54" s="336">
        <v>271343501</v>
      </c>
      <c r="QL54" s="336">
        <v>29884218</v>
      </c>
      <c r="QM54" s="336">
        <v>0</v>
      </c>
      <c r="QN54" s="336">
        <v>0</v>
      </c>
      <c r="QO54" s="336">
        <v>0</v>
      </c>
      <c r="QP54" s="336">
        <v>0</v>
      </c>
      <c r="QQ54" s="336">
        <v>0</v>
      </c>
      <c r="QR54" s="336">
        <v>0</v>
      </c>
      <c r="QS54" s="336">
        <v>0</v>
      </c>
      <c r="QT54" s="336">
        <v>124372215</v>
      </c>
      <c r="QU54" s="336">
        <v>0</v>
      </c>
      <c r="QV54" s="336">
        <v>0</v>
      </c>
      <c r="QW54" s="336">
        <v>0</v>
      </c>
      <c r="QX54" s="336">
        <v>0</v>
      </c>
      <c r="QY54" s="336">
        <v>0</v>
      </c>
      <c r="QZ54" s="336">
        <v>0</v>
      </c>
      <c r="RA54" s="336">
        <v>0</v>
      </c>
      <c r="RB54" s="336">
        <v>0</v>
      </c>
      <c r="RC54" s="336">
        <v>0</v>
      </c>
      <c r="RD54" s="336">
        <v>0</v>
      </c>
      <c r="RE54" s="336">
        <v>0</v>
      </c>
      <c r="RF54" s="336">
        <v>24623589</v>
      </c>
      <c r="RG54" s="336">
        <v>0</v>
      </c>
      <c r="RH54" s="336">
        <v>0</v>
      </c>
      <c r="RI54" s="336">
        <v>0</v>
      </c>
      <c r="RJ54" s="336">
        <v>0</v>
      </c>
      <c r="RK54" s="336">
        <v>0</v>
      </c>
      <c r="RL54" s="336">
        <v>0</v>
      </c>
      <c r="RM54" s="336">
        <v>0</v>
      </c>
      <c r="RN54" s="336">
        <v>0</v>
      </c>
      <c r="RO54" s="336">
        <v>-375062863</v>
      </c>
      <c r="RP54" s="336">
        <v>0</v>
      </c>
      <c r="RQ54" s="336">
        <v>0</v>
      </c>
      <c r="RR54" s="336">
        <v>0</v>
      </c>
      <c r="RS54" s="336">
        <v>0</v>
      </c>
      <c r="RT54" s="336">
        <v>0</v>
      </c>
      <c r="RU54" s="336">
        <v>0</v>
      </c>
      <c r="RV54" s="336">
        <v>0</v>
      </c>
      <c r="RW54" s="336">
        <v>0</v>
      </c>
      <c r="RX54" s="336">
        <v>0</v>
      </c>
      <c r="RY54" s="336">
        <v>0</v>
      </c>
      <c r="RZ54" s="336">
        <v>0</v>
      </c>
      <c r="SA54" s="336">
        <v>0</v>
      </c>
      <c r="SB54" s="336">
        <v>0</v>
      </c>
      <c r="SC54" s="336">
        <v>0</v>
      </c>
      <c r="SD54" s="336">
        <v>0</v>
      </c>
      <c r="SE54" s="336">
        <v>0</v>
      </c>
      <c r="SF54" s="336">
        <v>0</v>
      </c>
      <c r="SG54" s="336">
        <v>0</v>
      </c>
      <c r="SH54" s="336">
        <v>0</v>
      </c>
      <c r="SI54" s="336">
        <v>0</v>
      </c>
      <c r="SJ54" s="336">
        <v>0</v>
      </c>
      <c r="SK54" s="336">
        <v>0</v>
      </c>
      <c r="SL54" s="336">
        <v>0</v>
      </c>
      <c r="SM54" s="336">
        <v>0</v>
      </c>
      <c r="SN54" s="336">
        <v>0</v>
      </c>
      <c r="SO54" s="336">
        <v>0</v>
      </c>
      <c r="SP54" s="336">
        <v>105077626</v>
      </c>
      <c r="SQ54" s="336">
        <v>0</v>
      </c>
      <c r="SR54" s="336">
        <v>0</v>
      </c>
      <c r="SS54" s="336">
        <v>0</v>
      </c>
      <c r="ST54" s="336">
        <v>0</v>
      </c>
      <c r="SU54" s="336">
        <v>0</v>
      </c>
      <c r="SV54" s="336">
        <v>0</v>
      </c>
      <c r="SW54" s="336">
        <v>0</v>
      </c>
      <c r="SX54" s="336">
        <v>0</v>
      </c>
      <c r="SY54" s="336">
        <v>552625343</v>
      </c>
      <c r="SZ54" s="336" t="s">
        <v>1420</v>
      </c>
      <c r="TA54" s="336" t="s">
        <v>1420</v>
      </c>
      <c r="TB54" s="336" t="s">
        <v>1420</v>
      </c>
      <c r="TC54" s="336">
        <v>3372966</v>
      </c>
      <c r="TD54" s="336">
        <v>70325404</v>
      </c>
      <c r="TE54" s="336">
        <v>4235444</v>
      </c>
      <c r="TF54" s="336">
        <v>0</v>
      </c>
      <c r="TG54" s="336">
        <v>12323576</v>
      </c>
      <c r="TH54" s="336">
        <v>44298</v>
      </c>
      <c r="TI54" s="336">
        <v>18374124</v>
      </c>
      <c r="TJ54" s="336">
        <v>57930805</v>
      </c>
      <c r="TK54" s="336">
        <v>51284</v>
      </c>
      <c r="TL54" s="336">
        <v>2333426</v>
      </c>
      <c r="TM54" s="336">
        <v>23445</v>
      </c>
      <c r="TN54" s="336">
        <v>508475</v>
      </c>
      <c r="TO54" s="336">
        <v>-439741</v>
      </c>
      <c r="TP54" s="336">
        <v>-2283423</v>
      </c>
      <c r="TQ54" s="336">
        <v>0</v>
      </c>
      <c r="TR54" s="336">
        <v>0</v>
      </c>
      <c r="TS54" s="336">
        <v>0</v>
      </c>
      <c r="TT54" s="336">
        <v>0</v>
      </c>
      <c r="TU54" s="336">
        <v>0</v>
      </c>
      <c r="TV54" s="336">
        <v>0</v>
      </c>
      <c r="TW54" s="336">
        <v>0</v>
      </c>
      <c r="TX54" s="336">
        <v>200654</v>
      </c>
      <c r="TY54" s="336">
        <v>0</v>
      </c>
      <c r="TZ54" s="336">
        <v>0</v>
      </c>
      <c r="UA54" s="336">
        <v>8769094</v>
      </c>
      <c r="UB54" s="336">
        <v>0</v>
      </c>
      <c r="UC54" s="336">
        <v>0</v>
      </c>
      <c r="UD54" s="336">
        <v>0</v>
      </c>
      <c r="UE54" s="336">
        <v>0</v>
      </c>
      <c r="UF54" s="336">
        <v>0</v>
      </c>
      <c r="UG54" s="336">
        <v>0</v>
      </c>
      <c r="UH54" s="336">
        <v>769101349</v>
      </c>
      <c r="UI54" s="336">
        <v>808805732</v>
      </c>
      <c r="UJ54" s="336">
        <v>187240394</v>
      </c>
      <c r="UK54" s="336">
        <v>0</v>
      </c>
      <c r="UL54" s="336">
        <v>502314543</v>
      </c>
      <c r="UM54" s="336">
        <v>50664976</v>
      </c>
      <c r="UN54" s="336">
        <v>225247196</v>
      </c>
      <c r="UO54" s="336">
        <v>270100327</v>
      </c>
      <c r="UP54" s="336">
        <v>188511076</v>
      </c>
      <c r="UQ54" s="336">
        <v>430439951</v>
      </c>
      <c r="UR54"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168991327</v>
      </c>
      <c r="US54" s="338">
        <f>SUM(Input[[#This Row],[Oth Exp E&amp;G]],Input[[#This Row],[Oth Exp Desg]],Input[[#This Row],[Oth Exp Aux]],Input[[#This Row],[Oth Exp R Exp]],Input[[#This Row],[Oth Exp Loan]],Input[[#This Row],[Oth Exp Annuity]],Input[[#This Row],[Oth Exp Unexp]],Input[[#This Row],[Oth Exp R of Ind]],Input[[#This Row],[Oth Exp Inv in P]])</f>
        <v>10412896</v>
      </c>
      <c r="UT54" s="336">
        <v>86121030</v>
      </c>
      <c r="UU54" s="336">
        <v>442695737</v>
      </c>
      <c r="UV54" s="339" t="s">
        <v>1554</v>
      </c>
      <c r="UW54" s="340"/>
      <c r="UX54" s="339" t="s">
        <v>1555</v>
      </c>
      <c r="UY54" s="339" t="s">
        <v>1556</v>
      </c>
      <c r="UZ54" s="340"/>
      <c r="VA54" s="339" t="s">
        <v>1557</v>
      </c>
      <c r="VB54" s="341" cm="1">
        <f t="array" ref="VB54">IFERROR(_xlfn.IFS(Input[[#This Row],[Type]]="HRI",VLOOKUP(Input[[#This Row],[Institution Name]],FTSEHRI[],9,FALSE),Input[[#This Row],[Type]]="UNIV",VLOOKUP(Input[[#This Row],[Institution Name]],FTSEUNIV[],9,FALSE),OR(Input[[#This Row],[Type]]="TSTC",Input[[#This Row],[Type]]="LSC"),VLOOKUP(Input[[#This Row],[Institution Name]],FTSETSTC[],8,FALSE)),"N/A")</f>
        <v>49666.81</v>
      </c>
      <c r="VC54" s="342" t="str" cm="1">
        <f t="array" ref="VC54">IFERROR(_xlfn.IFS(Input[[#This Row],[Type]]="HRI",VLOOKUP(Input[[#This Row],[Institution Name]],FTSEHRI[],11,FALSE),Input[[#This Row],[Type]]="UNIV",VLOOKUP(Input[[#This Row],[Institution Name]],FTSEUNIV[],11,FALSE),Input[[#This Row],[Type]]="TSTC",VLOOKUP(Input[[#This Row],[Institution Name]],FTSETSTC[],10,FALSE)),"N/A")</f>
        <v>N/A</v>
      </c>
      <c r="VD54"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470990073</v>
      </c>
      <c r="VE54"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499956810</v>
      </c>
      <c r="VF54" s="338">
        <f>SUM(Input[[#This Row],[Fed G&amp;C E&amp;G]],Input[[#This Row],[Fed G&amp;C Desg]],Input[[#This Row],[Fed G&amp;C R Exp]],Input[[#This Row],[Fed G&amp;C Loan]],Input[[#This Row],[Fed G&amp;C Annuity]],Input[[#This Row],[Fed G&amp;C Unexp]],Input[[#This Row],[Fed G&amp;C R of Ind]],Input[[#This Row],[Fed G&amp;C Inv in P]])</f>
        <v>825582628</v>
      </c>
      <c r="VG54"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1270439106</v>
      </c>
      <c r="VH54"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477770714</v>
      </c>
      <c r="VI54"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35519745</v>
      </c>
      <c r="VJ54" s="338">
        <f>SUM(Input[[#This Row],[Oth Inc E&amp;G]],Input[[#This Row],[Oth Exp Desg]],Input[[#This Row],[Oth Exp R Exp]],Input[[#This Row],[Oth Exp Loan]],Input[[#This Row],[Oth Exp Annuity]],Input[[#This Row],[Oth Exp Unexp]],Input[[#This Row],[Oth Exp R of Ind]],Input[[#This Row],[Oth Exp Inv in P]])</f>
        <v>10776829</v>
      </c>
      <c r="VK54" s="343">
        <f>SUM(Input[[#This Row],[Instr E&amp;G]],Input[[#This Row],[Instr Desg]],Input[[#This Row],[Instr R Exp]],Input[[#This Row],[Instr Loan]],Input[[#This Row],[Instr Annuity]],Input[[#This Row],[Instr Unexp]],Input[[#This Row],[Instr R of Ind]],Input[[#This Row],[Instr Inv in P]])</f>
        <v>769101349</v>
      </c>
      <c r="VL54" s="343">
        <f>SUM(Input[[#This Row],[Res E&amp;G]],Input[[#This Row],[Res Desg]],Input[[#This Row],[Res R Exp]],Input[[#This Row],[Res Loan]],Input[[#This Row],[Res Annuity]],Input[[#This Row],[Res Unexp]],Input[[#This Row],[Res R of Ind]],Input[[#This Row],[Res Inv in P]])</f>
        <v>808805732</v>
      </c>
      <c r="VM54" s="343">
        <f>SUM(Input[[#This Row],[Acad Sup E&amp;G]],Input[[#This Row],[Acad Sup Desg]],Input[[#This Row],[Acad Sup R Exp]],Input[[#This Row],[Acad Sup Loan]],Input[[#This Row],[Acad Sup Annuity]],Input[[#This Row],[Acad Sup Unexp]],Input[[#This Row],[Acad Sup R of Ind]],Input[[#This Row],[Acad Sup Inv in P]])</f>
        <v>502314543</v>
      </c>
      <c r="VN54" s="343">
        <f>SUM(Input[[#This Row],[Stu Svc E&amp;G]],Input[[#This Row],[Stu Svc Desg]],Input[[#This Row],[Stu Svc R Exp]],Input[[#This Row],[Stu Svc Loan]],Input[[#This Row],[Stu Svc Annuity]],Input[[#This Row],[Stu Svc Unexp]],Input[[#This Row],[Stu Svc R of Ind]],Input[[#This Row],[Stu Svc Inv in P]])</f>
        <v>50664976</v>
      </c>
      <c r="VO54" s="343">
        <f>SUM(Input[[#This Row],[Inst. Spt E&amp;G]],Input[[#This Row],[Inst. Spt Desg]],Input[[#This Row],[Inst. Spt R Exp]],Input[[#This Row],[Inst. Spt Loan]],Input[[#This Row],[Inst. Spt Annuity]],Input[[#This Row],[Inst. Spt Unexp]],Input[[#This Row],[Inst. Spt R of Ind]],Input[[#This Row],[Inst. Spt Inv in P]])</f>
        <v>225247196</v>
      </c>
      <c r="VP54" s="343">
        <f>SUM(Input[[#This Row],[M&amp;O Plnt E&amp;G]],Input[[#This Row],[M&amp;O Plnt Desg]],Input[[#This Row],[M&amp;O Plnt R Exp]],Input[[#This Row],[M&amp;O Plnt Loan]],Input[[#This Row],[M&amp;O Plnt Annuity]],Input[[#This Row],[M&amp;O Plnt Unexp]],Input[[#This Row],[M&amp;O Plnt R of Ind]],Input[[#This Row],[M&amp;O Plnt Inv in P]])</f>
        <v>270100327</v>
      </c>
      <c r="VQ54" s="343">
        <f>SUM(Input[[#This Row],[Schl &amp; Fell E&amp;G]],Input[[#This Row],[Schl &amp; Fell Desg]],Input[[#This Row],[Schl &amp; Fell R Exp]],Input[[#This Row],[Schl &amp; Fell Loan]],Input[[#This Row],[Schl &amp; Fell Annuity]],Input[[#This Row],[Schl &amp; Fell Unexp]],Input[[#This Row],[Schl &amp; Fell R of Ind]],Input[[#This Row],[Schl &amp; Fell Inv in P]])</f>
        <v>188511076</v>
      </c>
      <c r="VR54" s="343">
        <f>SUM(Input[[#This Row],[Cap Out fund E&amp;G]],Input[[#This Row],[Cap Out fund Desg]],Input[[#This Row],[Cap Out fund R Exp]],Input[[#This Row],[Cap Out fund Loan]],Input[[#This Row],[Cap Out fund Annuity]],Input[[#This Row],[Cap Out fund Unexp]],Input[[#This Row],[Cap Out fund R of Ind]],Input[[#This Row],[Cap Out fund Inv in P]])</f>
        <v>167101085</v>
      </c>
      <c r="VS54" s="343">
        <f>SUM(Input[[#This Row],[Oth Exp E&amp;G]],Input[[#This Row],[Oth Exp Desg]],Input[[#This Row],[Oth Exp R Exp]],Input[[#This Row],[Oth Exp Loan]],Input[[#This Row],[Oth Exp Annuity]],Input[[#This Row],[Oth Exp Unexp]],Input[[#This Row],[Oth Exp R of Ind]],Input[[#This Row],[Oth Exp Inv in P]],Input[[#This Row],[Oth Exp Inv in P]])</f>
        <v>16956998</v>
      </c>
    </row>
    <row r="55" spans="1:591" s="344" customFormat="1" ht="27" customHeight="1" x14ac:dyDescent="0.55000000000000004">
      <c r="A55" s="339" t="s">
        <v>179</v>
      </c>
      <c r="B55" s="350" t="s">
        <v>1826</v>
      </c>
      <c r="C55" s="350" t="s">
        <v>746</v>
      </c>
      <c r="D55" s="334">
        <v>50</v>
      </c>
      <c r="E55" s="334" t="s">
        <v>1622</v>
      </c>
      <c r="F55" s="335">
        <v>3658</v>
      </c>
      <c r="G55" s="336">
        <v>420755427</v>
      </c>
      <c r="H55" s="336">
        <v>0</v>
      </c>
      <c r="I55" s="336">
        <v>0</v>
      </c>
      <c r="J55" s="336">
        <v>0</v>
      </c>
      <c r="K55" s="336">
        <v>0</v>
      </c>
      <c r="L55" s="336">
        <v>0</v>
      </c>
      <c r="M55" s="336">
        <v>0</v>
      </c>
      <c r="N55" s="336">
        <v>0</v>
      </c>
      <c r="O55" s="336">
        <v>0</v>
      </c>
      <c r="P55" s="336">
        <v>32709965</v>
      </c>
      <c r="Q55" s="336">
        <v>26602149</v>
      </c>
      <c r="R55" s="336">
        <v>0</v>
      </c>
      <c r="S55" s="336">
        <v>10837369</v>
      </c>
      <c r="T55" s="336">
        <v>0</v>
      </c>
      <c r="U55" s="336">
        <v>0</v>
      </c>
      <c r="V55" s="336">
        <v>0</v>
      </c>
      <c r="W55" s="336">
        <v>0</v>
      </c>
      <c r="X55" s="336">
        <v>0</v>
      </c>
      <c r="Y55" s="336">
        <v>0</v>
      </c>
      <c r="Z55" s="336">
        <v>0</v>
      </c>
      <c r="AA55" s="336">
        <v>0</v>
      </c>
      <c r="AB55" s="336">
        <v>0</v>
      </c>
      <c r="AC55" s="336">
        <v>0</v>
      </c>
      <c r="AD55" s="336">
        <v>0</v>
      </c>
      <c r="AE55" s="336">
        <v>0</v>
      </c>
      <c r="AF55" s="336">
        <v>0</v>
      </c>
      <c r="AG55" s="336">
        <v>0</v>
      </c>
      <c r="AH55" s="336">
        <v>524967000</v>
      </c>
      <c r="AI55" s="336">
        <v>0</v>
      </c>
      <c r="AJ55" s="336">
        <v>0</v>
      </c>
      <c r="AK55" s="336">
        <v>0</v>
      </c>
      <c r="AL55" s="336">
        <v>0</v>
      </c>
      <c r="AM55" s="336">
        <v>0</v>
      </c>
      <c r="AN55" s="336">
        <v>0</v>
      </c>
      <c r="AO55" s="336">
        <v>0</v>
      </c>
      <c r="AP55" s="336">
        <v>0</v>
      </c>
      <c r="AQ55" s="336">
        <v>-51091923</v>
      </c>
      <c r="AR55" s="336">
        <v>-17289426</v>
      </c>
      <c r="AS55" s="336">
        <v>0</v>
      </c>
      <c r="AT55" s="336">
        <v>0</v>
      </c>
      <c r="AU55" s="336">
        <v>0</v>
      </c>
      <c r="AV55" s="336">
        <v>0</v>
      </c>
      <c r="AW55" s="336">
        <v>0</v>
      </c>
      <c r="AX55" s="336">
        <v>0</v>
      </c>
      <c r="AY55" s="336">
        <v>0</v>
      </c>
      <c r="AZ55" s="336">
        <v>0</v>
      </c>
      <c r="BA55" s="336">
        <v>0</v>
      </c>
      <c r="BB55" s="336">
        <v>0</v>
      </c>
      <c r="BC55" s="336">
        <v>0</v>
      </c>
      <c r="BD55" s="336">
        <v>0</v>
      </c>
      <c r="BE55" s="336">
        <v>0</v>
      </c>
      <c r="BF55" s="336">
        <v>0</v>
      </c>
      <c r="BG55" s="336">
        <v>0</v>
      </c>
      <c r="BH55" s="336">
        <v>0</v>
      </c>
      <c r="BI55" s="336">
        <v>0</v>
      </c>
      <c r="BJ55" s="336">
        <v>0</v>
      </c>
      <c r="BK55" s="336">
        <v>0</v>
      </c>
      <c r="BL55" s="336">
        <v>0</v>
      </c>
      <c r="BM55" s="336">
        <v>0</v>
      </c>
      <c r="BN55" s="336">
        <v>0</v>
      </c>
      <c r="BO55" s="336">
        <v>0</v>
      </c>
      <c r="BP55" s="336">
        <v>0</v>
      </c>
      <c r="BQ55" s="336">
        <v>0</v>
      </c>
      <c r="BR55" s="336">
        <v>0</v>
      </c>
      <c r="BS55" s="336">
        <v>0</v>
      </c>
      <c r="BT55" s="336">
        <v>0</v>
      </c>
      <c r="BU55" s="336">
        <v>0</v>
      </c>
      <c r="BV55" s="336">
        <v>0</v>
      </c>
      <c r="BW55" s="336">
        <v>0</v>
      </c>
      <c r="BX55" s="336">
        <v>0</v>
      </c>
      <c r="BY55" s="336">
        <v>0</v>
      </c>
      <c r="BZ55" s="336">
        <v>0</v>
      </c>
      <c r="CA55" s="336">
        <v>129900456</v>
      </c>
      <c r="CB55" s="336">
        <v>537177653</v>
      </c>
      <c r="CC55" s="336">
        <v>0</v>
      </c>
      <c r="CD55" s="336">
        <v>0</v>
      </c>
      <c r="CE55" s="336">
        <v>0</v>
      </c>
      <c r="CF55" s="336">
        <v>0</v>
      </c>
      <c r="CG55" s="336">
        <v>0</v>
      </c>
      <c r="CH55" s="336">
        <v>0</v>
      </c>
      <c r="CI55" s="336">
        <v>0</v>
      </c>
      <c r="CJ55" s="336">
        <v>0</v>
      </c>
      <c r="CK55" s="336">
        <v>0</v>
      </c>
      <c r="CL55" s="336">
        <v>0</v>
      </c>
      <c r="CM55" s="336">
        <v>0</v>
      </c>
      <c r="CN55" s="336">
        <v>0</v>
      </c>
      <c r="CO55" s="336">
        <v>0</v>
      </c>
      <c r="CP55" s="336">
        <v>0</v>
      </c>
      <c r="CQ55" s="336">
        <v>0</v>
      </c>
      <c r="CR55" s="336">
        <v>0</v>
      </c>
      <c r="CS55" s="336">
        <v>0</v>
      </c>
      <c r="CT55" s="336">
        <v>0</v>
      </c>
      <c r="CU55" s="336">
        <v>0</v>
      </c>
      <c r="CV55" s="336">
        <v>0</v>
      </c>
      <c r="CW55" s="336">
        <v>0</v>
      </c>
      <c r="CX55" s="336">
        <v>0</v>
      </c>
      <c r="CY55" s="336">
        <v>0</v>
      </c>
      <c r="CZ55" s="336">
        <v>0</v>
      </c>
      <c r="DA55" s="336">
        <v>0</v>
      </c>
      <c r="DB55" s="336">
        <v>-2344758</v>
      </c>
      <c r="DC55" s="336">
        <v>-16436394</v>
      </c>
      <c r="DD55" s="336">
        <v>0</v>
      </c>
      <c r="DE55" s="336">
        <v>0</v>
      </c>
      <c r="DF55" s="336">
        <v>0</v>
      </c>
      <c r="DG55" s="336">
        <v>0</v>
      </c>
      <c r="DH55" s="336">
        <v>0</v>
      </c>
      <c r="DI55" s="336">
        <v>0</v>
      </c>
      <c r="DJ55" s="336">
        <v>0</v>
      </c>
      <c r="DK55" s="336">
        <v>0</v>
      </c>
      <c r="DL55" s="336">
        <v>0</v>
      </c>
      <c r="DM55" s="336">
        <v>0</v>
      </c>
      <c r="DN55" s="336">
        <v>0</v>
      </c>
      <c r="DO55" s="336">
        <v>0</v>
      </c>
      <c r="DP55" s="336">
        <v>0</v>
      </c>
      <c r="DQ55" s="336">
        <v>0</v>
      </c>
      <c r="DR55" s="336">
        <v>0</v>
      </c>
      <c r="DS55" s="336">
        <v>0</v>
      </c>
      <c r="DT55" s="336">
        <v>-31494210</v>
      </c>
      <c r="DU55" s="336">
        <v>-136098785</v>
      </c>
      <c r="DV55" s="336">
        <v>0</v>
      </c>
      <c r="DW55" s="336">
        <v>0</v>
      </c>
      <c r="DX55" s="336">
        <v>0</v>
      </c>
      <c r="DY55" s="336">
        <v>0</v>
      </c>
      <c r="DZ55" s="336">
        <v>0</v>
      </c>
      <c r="EA55" s="336">
        <v>0</v>
      </c>
      <c r="EB55" s="336">
        <v>0</v>
      </c>
      <c r="EC55" s="336">
        <v>0</v>
      </c>
      <c r="ED55" s="336">
        <v>0</v>
      </c>
      <c r="EE55" s="336">
        <v>0</v>
      </c>
      <c r="EF55" s="336">
        <v>0</v>
      </c>
      <c r="EG55" s="336">
        <v>0</v>
      </c>
      <c r="EH55" s="336">
        <v>0</v>
      </c>
      <c r="EI55" s="336">
        <v>0</v>
      </c>
      <c r="EJ55" s="336">
        <v>0</v>
      </c>
      <c r="EK55" s="336">
        <v>0</v>
      </c>
      <c r="EL55" s="336">
        <v>0</v>
      </c>
      <c r="EM55" s="336">
        <v>0</v>
      </c>
      <c r="EN55" s="336">
        <v>0</v>
      </c>
      <c r="EO55" s="336">
        <v>0</v>
      </c>
      <c r="EP55" s="336">
        <v>0</v>
      </c>
      <c r="EQ55" s="336">
        <v>0</v>
      </c>
      <c r="ER55" s="336">
        <v>0</v>
      </c>
      <c r="ES55" s="336">
        <v>0</v>
      </c>
      <c r="ET55" s="336">
        <v>0</v>
      </c>
      <c r="EU55" s="336">
        <v>0</v>
      </c>
      <c r="EV55" s="336">
        <v>0</v>
      </c>
      <c r="EW55" s="336">
        <v>0</v>
      </c>
      <c r="EX55" s="336">
        <v>0</v>
      </c>
      <c r="EY55" s="336">
        <v>0</v>
      </c>
      <c r="EZ55" s="336">
        <v>0</v>
      </c>
      <c r="FA55" s="336">
        <v>0</v>
      </c>
      <c r="FB55" s="336">
        <v>0</v>
      </c>
      <c r="FC55" s="336">
        <v>0</v>
      </c>
      <c r="FD55" s="336">
        <v>0</v>
      </c>
      <c r="FE55" s="336">
        <v>0</v>
      </c>
      <c r="FF55" s="336">
        <v>0</v>
      </c>
      <c r="FG55" s="336">
        <v>0</v>
      </c>
      <c r="FH55" s="336">
        <v>0</v>
      </c>
      <c r="FI55" s="336">
        <v>0</v>
      </c>
      <c r="FJ55" s="336">
        <v>0</v>
      </c>
      <c r="FK55" s="336">
        <v>0</v>
      </c>
      <c r="FL55" s="336">
        <v>0</v>
      </c>
      <c r="FM55" s="336">
        <v>139273</v>
      </c>
      <c r="FN55" s="336">
        <v>50071071</v>
      </c>
      <c r="FO55" s="336">
        <v>47702938</v>
      </c>
      <c r="FP55" s="336">
        <v>0</v>
      </c>
      <c r="FQ55" s="336">
        <v>0</v>
      </c>
      <c r="FR55" s="336">
        <v>0</v>
      </c>
      <c r="FS55" s="336">
        <v>0</v>
      </c>
      <c r="FT55" s="336">
        <v>0</v>
      </c>
      <c r="FU55" s="336">
        <v>0</v>
      </c>
      <c r="FV55" s="336">
        <v>0</v>
      </c>
      <c r="FW55" s="336">
        <v>0</v>
      </c>
      <c r="FX55" s="336">
        <v>0</v>
      </c>
      <c r="FY55" s="336">
        <v>0</v>
      </c>
      <c r="FZ55" s="336">
        <v>0</v>
      </c>
      <c r="GA55" s="336">
        <v>0</v>
      </c>
      <c r="GB55" s="336">
        <v>0</v>
      </c>
      <c r="GC55" s="336">
        <v>0</v>
      </c>
      <c r="GD55" s="336">
        <v>0</v>
      </c>
      <c r="GE55" s="336">
        <v>0</v>
      </c>
      <c r="GF55" s="336">
        <v>0</v>
      </c>
      <c r="GG55" s="336">
        <v>0</v>
      </c>
      <c r="GH55" s="336">
        <v>0</v>
      </c>
      <c r="GI55" s="336">
        <v>0</v>
      </c>
      <c r="GJ55" s="336">
        <v>0</v>
      </c>
      <c r="GK55" s="336">
        <v>0</v>
      </c>
      <c r="GL55" s="336">
        <v>0</v>
      </c>
      <c r="GM55" s="336">
        <v>0</v>
      </c>
      <c r="GN55" s="336">
        <v>0</v>
      </c>
      <c r="GO55" s="336">
        <v>-1189766</v>
      </c>
      <c r="GP55" s="336">
        <v>0</v>
      </c>
      <c r="GQ55" s="336">
        <v>0</v>
      </c>
      <c r="GR55" s="336">
        <v>0</v>
      </c>
      <c r="GS55" s="336">
        <v>0</v>
      </c>
      <c r="GT55" s="336">
        <v>0</v>
      </c>
      <c r="GU55" s="336">
        <v>0</v>
      </c>
      <c r="GV55" s="336">
        <v>0</v>
      </c>
      <c r="GW55" s="336">
        <v>0</v>
      </c>
      <c r="GX55" s="336">
        <v>0</v>
      </c>
      <c r="GY55" s="336">
        <v>0</v>
      </c>
      <c r="GZ55" s="336">
        <v>0</v>
      </c>
      <c r="HA55" s="336">
        <v>0</v>
      </c>
      <c r="HB55" s="336">
        <v>0</v>
      </c>
      <c r="HC55" s="336">
        <v>0</v>
      </c>
      <c r="HD55" s="336">
        <v>0</v>
      </c>
      <c r="HE55" s="336">
        <v>0</v>
      </c>
      <c r="HF55" s="336">
        <v>-33767</v>
      </c>
      <c r="HG55" s="336">
        <v>-12685956</v>
      </c>
      <c r="HH55" s="336">
        <v>-11598416</v>
      </c>
      <c r="HI55" s="336">
        <v>0</v>
      </c>
      <c r="HJ55" s="336">
        <v>0</v>
      </c>
      <c r="HK55" s="336">
        <v>0</v>
      </c>
      <c r="HL55" s="336">
        <v>0</v>
      </c>
      <c r="HM55" s="336">
        <v>0</v>
      </c>
      <c r="HN55" s="336">
        <v>0</v>
      </c>
      <c r="HO55" s="336">
        <v>33103</v>
      </c>
      <c r="HP55" s="336">
        <v>153581703</v>
      </c>
      <c r="HQ55" s="336">
        <v>0</v>
      </c>
      <c r="HR55" s="336">
        <v>691717985</v>
      </c>
      <c r="HS55" s="336">
        <v>0</v>
      </c>
      <c r="HT55" s="336">
        <v>0</v>
      </c>
      <c r="HU55" s="336">
        <v>0</v>
      </c>
      <c r="HV55" s="336">
        <v>0</v>
      </c>
      <c r="HW55" s="336">
        <v>0</v>
      </c>
      <c r="HX55" s="336">
        <v>0</v>
      </c>
      <c r="HY55" s="336">
        <v>16555740</v>
      </c>
      <c r="HZ55" s="336">
        <v>0</v>
      </c>
      <c r="IA55" s="336">
        <v>0</v>
      </c>
      <c r="IB55" s="336">
        <v>0</v>
      </c>
      <c r="IC55" s="336">
        <v>0</v>
      </c>
      <c r="ID55" s="336">
        <v>0</v>
      </c>
      <c r="IE55" s="336">
        <v>0</v>
      </c>
      <c r="IF55" s="336">
        <v>0</v>
      </c>
      <c r="IG55" s="336">
        <v>0</v>
      </c>
      <c r="IH55" s="336">
        <v>5740495</v>
      </c>
      <c r="II55" s="336">
        <v>0</v>
      </c>
      <c r="IJ55" s="336">
        <v>0</v>
      </c>
      <c r="IK55" s="336">
        <v>0</v>
      </c>
      <c r="IL55" s="336">
        <v>0</v>
      </c>
      <c r="IM55" s="336">
        <v>0</v>
      </c>
      <c r="IN55" s="336">
        <v>0</v>
      </c>
      <c r="IO55" s="336">
        <v>0</v>
      </c>
      <c r="IP55" s="336">
        <v>10162594</v>
      </c>
      <c r="IQ55" s="336">
        <v>154279401</v>
      </c>
      <c r="IR55" s="336">
        <v>4287879</v>
      </c>
      <c r="IS55" s="336">
        <v>191627223</v>
      </c>
      <c r="IT55" s="336">
        <v>612414</v>
      </c>
      <c r="IU55" s="336">
        <v>14539</v>
      </c>
      <c r="IV55" s="336">
        <v>7496689</v>
      </c>
      <c r="IW55" s="336">
        <v>0</v>
      </c>
      <c r="IX55" s="336">
        <v>0</v>
      </c>
      <c r="IY55" s="336">
        <v>0</v>
      </c>
      <c r="IZ55" s="336">
        <v>35938928</v>
      </c>
      <c r="JA55" s="336">
        <v>0</v>
      </c>
      <c r="JB55" s="336">
        <v>5138045</v>
      </c>
      <c r="JC55" s="336">
        <v>0</v>
      </c>
      <c r="JD55" s="336">
        <v>0</v>
      </c>
      <c r="JE55" s="336">
        <v>0</v>
      </c>
      <c r="JF55" s="336">
        <v>0</v>
      </c>
      <c r="JG55" s="336">
        <v>0</v>
      </c>
      <c r="JH55" s="336">
        <v>0</v>
      </c>
      <c r="JI55" s="336">
        <v>159622762</v>
      </c>
      <c r="JJ55" s="336">
        <v>0</v>
      </c>
      <c r="JK55" s="336">
        <v>483717940</v>
      </c>
      <c r="JL55" s="336">
        <v>0</v>
      </c>
      <c r="JM55" s="336">
        <v>0</v>
      </c>
      <c r="JN55" s="336">
        <v>0</v>
      </c>
      <c r="JO55" s="336">
        <v>0</v>
      </c>
      <c r="JP55" s="336">
        <v>0</v>
      </c>
      <c r="JQ55" s="336">
        <v>6582820</v>
      </c>
      <c r="JR55" s="336">
        <v>312508109</v>
      </c>
      <c r="JS55" s="336">
        <v>0</v>
      </c>
      <c r="JT55" s="336">
        <v>43316955</v>
      </c>
      <c r="JU55" s="336">
        <v>0</v>
      </c>
      <c r="JV55" s="336">
        <v>0</v>
      </c>
      <c r="JW55" s="336">
        <v>0</v>
      </c>
      <c r="JX55" s="336">
        <v>0</v>
      </c>
      <c r="JY55" s="336">
        <v>0</v>
      </c>
      <c r="JZ55" s="336">
        <v>0</v>
      </c>
      <c r="KA55" s="336">
        <v>0</v>
      </c>
      <c r="KB55" s="336">
        <v>405045295</v>
      </c>
      <c r="KC55" s="336">
        <v>0</v>
      </c>
      <c r="KD55" s="336">
        <v>0</v>
      </c>
      <c r="KE55" s="336">
        <v>0</v>
      </c>
      <c r="KF55" s="336">
        <v>0</v>
      </c>
      <c r="KG55" s="336">
        <v>0</v>
      </c>
      <c r="KH55" s="336">
        <v>0</v>
      </c>
      <c r="KI55" s="336">
        <v>428802</v>
      </c>
      <c r="KJ55" s="336">
        <v>45342050</v>
      </c>
      <c r="KK55" s="336">
        <v>0</v>
      </c>
      <c r="KL55" s="336">
        <v>0</v>
      </c>
      <c r="KM55" s="336">
        <v>-741760</v>
      </c>
      <c r="KN55" s="336">
        <v>0</v>
      </c>
      <c r="KO55" s="336">
        <v>0</v>
      </c>
      <c r="KP55" s="336">
        <v>0</v>
      </c>
      <c r="KQ55" s="336">
        <v>21911108</v>
      </c>
      <c r="KR55" s="336">
        <v>537664467</v>
      </c>
      <c r="KS55" s="336">
        <v>164854708</v>
      </c>
      <c r="KT55" s="336">
        <v>0</v>
      </c>
      <c r="KU55" s="336">
        <v>76502885</v>
      </c>
      <c r="KV55" s="336">
        <v>0</v>
      </c>
      <c r="KW55" s="336">
        <v>0</v>
      </c>
      <c r="KX55" s="336">
        <v>0</v>
      </c>
      <c r="KY55" s="336">
        <v>0</v>
      </c>
      <c r="KZ55" s="336">
        <v>0</v>
      </c>
      <c r="LA55" s="336">
        <v>87560255</v>
      </c>
      <c r="LB55" s="336">
        <v>70626240</v>
      </c>
      <c r="LC55" s="336">
        <v>0</v>
      </c>
      <c r="LD55" s="336">
        <v>691078708</v>
      </c>
      <c r="LE55" s="336">
        <v>0</v>
      </c>
      <c r="LF55" s="336">
        <v>0</v>
      </c>
      <c r="LG55" s="336">
        <v>0</v>
      </c>
      <c r="LH55" s="336">
        <v>0</v>
      </c>
      <c r="LI55" s="336">
        <v>0</v>
      </c>
      <c r="LJ55" s="336">
        <v>13976407</v>
      </c>
      <c r="LK55" s="336">
        <v>86837286</v>
      </c>
      <c r="LL55" s="336">
        <v>0</v>
      </c>
      <c r="LM55" s="336">
        <v>99201196</v>
      </c>
      <c r="LN55" s="336">
        <v>0</v>
      </c>
      <c r="LO55" s="336">
        <v>0</v>
      </c>
      <c r="LP55" s="336">
        <v>0</v>
      </c>
      <c r="LQ55" s="336">
        <v>0</v>
      </c>
      <c r="LR55" s="336">
        <v>0</v>
      </c>
      <c r="LS55" s="336">
        <v>15675387</v>
      </c>
      <c r="LT55" s="336">
        <v>166507232</v>
      </c>
      <c r="LU55" s="336">
        <v>0</v>
      </c>
      <c r="LV55" s="336">
        <v>673299</v>
      </c>
      <c r="LW55" s="336">
        <v>0</v>
      </c>
      <c r="LX55" s="336">
        <v>0</v>
      </c>
      <c r="LY55" s="336">
        <v>0</v>
      </c>
      <c r="LZ55" s="336">
        <v>0</v>
      </c>
      <c r="MA55" s="336">
        <v>0</v>
      </c>
      <c r="MB55" s="336">
        <v>167158255</v>
      </c>
      <c r="MC55" s="336">
        <v>285873856</v>
      </c>
      <c r="MD55" s="336">
        <v>0</v>
      </c>
      <c r="ME55" s="336">
        <v>92758541</v>
      </c>
      <c r="MF55" s="336">
        <v>0</v>
      </c>
      <c r="MG55" s="336">
        <v>0</v>
      </c>
      <c r="MH55" s="336">
        <v>0</v>
      </c>
      <c r="MI55" s="336">
        <v>0</v>
      </c>
      <c r="MJ55" s="336">
        <v>0</v>
      </c>
      <c r="MK55" s="336">
        <v>18861934</v>
      </c>
      <c r="ML55" s="336">
        <v>31674300</v>
      </c>
      <c r="MM55" s="336">
        <v>0</v>
      </c>
      <c r="MN55" s="336">
        <v>4045115</v>
      </c>
      <c r="MO55" s="336">
        <v>-3881659</v>
      </c>
      <c r="MP55" s="336">
        <v>0</v>
      </c>
      <c r="MQ55" s="336">
        <v>0</v>
      </c>
      <c r="MR55" s="336">
        <v>0</v>
      </c>
      <c r="MS55" s="336">
        <v>0</v>
      </c>
      <c r="MT55" s="336">
        <v>98519229</v>
      </c>
      <c r="MU55" s="336">
        <v>139680349</v>
      </c>
      <c r="MV55" s="336">
        <v>0</v>
      </c>
      <c r="MW55" s="336">
        <v>17102026</v>
      </c>
      <c r="MX55" s="336">
        <v>0</v>
      </c>
      <c r="MY55" s="336">
        <v>0</v>
      </c>
      <c r="MZ55" s="336">
        <v>0</v>
      </c>
      <c r="NA55" s="336">
        <v>0</v>
      </c>
      <c r="NB55" s="336">
        <v>0</v>
      </c>
      <c r="NC55" s="336">
        <v>4514736</v>
      </c>
      <c r="ND55" s="336">
        <v>182038706</v>
      </c>
      <c r="NE55" s="336">
        <v>0</v>
      </c>
      <c r="NF55" s="336">
        <v>44799</v>
      </c>
      <c r="NG55" s="336">
        <v>0</v>
      </c>
      <c r="NH55" s="336">
        <v>0</v>
      </c>
      <c r="NI55" s="336">
        <v>88053686</v>
      </c>
      <c r="NJ55" s="336">
        <v>0</v>
      </c>
      <c r="NK55" s="336">
        <v>0</v>
      </c>
      <c r="NL55" s="336">
        <v>53394977</v>
      </c>
      <c r="NM55" s="336">
        <v>54320220</v>
      </c>
      <c r="NN55" s="336">
        <v>0</v>
      </c>
      <c r="NO55" s="336">
        <v>83075333</v>
      </c>
      <c r="NP55" s="336">
        <v>0</v>
      </c>
      <c r="NQ55" s="336">
        <v>0</v>
      </c>
      <c r="NR55" s="336">
        <v>0</v>
      </c>
      <c r="NS55" s="336">
        <v>0</v>
      </c>
      <c r="NT55" s="336">
        <v>0</v>
      </c>
      <c r="NU55" s="336">
        <v>0</v>
      </c>
      <c r="NV55" s="336">
        <v>1105</v>
      </c>
      <c r="NW55" s="336">
        <v>339143935</v>
      </c>
      <c r="NX55" s="336">
        <v>92538115</v>
      </c>
      <c r="NY55" s="336">
        <v>0</v>
      </c>
      <c r="NZ55" s="336">
        <v>0</v>
      </c>
      <c r="OA55" s="336">
        <v>0</v>
      </c>
      <c r="OB55" s="336">
        <v>0</v>
      </c>
      <c r="OC55" s="336">
        <v>0</v>
      </c>
      <c r="OD55" s="336">
        <v>91807086</v>
      </c>
      <c r="OE55" s="336">
        <v>36316475</v>
      </c>
      <c r="OF55" s="336">
        <v>1890242</v>
      </c>
      <c r="OG55" s="336">
        <v>39693766</v>
      </c>
      <c r="OH55" s="336">
        <v>0</v>
      </c>
      <c r="OI55" s="336">
        <v>0</v>
      </c>
      <c r="OJ55" s="336">
        <v>0</v>
      </c>
      <c r="OK55" s="336">
        <v>0</v>
      </c>
      <c r="OL55" s="336">
        <v>0</v>
      </c>
      <c r="OM55" s="336">
        <v>62650</v>
      </c>
      <c r="ON55" s="336">
        <v>2223761</v>
      </c>
      <c r="OO55" s="336">
        <v>2219</v>
      </c>
      <c r="OP55" s="336">
        <v>59761</v>
      </c>
      <c r="OQ55" s="336">
        <v>1695684</v>
      </c>
      <c r="OR55" s="336">
        <v>0</v>
      </c>
      <c r="OS55" s="336">
        <v>0</v>
      </c>
      <c r="OT55" s="336">
        <v>0</v>
      </c>
      <c r="OU55" s="336">
        <v>6546321</v>
      </c>
      <c r="OV55" s="336">
        <v>0</v>
      </c>
      <c r="OW55" s="336">
        <v>0</v>
      </c>
      <c r="OX55" s="336">
        <v>0</v>
      </c>
      <c r="OY55" s="336">
        <v>0</v>
      </c>
      <c r="OZ55" s="336">
        <v>0</v>
      </c>
      <c r="PA55" s="336">
        <v>0</v>
      </c>
      <c r="PB55" s="336">
        <v>-386716734</v>
      </c>
      <c r="PC55" s="336">
        <v>0</v>
      </c>
      <c r="PD55" s="336">
        <v>0</v>
      </c>
      <c r="PE55" s="336">
        <v>107797054</v>
      </c>
      <c r="PF55" s="336">
        <v>-127952477</v>
      </c>
      <c r="PG55" s="336">
        <v>303540510</v>
      </c>
      <c r="PH55" s="336">
        <v>-148245773</v>
      </c>
      <c r="PI55" s="336">
        <v>-950986</v>
      </c>
      <c r="PJ55" s="336">
        <v>33219370</v>
      </c>
      <c r="PK55" s="336">
        <v>207945137</v>
      </c>
      <c r="PL55" s="336">
        <v>0</v>
      </c>
      <c r="PM55" s="336">
        <v>-329496653</v>
      </c>
      <c r="PN55" s="336">
        <v>0</v>
      </c>
      <c r="PO55" s="336">
        <v>0</v>
      </c>
      <c r="PP55" s="336">
        <v>0</v>
      </c>
      <c r="PQ55" s="336">
        <v>0</v>
      </c>
      <c r="PR55" s="336">
        <v>0</v>
      </c>
      <c r="PS55" s="336">
        <v>0</v>
      </c>
      <c r="PT55" s="336">
        <v>197030408</v>
      </c>
      <c r="PU55" s="336">
        <v>0</v>
      </c>
      <c r="PV55" s="336">
        <v>0</v>
      </c>
      <c r="PW55" s="336">
        <v>-24034914</v>
      </c>
      <c r="PX55" s="336">
        <v>-72379202</v>
      </c>
      <c r="PY55" s="336">
        <v>-53624593</v>
      </c>
      <c r="PZ55" s="336">
        <v>-2136460</v>
      </c>
      <c r="QA55" s="336">
        <v>0</v>
      </c>
      <c r="QB55" s="336">
        <v>0</v>
      </c>
      <c r="QC55" s="336">
        <v>-1402132</v>
      </c>
      <c r="QD55" s="336">
        <v>0</v>
      </c>
      <c r="QE55" s="336">
        <v>0</v>
      </c>
      <c r="QF55" s="336">
        <v>9573638</v>
      </c>
      <c r="QG55" s="336">
        <v>72858435</v>
      </c>
      <c r="QH55" s="336">
        <v>14963611</v>
      </c>
      <c r="QI55" s="336">
        <v>38605217</v>
      </c>
      <c r="QJ55" s="336">
        <v>2200382</v>
      </c>
      <c r="QK55" s="336">
        <v>274610236</v>
      </c>
      <c r="QL55" s="336">
        <v>29884218</v>
      </c>
      <c r="QM55" s="336">
        <v>0</v>
      </c>
      <c r="QN55" s="336">
        <v>0</v>
      </c>
      <c r="QO55" s="336">
        <v>0</v>
      </c>
      <c r="QP55" s="336">
        <v>0</v>
      </c>
      <c r="QQ55" s="336">
        <v>0</v>
      </c>
      <c r="QR55" s="336">
        <v>0</v>
      </c>
      <c r="QS55" s="336">
        <v>0</v>
      </c>
      <c r="QT55" s="336">
        <v>128184509</v>
      </c>
      <c r="QU55" s="336">
        <v>0</v>
      </c>
      <c r="QV55" s="336">
        <v>0</v>
      </c>
      <c r="QW55" s="336">
        <v>0</v>
      </c>
      <c r="QX55" s="336">
        <v>0</v>
      </c>
      <c r="QY55" s="336">
        <v>0</v>
      </c>
      <c r="QZ55" s="336">
        <v>0</v>
      </c>
      <c r="RA55" s="336">
        <v>0</v>
      </c>
      <c r="RB55" s="336">
        <v>0</v>
      </c>
      <c r="RC55" s="336">
        <v>0</v>
      </c>
      <c r="RD55" s="336">
        <v>0</v>
      </c>
      <c r="RE55" s="336">
        <v>0</v>
      </c>
      <c r="RF55" s="336">
        <v>0</v>
      </c>
      <c r="RG55" s="336">
        <v>0</v>
      </c>
      <c r="RH55" s="336">
        <v>0</v>
      </c>
      <c r="RI55" s="336">
        <v>0</v>
      </c>
      <c r="RJ55" s="336">
        <v>0</v>
      </c>
      <c r="RK55" s="336">
        <v>0</v>
      </c>
      <c r="RL55" s="336">
        <v>0</v>
      </c>
      <c r="RM55" s="336">
        <v>0</v>
      </c>
      <c r="RN55" s="336">
        <v>0</v>
      </c>
      <c r="RO55" s="336">
        <v>-375062863</v>
      </c>
      <c r="RP55" s="336">
        <v>0</v>
      </c>
      <c r="RQ55" s="336">
        <v>0</v>
      </c>
      <c r="RR55" s="336">
        <v>0</v>
      </c>
      <c r="RS55" s="336">
        <v>0</v>
      </c>
      <c r="RT55" s="336">
        <v>0</v>
      </c>
      <c r="RU55" s="336">
        <v>0</v>
      </c>
      <c r="RV55" s="336">
        <v>0</v>
      </c>
      <c r="RW55" s="336">
        <v>0</v>
      </c>
      <c r="RX55" s="336">
        <v>0</v>
      </c>
      <c r="RY55" s="336">
        <v>0</v>
      </c>
      <c r="RZ55" s="336">
        <v>0</v>
      </c>
      <c r="SA55" s="336">
        <v>0</v>
      </c>
      <c r="SB55" s="336">
        <v>0</v>
      </c>
      <c r="SC55" s="336">
        <v>0</v>
      </c>
      <c r="SD55" s="336">
        <v>0</v>
      </c>
      <c r="SE55" s="336">
        <v>0</v>
      </c>
      <c r="SF55" s="336">
        <v>0</v>
      </c>
      <c r="SG55" s="336">
        <v>0</v>
      </c>
      <c r="SH55" s="336">
        <v>0</v>
      </c>
      <c r="SI55" s="336">
        <v>0</v>
      </c>
      <c r="SJ55" s="336">
        <v>0</v>
      </c>
      <c r="SK55" s="336">
        <v>0</v>
      </c>
      <c r="SL55" s="336">
        <v>0</v>
      </c>
      <c r="SM55" s="336">
        <v>0</v>
      </c>
      <c r="SN55" s="336">
        <v>0</v>
      </c>
      <c r="SO55" s="336">
        <v>0</v>
      </c>
      <c r="SP55" s="336">
        <v>105261626</v>
      </c>
      <c r="SQ55" s="336">
        <v>0</v>
      </c>
      <c r="SR55" s="336">
        <v>0</v>
      </c>
      <c r="SS55" s="336">
        <v>0</v>
      </c>
      <c r="ST55" s="336">
        <v>0</v>
      </c>
      <c r="SU55" s="336">
        <v>0</v>
      </c>
      <c r="SV55" s="336">
        <v>0</v>
      </c>
      <c r="SW55" s="336">
        <v>0</v>
      </c>
      <c r="SX55" s="336">
        <v>0</v>
      </c>
      <c r="SY55" s="336">
        <v>556424303</v>
      </c>
      <c r="SZ55" s="336" t="s">
        <v>1420</v>
      </c>
      <c r="TA55" s="336" t="s">
        <v>1420</v>
      </c>
      <c r="TB55" s="336" t="s">
        <v>1420</v>
      </c>
      <c r="TC55" s="336">
        <v>3372966</v>
      </c>
      <c r="TD55" s="336">
        <v>70914119</v>
      </c>
      <c r="TE55" s="336">
        <v>4235444</v>
      </c>
      <c r="TF55" s="336">
        <v>127527</v>
      </c>
      <c r="TG55" s="336">
        <v>12323576</v>
      </c>
      <c r="TH55" s="336">
        <v>44298</v>
      </c>
      <c r="TI55" s="336">
        <v>18374124</v>
      </c>
      <c r="TJ55" s="336">
        <v>57930805</v>
      </c>
      <c r="TK55" s="336">
        <v>51284</v>
      </c>
      <c r="TL55" s="336">
        <v>2333426</v>
      </c>
      <c r="TM55" s="336">
        <v>23445</v>
      </c>
      <c r="TN55" s="336">
        <v>871545</v>
      </c>
      <c r="TO55" s="336">
        <v>2106757</v>
      </c>
      <c r="TP55" s="336">
        <v>962852</v>
      </c>
      <c r="TQ55" s="336">
        <v>0</v>
      </c>
      <c r="TR55" s="336">
        <v>0</v>
      </c>
      <c r="TS55" s="336">
        <v>0</v>
      </c>
      <c r="TT55" s="336">
        <v>0</v>
      </c>
      <c r="TU55" s="336">
        <v>0</v>
      </c>
      <c r="TV55" s="336">
        <v>0</v>
      </c>
      <c r="TW55" s="336">
        <v>0</v>
      </c>
      <c r="TX55" s="336">
        <v>200654</v>
      </c>
      <c r="TY55" s="336">
        <v>0</v>
      </c>
      <c r="TZ55" s="336">
        <v>0</v>
      </c>
      <c r="UA55" s="336">
        <v>8769094</v>
      </c>
      <c r="UB55" s="336">
        <v>0</v>
      </c>
      <c r="UC55" s="336">
        <v>0</v>
      </c>
      <c r="UD55" s="336">
        <v>0</v>
      </c>
      <c r="UE55" s="336">
        <v>0</v>
      </c>
      <c r="UF55" s="336">
        <v>9972377</v>
      </c>
      <c r="UG55" s="336">
        <v>4231883</v>
      </c>
      <c r="UH55" s="336">
        <v>779022060</v>
      </c>
      <c r="UI55" s="336">
        <v>849265203</v>
      </c>
      <c r="UJ55" s="336">
        <v>200014889</v>
      </c>
      <c r="UK55" s="336">
        <v>182855918</v>
      </c>
      <c r="UL55" s="336">
        <v>545790652</v>
      </c>
      <c r="UM55" s="336">
        <v>50699690</v>
      </c>
      <c r="UN55" s="336">
        <v>255301604</v>
      </c>
      <c r="UO55" s="336">
        <v>274651927</v>
      </c>
      <c r="UP55" s="336">
        <v>190790530</v>
      </c>
      <c r="UQ55" s="336">
        <v>431683155</v>
      </c>
      <c r="UR55"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169707569</v>
      </c>
      <c r="US55" s="338">
        <f>SUM(Input[[#This Row],[Oth Exp E&amp;G]],Input[[#This Row],[Oth Exp Desg]],Input[[#This Row],[Oth Exp Aux]],Input[[#This Row],[Oth Exp R Exp]],Input[[#This Row],[Oth Exp Loan]],Input[[#This Row],[Oth Exp Annuity]],Input[[#This Row],[Oth Exp Unexp]],Input[[#This Row],[Oth Exp R of Ind]],Input[[#This Row],[Oth Exp Inv in P]])</f>
        <v>10590396</v>
      </c>
      <c r="UT55" s="336">
        <v>86121030</v>
      </c>
      <c r="UU55" s="336">
        <v>442695737</v>
      </c>
      <c r="UV55" s="339" t="s">
        <v>1554</v>
      </c>
      <c r="UW55" s="340"/>
      <c r="UX55" s="339" t="s">
        <v>1555</v>
      </c>
      <c r="UY55" s="339" t="s">
        <v>1556</v>
      </c>
      <c r="UZ55" s="340"/>
      <c r="VA55" s="339" t="s">
        <v>1557</v>
      </c>
      <c r="VB55" s="341" t="str" cm="1">
        <f t="array" ref="VB55">IFERROR(_xlfn.IFS(Input[[#This Row],[Type]]="HRI",VLOOKUP(Input[[#This Row],[Institution Name]],FTSEHRI[],9,FALSE),Input[[#This Row],[Type]]="UNIV",VLOOKUP(Input[[#This Row],[Institution Name]],FTSEUNIV[],9,FALSE),OR(Input[[#This Row],[Type]]="TSTC",Input[[#This Row],[Type]]="LSC"),VLOOKUP(Input[[#This Row],[Institution Name]],FTSETSTC[],8,FALSE)),"N/A")</f>
        <v>N/A</v>
      </c>
      <c r="VC55" s="342" t="str" cm="1">
        <f t="array" ref="VC55">IFERROR(_xlfn.IFS(Input[[#This Row],[Type]]="HRI",VLOOKUP(Input[[#This Row],[Institution Name]],FTSEHRI[],11,FALSE),Input[[#This Row],[Type]]="UNIV",VLOOKUP(Input[[#This Row],[Institution Name]],FTSEUNIV[],11,FALSE),Input[[#This Row],[Type]]="TSTC",VLOOKUP(Input[[#This Row],[Institution Name]],FTSETSTC[],10,FALSE)),"N/A")</f>
        <v>N/A</v>
      </c>
      <c r="VD55"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490904910</v>
      </c>
      <c r="VE55"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524967000</v>
      </c>
      <c r="VF55" s="338">
        <f>SUM(Input[[#This Row],[Fed G&amp;C E&amp;G]],Input[[#This Row],[Fed G&amp;C Desg]],Input[[#This Row],[Fed G&amp;C R Exp]],Input[[#This Row],[Fed G&amp;C Loan]],Input[[#This Row],[Fed G&amp;C Annuity]],Input[[#This Row],[Fed G&amp;C Unexp]],Input[[#This Row],[Fed G&amp;C R of Ind]],Input[[#This Row],[Fed G&amp;C Inv in P]])</f>
        <v>845332791</v>
      </c>
      <c r="VG55"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1477958619</v>
      </c>
      <c r="VH55"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480703962</v>
      </c>
      <c r="VI55"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36300855</v>
      </c>
      <c r="VJ55" s="338">
        <f>SUM(Input[[#This Row],[Oth Inc E&amp;G]],Input[[#This Row],[Oth Exp Desg]],Input[[#This Row],[Oth Exp R Exp]],Input[[#This Row],[Oth Exp Loan]],Input[[#This Row],[Oth Exp Annuity]],Input[[#This Row],[Oth Exp Unexp]],Input[[#This Row],[Oth Exp R of Ind]],Input[[#This Row],[Oth Exp Inv in P]])</f>
        <v>10954329</v>
      </c>
      <c r="VK55" s="343">
        <f>SUM(Input[[#This Row],[Instr E&amp;G]],Input[[#This Row],[Instr Desg]],Input[[#This Row],[Instr R Exp]],Input[[#This Row],[Instr Loan]],Input[[#This Row],[Instr Annuity]],Input[[#This Row],[Instr Unexp]],Input[[#This Row],[Instr R of Ind]],Input[[#This Row],[Instr Inv in P]])</f>
        <v>779022060</v>
      </c>
      <c r="VL55" s="343">
        <f>SUM(Input[[#This Row],[Res E&amp;G]],Input[[#This Row],[Res Desg]],Input[[#This Row],[Res R Exp]],Input[[#This Row],[Res Loan]],Input[[#This Row],[Res Annuity]],Input[[#This Row],[Res Unexp]],Input[[#This Row],[Res R of Ind]],Input[[#This Row],[Res Inv in P]])</f>
        <v>849265203</v>
      </c>
      <c r="VM55" s="343">
        <f>SUM(Input[[#This Row],[Acad Sup E&amp;G]],Input[[#This Row],[Acad Sup Desg]],Input[[#This Row],[Acad Sup R Exp]],Input[[#This Row],[Acad Sup Loan]],Input[[#This Row],[Acad Sup Annuity]],Input[[#This Row],[Acad Sup Unexp]],Input[[#This Row],[Acad Sup R of Ind]],Input[[#This Row],[Acad Sup Inv in P]])</f>
        <v>545790652</v>
      </c>
      <c r="VN55" s="343">
        <f>SUM(Input[[#This Row],[Stu Svc E&amp;G]],Input[[#This Row],[Stu Svc Desg]],Input[[#This Row],[Stu Svc R Exp]],Input[[#This Row],[Stu Svc Loan]],Input[[#This Row],[Stu Svc Annuity]],Input[[#This Row],[Stu Svc Unexp]],Input[[#This Row],[Stu Svc R of Ind]],Input[[#This Row],[Stu Svc Inv in P]])</f>
        <v>50699690</v>
      </c>
      <c r="VO55" s="343">
        <f>SUM(Input[[#This Row],[Inst. Spt E&amp;G]],Input[[#This Row],[Inst. Spt Desg]],Input[[#This Row],[Inst. Spt R Exp]],Input[[#This Row],[Inst. Spt Loan]],Input[[#This Row],[Inst. Spt Annuity]],Input[[#This Row],[Inst. Spt Unexp]],Input[[#This Row],[Inst. Spt R of Ind]],Input[[#This Row],[Inst. Spt Inv in P]])</f>
        <v>255301604</v>
      </c>
      <c r="VP55" s="343">
        <f>SUM(Input[[#This Row],[M&amp;O Plnt E&amp;G]],Input[[#This Row],[M&amp;O Plnt Desg]],Input[[#This Row],[M&amp;O Plnt R Exp]],Input[[#This Row],[M&amp;O Plnt Loan]],Input[[#This Row],[M&amp;O Plnt Annuity]],Input[[#This Row],[M&amp;O Plnt Unexp]],Input[[#This Row],[M&amp;O Plnt R of Ind]],Input[[#This Row],[M&amp;O Plnt Inv in P]])</f>
        <v>274651927</v>
      </c>
      <c r="VQ55" s="343">
        <f>SUM(Input[[#This Row],[Schl &amp; Fell E&amp;G]],Input[[#This Row],[Schl &amp; Fell Desg]],Input[[#This Row],[Schl &amp; Fell R Exp]],Input[[#This Row],[Schl &amp; Fell Loan]],Input[[#This Row],[Schl &amp; Fell Annuity]],Input[[#This Row],[Schl &amp; Fell Unexp]],Input[[#This Row],[Schl &amp; Fell R of Ind]],Input[[#This Row],[Schl &amp; Fell Inv in P]])</f>
        <v>190790530</v>
      </c>
      <c r="VR55" s="343">
        <f>SUM(Input[[#This Row],[Cap Out fund E&amp;G]],Input[[#This Row],[Cap Out fund Desg]],Input[[#This Row],[Cap Out fund R Exp]],Input[[#This Row],[Cap Out fund Loan]],Input[[#This Row],[Cap Out fund Annuity]],Input[[#This Row],[Cap Out fund Unexp]],Input[[#This Row],[Cap Out fund R of Ind]],Input[[#This Row],[Cap Out fund Inv in P]])</f>
        <v>167817327</v>
      </c>
      <c r="VS55" s="343">
        <f>SUM(Input[[#This Row],[Oth Exp E&amp;G]],Input[[#This Row],[Oth Exp Desg]],Input[[#This Row],[Oth Exp R Exp]],Input[[#This Row],[Oth Exp Loan]],Input[[#This Row],[Oth Exp Annuity]],Input[[#This Row],[Oth Exp Unexp]],Input[[#This Row],[Oth Exp R of Ind]],Input[[#This Row],[Oth Exp Inv in P]],Input[[#This Row],[Oth Exp Inv in P]])</f>
        <v>17134498</v>
      </c>
    </row>
    <row r="56" spans="1:591" s="344" customFormat="1" ht="27" customHeight="1" x14ac:dyDescent="0.55000000000000004">
      <c r="A56" s="339" t="s">
        <v>742</v>
      </c>
      <c r="B56" s="334" t="s">
        <v>829</v>
      </c>
      <c r="C56" s="334" t="s">
        <v>14</v>
      </c>
      <c r="D56" s="334">
        <v>510</v>
      </c>
      <c r="E56" s="334" t="s">
        <v>1623</v>
      </c>
      <c r="F56" s="335">
        <v>203658</v>
      </c>
      <c r="G56" s="336">
        <v>16760652</v>
      </c>
      <c r="H56" s="336">
        <v>0</v>
      </c>
      <c r="I56" s="336">
        <v>0</v>
      </c>
      <c r="J56" s="336">
        <v>0</v>
      </c>
      <c r="K56" s="336">
        <v>0</v>
      </c>
      <c r="L56" s="336">
        <v>0</v>
      </c>
      <c r="M56" s="336">
        <v>0</v>
      </c>
      <c r="N56" s="336">
        <v>0</v>
      </c>
      <c r="O56" s="336">
        <v>0</v>
      </c>
      <c r="P56" s="336">
        <v>0</v>
      </c>
      <c r="Q56" s="336">
        <v>550515</v>
      </c>
      <c r="R56" s="336">
        <v>0</v>
      </c>
      <c r="S56" s="336">
        <v>2603670</v>
      </c>
      <c r="T56" s="336">
        <v>0</v>
      </c>
      <c r="U56" s="336">
        <v>0</v>
      </c>
      <c r="V56" s="336">
        <v>0</v>
      </c>
      <c r="W56" s="336">
        <v>0</v>
      </c>
      <c r="X56" s="336">
        <v>0</v>
      </c>
      <c r="Y56" s="336">
        <v>0</v>
      </c>
      <c r="Z56" s="336">
        <v>0</v>
      </c>
      <c r="AA56" s="336">
        <v>0</v>
      </c>
      <c r="AB56" s="336">
        <v>0</v>
      </c>
      <c r="AC56" s="336">
        <v>0</v>
      </c>
      <c r="AD56" s="336">
        <v>0</v>
      </c>
      <c r="AE56" s="336">
        <v>0</v>
      </c>
      <c r="AF56" s="336">
        <v>0</v>
      </c>
      <c r="AG56" s="336">
        <v>0</v>
      </c>
      <c r="AH56" s="336">
        <v>25010190</v>
      </c>
      <c r="AI56" s="336">
        <v>0</v>
      </c>
      <c r="AJ56" s="336">
        <v>0</v>
      </c>
      <c r="AK56" s="336">
        <v>0</v>
      </c>
      <c r="AL56" s="336">
        <v>0</v>
      </c>
      <c r="AM56" s="336">
        <v>0</v>
      </c>
      <c r="AN56" s="336">
        <v>0</v>
      </c>
      <c r="AO56" s="336">
        <v>0</v>
      </c>
      <c r="AP56" s="336">
        <v>0</v>
      </c>
      <c r="AQ56" s="336">
        <v>0</v>
      </c>
      <c r="AR56" s="336">
        <v>0</v>
      </c>
      <c r="AS56" s="336">
        <v>0</v>
      </c>
      <c r="AT56" s="336">
        <v>0</v>
      </c>
      <c r="AU56" s="336">
        <v>0</v>
      </c>
      <c r="AV56" s="336">
        <v>0</v>
      </c>
      <c r="AW56" s="336">
        <v>0</v>
      </c>
      <c r="AX56" s="336">
        <v>0</v>
      </c>
      <c r="AY56" s="336">
        <v>0</v>
      </c>
      <c r="AZ56" s="336">
        <v>0</v>
      </c>
      <c r="BA56" s="336">
        <v>0</v>
      </c>
      <c r="BB56" s="336">
        <v>0</v>
      </c>
      <c r="BC56" s="336">
        <v>0</v>
      </c>
      <c r="BD56" s="336">
        <v>0</v>
      </c>
      <c r="BE56" s="336">
        <v>0</v>
      </c>
      <c r="BF56" s="336">
        <v>0</v>
      </c>
      <c r="BG56" s="336">
        <v>0</v>
      </c>
      <c r="BH56" s="336">
        <v>0</v>
      </c>
      <c r="BI56" s="336">
        <v>0</v>
      </c>
      <c r="BJ56" s="336">
        <v>0</v>
      </c>
      <c r="BK56" s="336">
        <v>0</v>
      </c>
      <c r="BL56" s="336">
        <v>0</v>
      </c>
      <c r="BM56" s="336">
        <v>0</v>
      </c>
      <c r="BN56" s="336">
        <v>0</v>
      </c>
      <c r="BO56" s="336">
        <v>0</v>
      </c>
      <c r="BP56" s="336">
        <v>0</v>
      </c>
      <c r="BQ56" s="336">
        <v>0</v>
      </c>
      <c r="BR56" s="336">
        <v>0</v>
      </c>
      <c r="BS56" s="336">
        <v>0</v>
      </c>
      <c r="BT56" s="336">
        <v>0</v>
      </c>
      <c r="BU56" s="336">
        <v>0</v>
      </c>
      <c r="BV56" s="336">
        <v>0</v>
      </c>
      <c r="BW56" s="336">
        <v>0</v>
      </c>
      <c r="BX56" s="336">
        <v>0</v>
      </c>
      <c r="BY56" s="336">
        <v>0</v>
      </c>
      <c r="BZ56" s="336">
        <v>0</v>
      </c>
      <c r="CA56" s="336">
        <v>1400483</v>
      </c>
      <c r="CB56" s="336">
        <v>2507644</v>
      </c>
      <c r="CC56" s="336">
        <v>0</v>
      </c>
      <c r="CD56" s="336">
        <v>0</v>
      </c>
      <c r="CE56" s="336">
        <v>0</v>
      </c>
      <c r="CF56" s="336">
        <v>0</v>
      </c>
      <c r="CG56" s="336">
        <v>0</v>
      </c>
      <c r="CH56" s="336">
        <v>0</v>
      </c>
      <c r="CI56" s="336">
        <v>0</v>
      </c>
      <c r="CJ56" s="336">
        <v>0</v>
      </c>
      <c r="CK56" s="336">
        <v>0</v>
      </c>
      <c r="CL56" s="336">
        <v>0</v>
      </c>
      <c r="CM56" s="336">
        <v>0</v>
      </c>
      <c r="CN56" s="336">
        <v>0</v>
      </c>
      <c r="CO56" s="336">
        <v>0</v>
      </c>
      <c r="CP56" s="336">
        <v>0</v>
      </c>
      <c r="CQ56" s="336">
        <v>0</v>
      </c>
      <c r="CR56" s="336">
        <v>0</v>
      </c>
      <c r="CS56" s="336">
        <v>0</v>
      </c>
      <c r="CT56" s="336">
        <v>0</v>
      </c>
      <c r="CU56" s="336">
        <v>0</v>
      </c>
      <c r="CV56" s="336">
        <v>0</v>
      </c>
      <c r="CW56" s="336">
        <v>0</v>
      </c>
      <c r="CX56" s="336">
        <v>0</v>
      </c>
      <c r="CY56" s="336">
        <v>0</v>
      </c>
      <c r="CZ56" s="336">
        <v>0</v>
      </c>
      <c r="DA56" s="336">
        <v>0</v>
      </c>
      <c r="DB56" s="336">
        <v>0</v>
      </c>
      <c r="DC56" s="336">
        <v>0</v>
      </c>
      <c r="DD56" s="336">
        <v>0</v>
      </c>
      <c r="DE56" s="336">
        <v>0</v>
      </c>
      <c r="DF56" s="336">
        <v>0</v>
      </c>
      <c r="DG56" s="336">
        <v>0</v>
      </c>
      <c r="DH56" s="336">
        <v>0</v>
      </c>
      <c r="DI56" s="336">
        <v>0</v>
      </c>
      <c r="DJ56" s="336">
        <v>0</v>
      </c>
      <c r="DK56" s="336">
        <v>0</v>
      </c>
      <c r="DL56" s="336">
        <v>0</v>
      </c>
      <c r="DM56" s="336">
        <v>0</v>
      </c>
      <c r="DN56" s="336">
        <v>0</v>
      </c>
      <c r="DO56" s="336">
        <v>0</v>
      </c>
      <c r="DP56" s="336">
        <v>0</v>
      </c>
      <c r="DQ56" s="336">
        <v>0</v>
      </c>
      <c r="DR56" s="336">
        <v>0</v>
      </c>
      <c r="DS56" s="336">
        <v>0</v>
      </c>
      <c r="DT56" s="336">
        <v>-339545</v>
      </c>
      <c r="DU56" s="336">
        <v>-635334</v>
      </c>
      <c r="DV56" s="336">
        <v>0</v>
      </c>
      <c r="DW56" s="336">
        <v>0</v>
      </c>
      <c r="DX56" s="336">
        <v>0</v>
      </c>
      <c r="DY56" s="336">
        <v>0</v>
      </c>
      <c r="DZ56" s="336">
        <v>0</v>
      </c>
      <c r="EA56" s="336">
        <v>0</v>
      </c>
      <c r="EB56" s="336">
        <v>0</v>
      </c>
      <c r="EC56" s="336">
        <v>0</v>
      </c>
      <c r="ED56" s="336">
        <v>0</v>
      </c>
      <c r="EE56" s="336">
        <v>0</v>
      </c>
      <c r="EF56" s="336">
        <v>0</v>
      </c>
      <c r="EG56" s="336">
        <v>0</v>
      </c>
      <c r="EH56" s="336">
        <v>0</v>
      </c>
      <c r="EI56" s="336">
        <v>0</v>
      </c>
      <c r="EJ56" s="336">
        <v>0</v>
      </c>
      <c r="EK56" s="336">
        <v>0</v>
      </c>
      <c r="EL56" s="336">
        <v>0</v>
      </c>
      <c r="EM56" s="336">
        <v>0</v>
      </c>
      <c r="EN56" s="336">
        <v>0</v>
      </c>
      <c r="EO56" s="336">
        <v>0</v>
      </c>
      <c r="EP56" s="336">
        <v>0</v>
      </c>
      <c r="EQ56" s="336">
        <v>0</v>
      </c>
      <c r="ER56" s="336">
        <v>0</v>
      </c>
      <c r="ES56" s="336">
        <v>0</v>
      </c>
      <c r="ET56" s="336">
        <v>0</v>
      </c>
      <c r="EU56" s="336">
        <v>0</v>
      </c>
      <c r="EV56" s="336">
        <v>0</v>
      </c>
      <c r="EW56" s="336">
        <v>0</v>
      </c>
      <c r="EX56" s="336">
        <v>0</v>
      </c>
      <c r="EY56" s="336">
        <v>0</v>
      </c>
      <c r="EZ56" s="336">
        <v>0</v>
      </c>
      <c r="FA56" s="336">
        <v>0</v>
      </c>
      <c r="FB56" s="336">
        <v>0</v>
      </c>
      <c r="FC56" s="336">
        <v>0</v>
      </c>
      <c r="FD56" s="336">
        <v>0</v>
      </c>
      <c r="FE56" s="336">
        <v>0</v>
      </c>
      <c r="FF56" s="336">
        <v>0</v>
      </c>
      <c r="FG56" s="336">
        <v>0</v>
      </c>
      <c r="FH56" s="336">
        <v>0</v>
      </c>
      <c r="FI56" s="336">
        <v>0</v>
      </c>
      <c r="FJ56" s="336">
        <v>0</v>
      </c>
      <c r="FK56" s="336">
        <v>0</v>
      </c>
      <c r="FL56" s="336">
        <v>0</v>
      </c>
      <c r="FM56" s="336">
        <v>0</v>
      </c>
      <c r="FN56" s="336">
        <v>1046166</v>
      </c>
      <c r="FO56" s="336">
        <v>0</v>
      </c>
      <c r="FP56" s="336">
        <v>0</v>
      </c>
      <c r="FQ56" s="336">
        <v>0</v>
      </c>
      <c r="FR56" s="336">
        <v>0</v>
      </c>
      <c r="FS56" s="336">
        <v>0</v>
      </c>
      <c r="FT56" s="336">
        <v>0</v>
      </c>
      <c r="FU56" s="336">
        <v>0</v>
      </c>
      <c r="FV56" s="336">
        <v>0</v>
      </c>
      <c r="FW56" s="336">
        <v>0</v>
      </c>
      <c r="FX56" s="336">
        <v>0</v>
      </c>
      <c r="FY56" s="336">
        <v>0</v>
      </c>
      <c r="FZ56" s="336">
        <v>0</v>
      </c>
      <c r="GA56" s="336">
        <v>0</v>
      </c>
      <c r="GB56" s="336">
        <v>0</v>
      </c>
      <c r="GC56" s="336">
        <v>0</v>
      </c>
      <c r="GD56" s="336">
        <v>0</v>
      </c>
      <c r="GE56" s="336">
        <v>0</v>
      </c>
      <c r="GF56" s="336">
        <v>0</v>
      </c>
      <c r="GG56" s="336">
        <v>0</v>
      </c>
      <c r="GH56" s="336">
        <v>0</v>
      </c>
      <c r="GI56" s="336">
        <v>0</v>
      </c>
      <c r="GJ56" s="336">
        <v>0</v>
      </c>
      <c r="GK56" s="336">
        <v>0</v>
      </c>
      <c r="GL56" s="336">
        <v>0</v>
      </c>
      <c r="GM56" s="336">
        <v>0</v>
      </c>
      <c r="GN56" s="336">
        <v>0</v>
      </c>
      <c r="GO56" s="336">
        <v>0</v>
      </c>
      <c r="GP56" s="336">
        <v>0</v>
      </c>
      <c r="GQ56" s="336">
        <v>0</v>
      </c>
      <c r="GR56" s="336">
        <v>0</v>
      </c>
      <c r="GS56" s="336">
        <v>0</v>
      </c>
      <c r="GT56" s="336">
        <v>0</v>
      </c>
      <c r="GU56" s="336">
        <v>0</v>
      </c>
      <c r="GV56" s="336">
        <v>0</v>
      </c>
      <c r="GW56" s="336">
        <v>0</v>
      </c>
      <c r="GX56" s="336">
        <v>0</v>
      </c>
      <c r="GY56" s="336">
        <v>0</v>
      </c>
      <c r="GZ56" s="336">
        <v>0</v>
      </c>
      <c r="HA56" s="336">
        <v>0</v>
      </c>
      <c r="HB56" s="336">
        <v>0</v>
      </c>
      <c r="HC56" s="336">
        <v>0</v>
      </c>
      <c r="HD56" s="336">
        <v>0</v>
      </c>
      <c r="HE56" s="336">
        <v>0</v>
      </c>
      <c r="HF56" s="336">
        <v>0</v>
      </c>
      <c r="HG56" s="336">
        <v>-265056</v>
      </c>
      <c r="HH56" s="336">
        <v>0</v>
      </c>
      <c r="HI56" s="336">
        <v>0</v>
      </c>
      <c r="HJ56" s="336">
        <v>0</v>
      </c>
      <c r="HK56" s="336">
        <v>0</v>
      </c>
      <c r="HL56" s="336">
        <v>0</v>
      </c>
      <c r="HM56" s="336">
        <v>0</v>
      </c>
      <c r="HN56" s="336">
        <v>0</v>
      </c>
      <c r="HO56" s="336">
        <v>0</v>
      </c>
      <c r="HP56" s="336">
        <v>0</v>
      </c>
      <c r="HQ56" s="336">
        <v>0</v>
      </c>
      <c r="HR56" s="336">
        <v>19750163</v>
      </c>
      <c r="HS56" s="336">
        <v>0</v>
      </c>
      <c r="HT56" s="336">
        <v>0</v>
      </c>
      <c r="HU56" s="336">
        <v>0</v>
      </c>
      <c r="HV56" s="336">
        <v>0</v>
      </c>
      <c r="HW56" s="336">
        <v>0</v>
      </c>
      <c r="HX56" s="336">
        <v>0</v>
      </c>
      <c r="HY56" s="336">
        <v>16555740</v>
      </c>
      <c r="HZ56" s="336">
        <v>0</v>
      </c>
      <c r="IA56" s="336">
        <v>0</v>
      </c>
      <c r="IB56" s="336">
        <v>0</v>
      </c>
      <c r="IC56" s="336">
        <v>0</v>
      </c>
      <c r="ID56" s="336">
        <v>0</v>
      </c>
      <c r="IE56" s="336">
        <v>0</v>
      </c>
      <c r="IF56" s="336">
        <v>0</v>
      </c>
      <c r="IG56" s="336">
        <v>0</v>
      </c>
      <c r="IH56" s="336">
        <v>5740495</v>
      </c>
      <c r="II56" s="336">
        <v>0</v>
      </c>
      <c r="IJ56" s="336">
        <v>0</v>
      </c>
      <c r="IK56" s="336">
        <v>0</v>
      </c>
      <c r="IL56" s="336">
        <v>0</v>
      </c>
      <c r="IM56" s="336">
        <v>0</v>
      </c>
      <c r="IN56" s="336">
        <v>0</v>
      </c>
      <c r="IO56" s="336">
        <v>0</v>
      </c>
      <c r="IP56" s="336">
        <v>0</v>
      </c>
      <c r="IQ56" s="336">
        <v>1848844</v>
      </c>
      <c r="IR56" s="336">
        <v>0</v>
      </c>
      <c r="IS56" s="336">
        <v>2547370</v>
      </c>
      <c r="IT56" s="336">
        <v>0</v>
      </c>
      <c r="IU56" s="336">
        <v>-508</v>
      </c>
      <c r="IV56" s="336">
        <v>0</v>
      </c>
      <c r="IW56" s="336">
        <v>0</v>
      </c>
      <c r="IX56" s="336">
        <v>0</v>
      </c>
      <c r="IY56" s="336">
        <v>0</v>
      </c>
      <c r="IZ56" s="336">
        <v>35000000</v>
      </c>
      <c r="JA56" s="336">
        <v>0</v>
      </c>
      <c r="JB56" s="336">
        <v>43931</v>
      </c>
      <c r="JC56" s="336">
        <v>0</v>
      </c>
      <c r="JD56" s="336">
        <v>0</v>
      </c>
      <c r="JE56" s="336">
        <v>0</v>
      </c>
      <c r="JF56" s="336">
        <v>0</v>
      </c>
      <c r="JG56" s="336">
        <v>0</v>
      </c>
      <c r="JH56" s="336">
        <v>0</v>
      </c>
      <c r="JI56" s="336">
        <v>145816227</v>
      </c>
      <c r="JJ56" s="336">
        <v>0</v>
      </c>
      <c r="JK56" s="336">
        <v>18177566</v>
      </c>
      <c r="JL56" s="336">
        <v>0</v>
      </c>
      <c r="JM56" s="336">
        <v>0</v>
      </c>
      <c r="JN56" s="336">
        <v>0</v>
      </c>
      <c r="JO56" s="336">
        <v>0</v>
      </c>
      <c r="JP56" s="336">
        <v>0</v>
      </c>
      <c r="JQ56" s="336">
        <v>0</v>
      </c>
      <c r="JR56" s="336">
        <v>3061263</v>
      </c>
      <c r="JS56" s="336">
        <v>0</v>
      </c>
      <c r="JT56" s="336">
        <v>0</v>
      </c>
      <c r="JU56" s="336">
        <v>0</v>
      </c>
      <c r="JV56" s="336">
        <v>0</v>
      </c>
      <c r="JW56" s="336">
        <v>0</v>
      </c>
      <c r="JX56" s="336">
        <v>0</v>
      </c>
      <c r="JY56" s="336">
        <v>0</v>
      </c>
      <c r="JZ56" s="336">
        <v>0</v>
      </c>
      <c r="KA56" s="336">
        <v>0</v>
      </c>
      <c r="KB56" s="336">
        <v>3527755</v>
      </c>
      <c r="KC56" s="336">
        <v>0</v>
      </c>
      <c r="KD56" s="336">
        <v>0</v>
      </c>
      <c r="KE56" s="336">
        <v>0</v>
      </c>
      <c r="KF56" s="336">
        <v>0</v>
      </c>
      <c r="KG56" s="336">
        <v>0</v>
      </c>
      <c r="KH56" s="336">
        <v>0</v>
      </c>
      <c r="KI56" s="336">
        <v>0</v>
      </c>
      <c r="KJ56" s="336">
        <v>1040061</v>
      </c>
      <c r="KK56" s="336">
        <v>0</v>
      </c>
      <c r="KL56" s="336">
        <v>0</v>
      </c>
      <c r="KM56" s="336">
        <v>0</v>
      </c>
      <c r="KN56" s="336">
        <v>0</v>
      </c>
      <c r="KO56" s="336">
        <v>0</v>
      </c>
      <c r="KP56" s="336">
        <v>0</v>
      </c>
      <c r="KQ56" s="336">
        <v>-15241</v>
      </c>
      <c r="KR56" s="336">
        <v>740836</v>
      </c>
      <c r="KS56" s="336">
        <v>7373682</v>
      </c>
      <c r="KT56" s="336">
        <v>0</v>
      </c>
      <c r="KU56" s="336">
        <v>1806193</v>
      </c>
      <c r="KV56" s="336">
        <v>0</v>
      </c>
      <c r="KW56" s="336">
        <v>0</v>
      </c>
      <c r="KX56" s="336">
        <v>0</v>
      </c>
      <c r="KY56" s="336">
        <v>0</v>
      </c>
      <c r="KZ56" s="336">
        <v>0</v>
      </c>
      <c r="LA56" s="336">
        <v>9333486</v>
      </c>
      <c r="LB56" s="336">
        <v>8702030</v>
      </c>
      <c r="LC56" s="336">
        <v>0</v>
      </c>
      <c r="LD56" s="336">
        <v>22423955</v>
      </c>
      <c r="LE56" s="336">
        <v>0</v>
      </c>
      <c r="LF56" s="336">
        <v>0</v>
      </c>
      <c r="LG56" s="336">
        <v>0</v>
      </c>
      <c r="LH56" s="336">
        <v>0</v>
      </c>
      <c r="LI56" s="336">
        <v>0</v>
      </c>
      <c r="LJ56" s="336">
        <v>1538441</v>
      </c>
      <c r="LK56" s="336">
        <v>1362417</v>
      </c>
      <c r="LL56" s="336">
        <v>0</v>
      </c>
      <c r="LM56" s="336">
        <v>9873637</v>
      </c>
      <c r="LN56" s="336">
        <v>0</v>
      </c>
      <c r="LO56" s="336">
        <v>0</v>
      </c>
      <c r="LP56" s="336">
        <v>0</v>
      </c>
      <c r="LQ56" s="336">
        <v>0</v>
      </c>
      <c r="LR56" s="336">
        <v>0</v>
      </c>
      <c r="LS56" s="336">
        <v>15675387</v>
      </c>
      <c r="LT56" s="336">
        <v>166507232</v>
      </c>
      <c r="LU56" s="336">
        <v>0</v>
      </c>
      <c r="LV56" s="336">
        <v>673299</v>
      </c>
      <c r="LW56" s="336">
        <v>0</v>
      </c>
      <c r="LX56" s="336">
        <v>0</v>
      </c>
      <c r="LY56" s="336">
        <v>0</v>
      </c>
      <c r="LZ56" s="336">
        <v>0</v>
      </c>
      <c r="MA56" s="336">
        <v>0</v>
      </c>
      <c r="MB56" s="336">
        <v>22249537</v>
      </c>
      <c r="MC56" s="336">
        <v>19912353</v>
      </c>
      <c r="MD56" s="336">
        <v>0</v>
      </c>
      <c r="ME56" s="336">
        <v>1314219</v>
      </c>
      <c r="MF56" s="336">
        <v>0</v>
      </c>
      <c r="MG56" s="336">
        <v>0</v>
      </c>
      <c r="MH56" s="336">
        <v>0</v>
      </c>
      <c r="MI56" s="336">
        <v>0</v>
      </c>
      <c r="MJ56" s="336">
        <v>0</v>
      </c>
      <c r="MK56" s="336">
        <v>0</v>
      </c>
      <c r="ML56" s="336">
        <v>0</v>
      </c>
      <c r="MM56" s="336">
        <v>0</v>
      </c>
      <c r="MN56" s="336">
        <v>34714</v>
      </c>
      <c r="MO56" s="336">
        <v>0</v>
      </c>
      <c r="MP56" s="336">
        <v>0</v>
      </c>
      <c r="MQ56" s="336">
        <v>0</v>
      </c>
      <c r="MR56" s="336">
        <v>0</v>
      </c>
      <c r="MS56" s="336">
        <v>0</v>
      </c>
      <c r="MT56" s="336">
        <v>10389777</v>
      </c>
      <c r="MU56" s="336">
        <v>18538304</v>
      </c>
      <c r="MV56" s="336">
        <v>0</v>
      </c>
      <c r="MW56" s="336">
        <v>1126327</v>
      </c>
      <c r="MX56" s="336">
        <v>0</v>
      </c>
      <c r="MY56" s="336">
        <v>0</v>
      </c>
      <c r="MZ56" s="336">
        <v>0</v>
      </c>
      <c r="NA56" s="336">
        <v>0</v>
      </c>
      <c r="NB56" s="336">
        <v>0</v>
      </c>
      <c r="NC56" s="336">
        <v>3408317</v>
      </c>
      <c r="ND56" s="336">
        <v>0</v>
      </c>
      <c r="NE56" s="336">
        <v>0</v>
      </c>
      <c r="NF56" s="336">
        <v>0</v>
      </c>
      <c r="NG56" s="336">
        <v>0</v>
      </c>
      <c r="NH56" s="336">
        <v>0</v>
      </c>
      <c r="NI56" s="336">
        <v>1143283</v>
      </c>
      <c r="NJ56" s="336">
        <v>0</v>
      </c>
      <c r="NK56" s="336">
        <v>0</v>
      </c>
      <c r="NL56" s="336">
        <v>156098</v>
      </c>
      <c r="NM56" s="336">
        <v>532678</v>
      </c>
      <c r="NN56" s="336">
        <v>0</v>
      </c>
      <c r="NO56" s="336">
        <v>1590678</v>
      </c>
      <c r="NP56" s="336">
        <v>0</v>
      </c>
      <c r="NQ56" s="336">
        <v>0</v>
      </c>
      <c r="NR56" s="336">
        <v>0</v>
      </c>
      <c r="NS56" s="336">
        <v>0</v>
      </c>
      <c r="NT56" s="336">
        <v>0</v>
      </c>
      <c r="NU56" s="336">
        <v>0</v>
      </c>
      <c r="NV56" s="336">
        <v>0</v>
      </c>
      <c r="NW56" s="336">
        <v>1243204</v>
      </c>
      <c r="NX56" s="336">
        <v>0</v>
      </c>
      <c r="NY56" s="336">
        <v>0</v>
      </c>
      <c r="NZ56" s="336">
        <v>0</v>
      </c>
      <c r="OA56" s="336">
        <v>0</v>
      </c>
      <c r="OB56" s="336">
        <v>0</v>
      </c>
      <c r="OC56" s="336">
        <v>0</v>
      </c>
      <c r="OD56" s="336">
        <v>41701</v>
      </c>
      <c r="OE56" s="336">
        <v>449696</v>
      </c>
      <c r="OF56" s="336">
        <v>0</v>
      </c>
      <c r="OG56" s="336">
        <v>224845</v>
      </c>
      <c r="OH56" s="336">
        <v>0</v>
      </c>
      <c r="OI56" s="336">
        <v>0</v>
      </c>
      <c r="OJ56" s="336">
        <v>0</v>
      </c>
      <c r="OK56" s="336">
        <v>0</v>
      </c>
      <c r="OL56" s="336">
        <v>0</v>
      </c>
      <c r="OM56" s="336">
        <v>0</v>
      </c>
      <c r="ON56" s="336">
        <v>177500</v>
      </c>
      <c r="OO56" s="336">
        <v>0</v>
      </c>
      <c r="OP56" s="336">
        <v>0</v>
      </c>
      <c r="OQ56" s="336">
        <v>0</v>
      </c>
      <c r="OR56" s="336">
        <v>0</v>
      </c>
      <c r="OS56" s="336">
        <v>0</v>
      </c>
      <c r="OT56" s="336">
        <v>0</v>
      </c>
      <c r="OU56" s="336">
        <v>0</v>
      </c>
      <c r="OV56" s="336">
        <v>0</v>
      </c>
      <c r="OW56" s="336">
        <v>0</v>
      </c>
      <c r="OX56" s="336">
        <v>0</v>
      </c>
      <c r="OY56" s="336">
        <v>0</v>
      </c>
      <c r="OZ56" s="336">
        <v>0</v>
      </c>
      <c r="PA56" s="336">
        <v>0</v>
      </c>
      <c r="PB56" s="336">
        <v>-3082719</v>
      </c>
      <c r="PC56" s="336">
        <v>0</v>
      </c>
      <c r="PD56" s="336">
        <v>0</v>
      </c>
      <c r="PE56" s="336">
        <v>-1607665</v>
      </c>
      <c r="PF56" s="336">
        <v>37500270</v>
      </c>
      <c r="PG56" s="336">
        <v>0</v>
      </c>
      <c r="PH56" s="336">
        <v>546032</v>
      </c>
      <c r="PI56" s="336">
        <v>0</v>
      </c>
      <c r="PJ56" s="336">
        <v>1738477</v>
      </c>
      <c r="PK56" s="336">
        <v>0</v>
      </c>
      <c r="PL56" s="336">
        <v>0</v>
      </c>
      <c r="PM56" s="336">
        <v>0</v>
      </c>
      <c r="PN56" s="336">
        <v>0</v>
      </c>
      <c r="PO56" s="336">
        <v>0</v>
      </c>
      <c r="PP56" s="336">
        <v>0</v>
      </c>
      <c r="PQ56" s="336">
        <v>0</v>
      </c>
      <c r="PR56" s="336">
        <v>0</v>
      </c>
      <c r="PS56" s="336">
        <v>0</v>
      </c>
      <c r="PT56" s="336">
        <v>-298822</v>
      </c>
      <c r="PU56" s="336">
        <v>0</v>
      </c>
      <c r="PV56" s="336">
        <v>0</v>
      </c>
      <c r="PW56" s="336">
        <v>-3312425</v>
      </c>
      <c r="PX56" s="336">
        <v>-11286407</v>
      </c>
      <c r="PY56" s="336">
        <v>0</v>
      </c>
      <c r="PZ56" s="336">
        <v>0</v>
      </c>
      <c r="QA56" s="336">
        <v>0</v>
      </c>
      <c r="QB56" s="336">
        <v>0</v>
      </c>
      <c r="QC56" s="336">
        <v>0</v>
      </c>
      <c r="QD56" s="336">
        <v>0</v>
      </c>
      <c r="QE56" s="336">
        <v>0</v>
      </c>
      <c r="QF56" s="336">
        <v>0</v>
      </c>
      <c r="QG56" s="336">
        <v>0</v>
      </c>
      <c r="QH56" s="336">
        <v>0</v>
      </c>
      <c r="QI56" s="336">
        <v>0</v>
      </c>
      <c r="QJ56" s="336">
        <v>0</v>
      </c>
      <c r="QK56" s="336">
        <v>3266735</v>
      </c>
      <c r="QL56" s="336">
        <v>0</v>
      </c>
      <c r="QM56" s="336">
        <v>0</v>
      </c>
      <c r="QN56" s="336">
        <v>0</v>
      </c>
      <c r="QO56" s="336">
        <v>0</v>
      </c>
      <c r="QP56" s="336">
        <v>0</v>
      </c>
      <c r="QQ56" s="336">
        <v>0</v>
      </c>
      <c r="QR56" s="336">
        <v>0</v>
      </c>
      <c r="QS56" s="336">
        <v>0</v>
      </c>
      <c r="QT56" s="336">
        <v>3812294</v>
      </c>
      <c r="QU56" s="336">
        <v>0</v>
      </c>
      <c r="QV56" s="336">
        <v>0</v>
      </c>
      <c r="QW56" s="336">
        <v>0</v>
      </c>
      <c r="QX56" s="336">
        <v>0</v>
      </c>
      <c r="QY56" s="336">
        <v>0</v>
      </c>
      <c r="QZ56" s="336">
        <v>0</v>
      </c>
      <c r="RA56" s="336">
        <v>0</v>
      </c>
      <c r="RB56" s="336">
        <v>0</v>
      </c>
      <c r="RC56" s="336">
        <v>0</v>
      </c>
      <c r="RD56" s="336">
        <v>0</v>
      </c>
      <c r="RE56" s="336">
        <v>0</v>
      </c>
      <c r="RF56" s="336">
        <v>-24623589</v>
      </c>
      <c r="RG56" s="336">
        <v>0</v>
      </c>
      <c r="RH56" s="336">
        <v>0</v>
      </c>
      <c r="RI56" s="336">
        <v>0</v>
      </c>
      <c r="RJ56" s="336">
        <v>0</v>
      </c>
      <c r="RK56" s="336">
        <v>0</v>
      </c>
      <c r="RL56" s="336">
        <v>0</v>
      </c>
      <c r="RM56" s="336">
        <v>0</v>
      </c>
      <c r="RN56" s="336">
        <v>0</v>
      </c>
      <c r="RO56" s="336">
        <v>0</v>
      </c>
      <c r="RP56" s="336">
        <v>0</v>
      </c>
      <c r="RQ56" s="336">
        <v>0</v>
      </c>
      <c r="RR56" s="336">
        <v>0</v>
      </c>
      <c r="RS56" s="336">
        <v>0</v>
      </c>
      <c r="RT56" s="336">
        <v>0</v>
      </c>
      <c r="RU56" s="336">
        <v>0</v>
      </c>
      <c r="RV56" s="336">
        <v>0</v>
      </c>
      <c r="RW56" s="336">
        <v>0</v>
      </c>
      <c r="RX56" s="336">
        <v>0</v>
      </c>
      <c r="RY56" s="336">
        <v>0</v>
      </c>
      <c r="RZ56" s="336">
        <v>0</v>
      </c>
      <c r="SA56" s="336">
        <v>0</v>
      </c>
      <c r="SB56" s="336">
        <v>0</v>
      </c>
      <c r="SC56" s="336">
        <v>0</v>
      </c>
      <c r="SD56" s="336">
        <v>0</v>
      </c>
      <c r="SE56" s="336">
        <v>0</v>
      </c>
      <c r="SF56" s="336">
        <v>0</v>
      </c>
      <c r="SG56" s="336">
        <v>0</v>
      </c>
      <c r="SH56" s="336">
        <v>0</v>
      </c>
      <c r="SI56" s="336">
        <v>0</v>
      </c>
      <c r="SJ56" s="336">
        <v>0</v>
      </c>
      <c r="SK56" s="336">
        <v>0</v>
      </c>
      <c r="SL56" s="336">
        <v>0</v>
      </c>
      <c r="SM56" s="336">
        <v>0</v>
      </c>
      <c r="SN56" s="336">
        <v>0</v>
      </c>
      <c r="SO56" s="336">
        <v>0</v>
      </c>
      <c r="SP56" s="336">
        <v>184000</v>
      </c>
      <c r="SQ56" s="336">
        <v>0</v>
      </c>
      <c r="SR56" s="336">
        <v>0</v>
      </c>
      <c r="SS56" s="336">
        <v>0</v>
      </c>
      <c r="ST56" s="336">
        <v>0</v>
      </c>
      <c r="SU56" s="336">
        <v>0</v>
      </c>
      <c r="SV56" s="336">
        <v>0</v>
      </c>
      <c r="SW56" s="336">
        <v>0</v>
      </c>
      <c r="SX56" s="336">
        <v>0</v>
      </c>
      <c r="SY56" s="336">
        <v>3798960</v>
      </c>
      <c r="SZ56" s="336" t="s">
        <v>1420</v>
      </c>
      <c r="TA56" s="336" t="s">
        <v>1420</v>
      </c>
      <c r="TB56" s="336" t="s">
        <v>1420</v>
      </c>
      <c r="TC56" s="336">
        <v>0</v>
      </c>
      <c r="TD56" s="336">
        <v>588715</v>
      </c>
      <c r="TE56" s="336">
        <v>0</v>
      </c>
      <c r="TF56" s="336">
        <v>0</v>
      </c>
      <c r="TG56" s="336">
        <v>127527</v>
      </c>
      <c r="TH56" s="336">
        <v>0</v>
      </c>
      <c r="TI56" s="336">
        <v>0</v>
      </c>
      <c r="TJ56" s="336">
        <v>0</v>
      </c>
      <c r="TK56" s="336">
        <v>0</v>
      </c>
      <c r="TL56" s="336">
        <v>0</v>
      </c>
      <c r="TM56" s="336">
        <v>0</v>
      </c>
      <c r="TN56" s="336">
        <v>363070</v>
      </c>
      <c r="TO56" s="336">
        <v>2546498</v>
      </c>
      <c r="TP56" s="336">
        <v>3246275</v>
      </c>
      <c r="TQ56" s="336">
        <v>0</v>
      </c>
      <c r="TR56" s="336">
        <v>0</v>
      </c>
      <c r="TS56" s="336">
        <v>0</v>
      </c>
      <c r="TT56" s="336">
        <v>0</v>
      </c>
      <c r="TU56" s="336">
        <v>0</v>
      </c>
      <c r="TV56" s="336">
        <v>0</v>
      </c>
      <c r="TW56" s="336">
        <v>0</v>
      </c>
      <c r="TX56" s="336">
        <v>0</v>
      </c>
      <c r="TY56" s="336">
        <v>0</v>
      </c>
      <c r="TZ56" s="336">
        <v>0</v>
      </c>
      <c r="UA56" s="336">
        <v>0</v>
      </c>
      <c r="UB56" s="336">
        <v>0</v>
      </c>
      <c r="UC56" s="336">
        <v>0</v>
      </c>
      <c r="UD56" s="336">
        <v>0</v>
      </c>
      <c r="UE56" s="336">
        <v>0</v>
      </c>
      <c r="UF56" s="336">
        <v>9972377</v>
      </c>
      <c r="UG56" s="336">
        <v>4231883</v>
      </c>
      <c r="UH56" s="336">
        <v>9920711</v>
      </c>
      <c r="UI56" s="336">
        <v>40459471</v>
      </c>
      <c r="UJ56" s="336">
        <v>12774495</v>
      </c>
      <c r="UK56" s="336">
        <v>182855918</v>
      </c>
      <c r="UL56" s="336">
        <v>43476109</v>
      </c>
      <c r="UM56" s="336">
        <v>34714</v>
      </c>
      <c r="UN56" s="336">
        <v>30054408</v>
      </c>
      <c r="UO56" s="336">
        <v>4551600</v>
      </c>
      <c r="UP56" s="336">
        <v>2279454</v>
      </c>
      <c r="UQ56" s="336">
        <v>1243204</v>
      </c>
      <c r="UR56"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716242</v>
      </c>
      <c r="US56" s="338">
        <f>SUM(Input[[#This Row],[Oth Exp E&amp;G]],Input[[#This Row],[Oth Exp Desg]],Input[[#This Row],[Oth Exp Aux]],Input[[#This Row],[Oth Exp R Exp]],Input[[#This Row],[Oth Exp Loan]],Input[[#This Row],[Oth Exp Annuity]],Input[[#This Row],[Oth Exp Unexp]],Input[[#This Row],[Oth Exp R of Ind]],Input[[#This Row],[Oth Exp Inv in P]])</f>
        <v>177500</v>
      </c>
      <c r="UT56" s="336">
        <v>0</v>
      </c>
      <c r="UU56" s="336">
        <v>0</v>
      </c>
      <c r="UV56" s="339" t="s">
        <v>1554</v>
      </c>
      <c r="UW56" s="340"/>
      <c r="UX56" s="339" t="s">
        <v>1555</v>
      </c>
      <c r="UY56" s="339" t="s">
        <v>1556</v>
      </c>
      <c r="UZ56" s="340"/>
      <c r="VA56" s="339" t="s">
        <v>1557</v>
      </c>
      <c r="VB56" s="341" cm="1">
        <f t="array" ref="VB56">IFERROR(_xlfn.IFS(Input[[#This Row],[Type]]="HRI",VLOOKUP(Input[[#This Row],[Institution Name]],FTSEHRI[],9,FALSE),Input[[#This Row],[Type]]="UNIV",VLOOKUP(Input[[#This Row],[Institution Name]],FTSEUNIV[],9,FALSE),OR(Input[[#This Row],[Type]]="TSTC",Input[[#This Row],[Type]]="LSC"),VLOOKUP(Input[[#This Row],[Institution Name]],FTSETSTC[],8,FALSE)),"N/A")</f>
        <v>199</v>
      </c>
      <c r="VC56" s="342" t="str" cm="1">
        <f t="array" ref="VC56">IFERROR(_xlfn.IFS(Input[[#This Row],[Type]]="HRI",VLOOKUP(Input[[#This Row],[Institution Name]],FTSEHRI[],11,FALSE),Input[[#This Row],[Type]]="UNIV",VLOOKUP(Input[[#This Row],[Institution Name]],FTSEUNIV[],11,FALSE),Input[[#This Row],[Type]]="TSTC",VLOOKUP(Input[[#This Row],[Institution Name]],FTSETSTC[],10,FALSE)),"N/A")</f>
        <v>N/A</v>
      </c>
      <c r="VD56"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19914837</v>
      </c>
      <c r="VE56"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25010190</v>
      </c>
      <c r="VF56" s="338">
        <f>SUM(Input[[#This Row],[Fed G&amp;C E&amp;G]],Input[[#This Row],[Fed G&amp;C Desg]],Input[[#This Row],[Fed G&amp;C R Exp]],Input[[#This Row],[Fed G&amp;C Loan]],Input[[#This Row],[Fed G&amp;C Annuity]],Input[[#This Row],[Fed G&amp;C Unexp]],Input[[#This Row],[Fed G&amp;C R of Ind]],Input[[#This Row],[Fed G&amp;C Inv in P]])</f>
        <v>19750163</v>
      </c>
      <c r="VG56"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207519513</v>
      </c>
      <c r="VH56"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2933248</v>
      </c>
      <c r="VI56"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781110</v>
      </c>
      <c r="VJ56" s="338">
        <f>SUM(Input[[#This Row],[Oth Inc E&amp;G]],Input[[#This Row],[Oth Exp Desg]],Input[[#This Row],[Oth Exp R Exp]],Input[[#This Row],[Oth Exp Loan]],Input[[#This Row],[Oth Exp Annuity]],Input[[#This Row],[Oth Exp Unexp]],Input[[#This Row],[Oth Exp R of Ind]],Input[[#This Row],[Oth Exp Inv in P]])</f>
        <v>177500</v>
      </c>
      <c r="VK56" s="343">
        <f>SUM(Input[[#This Row],[Instr E&amp;G]],Input[[#This Row],[Instr Desg]],Input[[#This Row],[Instr R Exp]],Input[[#This Row],[Instr Loan]],Input[[#This Row],[Instr Annuity]],Input[[#This Row],[Instr Unexp]],Input[[#This Row],[Instr R of Ind]],Input[[#This Row],[Instr Inv in P]])</f>
        <v>9920711</v>
      </c>
      <c r="VL56" s="343">
        <f>SUM(Input[[#This Row],[Res E&amp;G]],Input[[#This Row],[Res Desg]],Input[[#This Row],[Res R Exp]],Input[[#This Row],[Res Loan]],Input[[#This Row],[Res Annuity]],Input[[#This Row],[Res Unexp]],Input[[#This Row],[Res R of Ind]],Input[[#This Row],[Res Inv in P]])</f>
        <v>40459471</v>
      </c>
      <c r="VM56" s="343">
        <f>SUM(Input[[#This Row],[Acad Sup E&amp;G]],Input[[#This Row],[Acad Sup Desg]],Input[[#This Row],[Acad Sup R Exp]],Input[[#This Row],[Acad Sup Loan]],Input[[#This Row],[Acad Sup Annuity]],Input[[#This Row],[Acad Sup Unexp]],Input[[#This Row],[Acad Sup R of Ind]],Input[[#This Row],[Acad Sup Inv in P]])</f>
        <v>43476109</v>
      </c>
      <c r="VN56" s="343">
        <f>SUM(Input[[#This Row],[Stu Svc E&amp;G]],Input[[#This Row],[Stu Svc Desg]],Input[[#This Row],[Stu Svc R Exp]],Input[[#This Row],[Stu Svc Loan]],Input[[#This Row],[Stu Svc Annuity]],Input[[#This Row],[Stu Svc Unexp]],Input[[#This Row],[Stu Svc R of Ind]],Input[[#This Row],[Stu Svc Inv in P]])</f>
        <v>34714</v>
      </c>
      <c r="VO56" s="343">
        <f>SUM(Input[[#This Row],[Inst. Spt E&amp;G]],Input[[#This Row],[Inst. Spt Desg]],Input[[#This Row],[Inst. Spt R Exp]],Input[[#This Row],[Inst. Spt Loan]],Input[[#This Row],[Inst. Spt Annuity]],Input[[#This Row],[Inst. Spt Unexp]],Input[[#This Row],[Inst. Spt R of Ind]],Input[[#This Row],[Inst. Spt Inv in P]])</f>
        <v>30054408</v>
      </c>
      <c r="VP56" s="343">
        <f>SUM(Input[[#This Row],[M&amp;O Plnt E&amp;G]],Input[[#This Row],[M&amp;O Plnt Desg]],Input[[#This Row],[M&amp;O Plnt R Exp]],Input[[#This Row],[M&amp;O Plnt Loan]],Input[[#This Row],[M&amp;O Plnt Annuity]],Input[[#This Row],[M&amp;O Plnt Unexp]],Input[[#This Row],[M&amp;O Plnt R of Ind]],Input[[#This Row],[M&amp;O Plnt Inv in P]])</f>
        <v>4551600</v>
      </c>
      <c r="VQ56" s="343">
        <f>SUM(Input[[#This Row],[Schl &amp; Fell E&amp;G]],Input[[#This Row],[Schl &amp; Fell Desg]],Input[[#This Row],[Schl &amp; Fell R Exp]],Input[[#This Row],[Schl &amp; Fell Loan]],Input[[#This Row],[Schl &amp; Fell Annuity]],Input[[#This Row],[Schl &amp; Fell Unexp]],Input[[#This Row],[Schl &amp; Fell R of Ind]],Input[[#This Row],[Schl &amp; Fell Inv in P]])</f>
        <v>2279454</v>
      </c>
      <c r="VR56" s="343">
        <f>SUM(Input[[#This Row],[Cap Out fund E&amp;G]],Input[[#This Row],[Cap Out fund Desg]],Input[[#This Row],[Cap Out fund R Exp]],Input[[#This Row],[Cap Out fund Loan]],Input[[#This Row],[Cap Out fund Annuity]],Input[[#This Row],[Cap Out fund Unexp]],Input[[#This Row],[Cap Out fund R of Ind]],Input[[#This Row],[Cap Out fund Inv in P]])</f>
        <v>716242</v>
      </c>
      <c r="VS56" s="343">
        <f>SUM(Input[[#This Row],[Oth Exp E&amp;G]],Input[[#This Row],[Oth Exp Desg]],Input[[#This Row],[Oth Exp R Exp]],Input[[#This Row],[Oth Exp Loan]],Input[[#This Row],[Oth Exp Annuity]],Input[[#This Row],[Oth Exp Unexp]],Input[[#This Row],[Oth Exp R of Ind]],Input[[#This Row],[Oth Exp Inv in P]],Input[[#This Row],[Oth Exp Inv in P]])</f>
        <v>177500</v>
      </c>
    </row>
    <row r="57" spans="1:591" s="344" customFormat="1" ht="27" customHeight="1" x14ac:dyDescent="0.55000000000000004">
      <c r="A57" s="339" t="s">
        <v>60</v>
      </c>
      <c r="B57" s="334" t="s">
        <v>829</v>
      </c>
      <c r="C57" s="334" t="s">
        <v>21</v>
      </c>
      <c r="D57" s="334">
        <v>60</v>
      </c>
      <c r="E57" s="334" t="s">
        <v>1622</v>
      </c>
      <c r="F57" s="335">
        <v>9741</v>
      </c>
      <c r="G57" s="336">
        <v>188862748</v>
      </c>
      <c r="H57" s="336">
        <v>0</v>
      </c>
      <c r="I57" s="336">
        <v>0</v>
      </c>
      <c r="J57" s="336">
        <v>0</v>
      </c>
      <c r="K57" s="336">
        <v>0</v>
      </c>
      <c r="L57" s="336">
        <v>0</v>
      </c>
      <c r="M57" s="336">
        <v>0</v>
      </c>
      <c r="N57" s="336">
        <v>0</v>
      </c>
      <c r="O57" s="336">
        <v>0</v>
      </c>
      <c r="P57" s="336">
        <v>16918100</v>
      </c>
      <c r="Q57" s="336">
        <v>3635917</v>
      </c>
      <c r="R57" s="336">
        <v>0</v>
      </c>
      <c r="S57" s="336">
        <v>2525574</v>
      </c>
      <c r="T57" s="336">
        <v>0</v>
      </c>
      <c r="U57" s="336">
        <v>0</v>
      </c>
      <c r="V57" s="336">
        <v>0</v>
      </c>
      <c r="W57" s="336">
        <v>0</v>
      </c>
      <c r="X57" s="336">
        <v>0</v>
      </c>
      <c r="Y57" s="336">
        <v>0</v>
      </c>
      <c r="Z57" s="336">
        <v>0</v>
      </c>
      <c r="AA57" s="336">
        <v>0</v>
      </c>
      <c r="AB57" s="336">
        <v>0</v>
      </c>
      <c r="AC57" s="336">
        <v>0</v>
      </c>
      <c r="AD57" s="336">
        <v>0</v>
      </c>
      <c r="AE57" s="336">
        <v>0</v>
      </c>
      <c r="AF57" s="336">
        <v>0</v>
      </c>
      <c r="AG57" s="336">
        <v>0</v>
      </c>
      <c r="AH57" s="336">
        <v>0</v>
      </c>
      <c r="AI57" s="336">
        <v>0</v>
      </c>
      <c r="AJ57" s="336">
        <v>0</v>
      </c>
      <c r="AK57" s="336">
        <v>0</v>
      </c>
      <c r="AL57" s="336">
        <v>0</v>
      </c>
      <c r="AM57" s="336">
        <v>0</v>
      </c>
      <c r="AN57" s="336">
        <v>0</v>
      </c>
      <c r="AO57" s="336">
        <v>0</v>
      </c>
      <c r="AP57" s="336">
        <v>0</v>
      </c>
      <c r="AQ57" s="336">
        <v>-30093147</v>
      </c>
      <c r="AR57" s="336">
        <v>-25325551</v>
      </c>
      <c r="AS57" s="336">
        <v>0</v>
      </c>
      <c r="AT57" s="336">
        <v>0</v>
      </c>
      <c r="AU57" s="336">
        <v>0</v>
      </c>
      <c r="AV57" s="336">
        <v>0</v>
      </c>
      <c r="AW57" s="336">
        <v>0</v>
      </c>
      <c r="AX57" s="336">
        <v>0</v>
      </c>
      <c r="AY57" s="336">
        <v>0</v>
      </c>
      <c r="AZ57" s="336">
        <v>0</v>
      </c>
      <c r="BA57" s="336">
        <v>0</v>
      </c>
      <c r="BB57" s="336">
        <v>0</v>
      </c>
      <c r="BC57" s="336">
        <v>0</v>
      </c>
      <c r="BD57" s="336">
        <v>0</v>
      </c>
      <c r="BE57" s="336">
        <v>0</v>
      </c>
      <c r="BF57" s="336">
        <v>0</v>
      </c>
      <c r="BG57" s="336">
        <v>0</v>
      </c>
      <c r="BH57" s="336">
        <v>0</v>
      </c>
      <c r="BI57" s="336">
        <v>0</v>
      </c>
      <c r="BJ57" s="336">
        <v>0</v>
      </c>
      <c r="BK57" s="336">
        <v>0</v>
      </c>
      <c r="BL57" s="336">
        <v>0</v>
      </c>
      <c r="BM57" s="336">
        <v>0</v>
      </c>
      <c r="BN57" s="336">
        <v>0</v>
      </c>
      <c r="BO57" s="336">
        <v>0</v>
      </c>
      <c r="BP57" s="336">
        <v>0</v>
      </c>
      <c r="BQ57" s="336">
        <v>0</v>
      </c>
      <c r="BR57" s="336">
        <v>0</v>
      </c>
      <c r="BS57" s="336">
        <v>0</v>
      </c>
      <c r="BT57" s="336">
        <v>0</v>
      </c>
      <c r="BU57" s="336">
        <v>0</v>
      </c>
      <c r="BV57" s="336">
        <v>0</v>
      </c>
      <c r="BW57" s="336">
        <v>0</v>
      </c>
      <c r="BX57" s="336">
        <v>0</v>
      </c>
      <c r="BY57" s="336">
        <v>0</v>
      </c>
      <c r="BZ57" s="336">
        <v>0</v>
      </c>
      <c r="CA57" s="336">
        <v>76127863</v>
      </c>
      <c r="CB57" s="336">
        <v>341474154</v>
      </c>
      <c r="CC57" s="336">
        <v>0</v>
      </c>
      <c r="CD57" s="336">
        <v>0</v>
      </c>
      <c r="CE57" s="336">
        <v>0</v>
      </c>
      <c r="CF57" s="336">
        <v>0</v>
      </c>
      <c r="CG57" s="336">
        <v>0</v>
      </c>
      <c r="CH57" s="336">
        <v>0</v>
      </c>
      <c r="CI57" s="336">
        <v>0</v>
      </c>
      <c r="CJ57" s="336">
        <v>0</v>
      </c>
      <c r="CK57" s="336">
        <v>0</v>
      </c>
      <c r="CL57" s="336">
        <v>0</v>
      </c>
      <c r="CM57" s="336">
        <v>0</v>
      </c>
      <c r="CN57" s="336">
        <v>0</v>
      </c>
      <c r="CO57" s="336">
        <v>0</v>
      </c>
      <c r="CP57" s="336">
        <v>0</v>
      </c>
      <c r="CQ57" s="336">
        <v>0</v>
      </c>
      <c r="CR57" s="336">
        <v>0</v>
      </c>
      <c r="CS57" s="336">
        <v>0</v>
      </c>
      <c r="CT57" s="336">
        <v>0</v>
      </c>
      <c r="CU57" s="336">
        <v>0</v>
      </c>
      <c r="CV57" s="336">
        <v>0</v>
      </c>
      <c r="CW57" s="336">
        <v>0</v>
      </c>
      <c r="CX57" s="336">
        <v>0</v>
      </c>
      <c r="CY57" s="336">
        <v>0</v>
      </c>
      <c r="CZ57" s="336">
        <v>0</v>
      </c>
      <c r="DA57" s="336">
        <v>0</v>
      </c>
      <c r="DB57" s="336">
        <v>-1159920</v>
      </c>
      <c r="DC57" s="336">
        <v>-7548522</v>
      </c>
      <c r="DD57" s="336">
        <v>0</v>
      </c>
      <c r="DE57" s="336">
        <v>0</v>
      </c>
      <c r="DF57" s="336">
        <v>0</v>
      </c>
      <c r="DG57" s="336">
        <v>0</v>
      </c>
      <c r="DH57" s="336">
        <v>0</v>
      </c>
      <c r="DI57" s="336">
        <v>0</v>
      </c>
      <c r="DJ57" s="336">
        <v>0</v>
      </c>
      <c r="DK57" s="336">
        <v>0</v>
      </c>
      <c r="DL57" s="336">
        <v>0</v>
      </c>
      <c r="DM57" s="336">
        <v>0</v>
      </c>
      <c r="DN57" s="336">
        <v>0</v>
      </c>
      <c r="DO57" s="336">
        <v>0</v>
      </c>
      <c r="DP57" s="336">
        <v>0</v>
      </c>
      <c r="DQ57" s="336">
        <v>0</v>
      </c>
      <c r="DR57" s="336">
        <v>0</v>
      </c>
      <c r="DS57" s="336">
        <v>0</v>
      </c>
      <c r="DT57" s="336">
        <v>-20594565</v>
      </c>
      <c r="DU57" s="336">
        <v>-117069501</v>
      </c>
      <c r="DV57" s="336">
        <v>0</v>
      </c>
      <c r="DW57" s="336">
        <v>0</v>
      </c>
      <c r="DX57" s="336">
        <v>0</v>
      </c>
      <c r="DY57" s="336">
        <v>0</v>
      </c>
      <c r="DZ57" s="336">
        <v>0</v>
      </c>
      <c r="EA57" s="336">
        <v>0</v>
      </c>
      <c r="EB57" s="336">
        <v>0</v>
      </c>
      <c r="EC57" s="336">
        <v>0</v>
      </c>
      <c r="ED57" s="336">
        <v>-97775</v>
      </c>
      <c r="EE57" s="336">
        <v>-34347</v>
      </c>
      <c r="EF57" s="336">
        <v>0</v>
      </c>
      <c r="EG57" s="336">
        <v>0</v>
      </c>
      <c r="EH57" s="336">
        <v>0</v>
      </c>
      <c r="EI57" s="336">
        <v>0</v>
      </c>
      <c r="EJ57" s="336">
        <v>0</v>
      </c>
      <c r="EK57" s="336">
        <v>0</v>
      </c>
      <c r="EL57" s="336">
        <v>0</v>
      </c>
      <c r="EM57" s="336">
        <v>0</v>
      </c>
      <c r="EN57" s="336">
        <v>0</v>
      </c>
      <c r="EO57" s="336">
        <v>0</v>
      </c>
      <c r="EP57" s="336">
        <v>0</v>
      </c>
      <c r="EQ57" s="336">
        <v>0</v>
      </c>
      <c r="ER57" s="336">
        <v>0</v>
      </c>
      <c r="ES57" s="336">
        <v>0</v>
      </c>
      <c r="ET57" s="336">
        <v>0</v>
      </c>
      <c r="EU57" s="336">
        <v>0</v>
      </c>
      <c r="EV57" s="336">
        <v>0</v>
      </c>
      <c r="EW57" s="336">
        <v>0</v>
      </c>
      <c r="EX57" s="336">
        <v>0</v>
      </c>
      <c r="EY57" s="336">
        <v>0</v>
      </c>
      <c r="EZ57" s="336">
        <v>0</v>
      </c>
      <c r="FA57" s="336">
        <v>0</v>
      </c>
      <c r="FB57" s="336">
        <v>0</v>
      </c>
      <c r="FC57" s="336">
        <v>0</v>
      </c>
      <c r="FD57" s="336">
        <v>0</v>
      </c>
      <c r="FE57" s="336">
        <v>0</v>
      </c>
      <c r="FF57" s="336">
        <v>0</v>
      </c>
      <c r="FG57" s="336">
        <v>0</v>
      </c>
      <c r="FH57" s="336">
        <v>0</v>
      </c>
      <c r="FI57" s="336">
        <v>0</v>
      </c>
      <c r="FJ57" s="336">
        <v>0</v>
      </c>
      <c r="FK57" s="336">
        <v>0</v>
      </c>
      <c r="FL57" s="336">
        <v>0</v>
      </c>
      <c r="FM57" s="336">
        <v>456278</v>
      </c>
      <c r="FN57" s="336">
        <v>97229148</v>
      </c>
      <c r="FO57" s="336">
        <v>33155240</v>
      </c>
      <c r="FP57" s="336">
        <v>0</v>
      </c>
      <c r="FQ57" s="336">
        <v>0</v>
      </c>
      <c r="FR57" s="336">
        <v>0</v>
      </c>
      <c r="FS57" s="336">
        <v>0</v>
      </c>
      <c r="FT57" s="336">
        <v>0</v>
      </c>
      <c r="FU57" s="336">
        <v>0</v>
      </c>
      <c r="FV57" s="336">
        <v>0</v>
      </c>
      <c r="FW57" s="336">
        <v>0</v>
      </c>
      <c r="FX57" s="336">
        <v>0</v>
      </c>
      <c r="FY57" s="336">
        <v>0</v>
      </c>
      <c r="FZ57" s="336">
        <v>0</v>
      </c>
      <c r="GA57" s="336">
        <v>0</v>
      </c>
      <c r="GB57" s="336">
        <v>0</v>
      </c>
      <c r="GC57" s="336">
        <v>0</v>
      </c>
      <c r="GD57" s="336">
        <v>0</v>
      </c>
      <c r="GE57" s="336">
        <v>0</v>
      </c>
      <c r="GF57" s="336">
        <v>0</v>
      </c>
      <c r="GG57" s="336">
        <v>0</v>
      </c>
      <c r="GH57" s="336">
        <v>0</v>
      </c>
      <c r="GI57" s="336">
        <v>0</v>
      </c>
      <c r="GJ57" s="336">
        <v>0</v>
      </c>
      <c r="GK57" s="336">
        <v>0</v>
      </c>
      <c r="GL57" s="336">
        <v>0</v>
      </c>
      <c r="GM57" s="336">
        <v>0</v>
      </c>
      <c r="GN57" s="336">
        <v>0</v>
      </c>
      <c r="GO57" s="336">
        <v>0</v>
      </c>
      <c r="GP57" s="336">
        <v>-624970</v>
      </c>
      <c r="GQ57" s="336">
        <v>0</v>
      </c>
      <c r="GR57" s="336">
        <v>0</v>
      </c>
      <c r="GS57" s="336">
        <v>0</v>
      </c>
      <c r="GT57" s="336">
        <v>0</v>
      </c>
      <c r="GU57" s="336">
        <v>0</v>
      </c>
      <c r="GV57" s="336">
        <v>0</v>
      </c>
      <c r="GW57" s="336">
        <v>0</v>
      </c>
      <c r="GX57" s="336">
        <v>0</v>
      </c>
      <c r="GY57" s="336">
        <v>0</v>
      </c>
      <c r="GZ57" s="336">
        <v>0</v>
      </c>
      <c r="HA57" s="336">
        <v>0</v>
      </c>
      <c r="HB57" s="336">
        <v>0</v>
      </c>
      <c r="HC57" s="336">
        <v>0</v>
      </c>
      <c r="HD57" s="336">
        <v>0</v>
      </c>
      <c r="HE57" s="336">
        <v>0</v>
      </c>
      <c r="HF57" s="336">
        <v>0</v>
      </c>
      <c r="HG57" s="336">
        <v>0</v>
      </c>
      <c r="HH57" s="336">
        <v>-8793105</v>
      </c>
      <c r="HI57" s="336">
        <v>0</v>
      </c>
      <c r="HJ57" s="336">
        <v>0</v>
      </c>
      <c r="HK57" s="336">
        <v>0</v>
      </c>
      <c r="HL57" s="336">
        <v>0</v>
      </c>
      <c r="HM57" s="336">
        <v>0</v>
      </c>
      <c r="HN57" s="336">
        <v>0</v>
      </c>
      <c r="HO57" s="336">
        <v>0</v>
      </c>
      <c r="HP57" s="336">
        <v>22228905</v>
      </c>
      <c r="HQ57" s="336">
        <v>0</v>
      </c>
      <c r="HR57" s="336">
        <v>103099643</v>
      </c>
      <c r="HS57" s="336">
        <v>0</v>
      </c>
      <c r="HT57" s="336">
        <v>0</v>
      </c>
      <c r="HU57" s="336">
        <v>0</v>
      </c>
      <c r="HV57" s="336">
        <v>0</v>
      </c>
      <c r="HW57" s="336">
        <v>0</v>
      </c>
      <c r="HX57" s="336">
        <v>0</v>
      </c>
      <c r="HY57" s="336">
        <v>0</v>
      </c>
      <c r="HZ57" s="336">
        <v>0</v>
      </c>
      <c r="IA57" s="336">
        <v>0</v>
      </c>
      <c r="IB57" s="336">
        <v>0</v>
      </c>
      <c r="IC57" s="336">
        <v>0</v>
      </c>
      <c r="ID57" s="336">
        <v>0</v>
      </c>
      <c r="IE57" s="336">
        <v>0</v>
      </c>
      <c r="IF57" s="336">
        <v>0</v>
      </c>
      <c r="IG57" s="336">
        <v>0</v>
      </c>
      <c r="IH57" s="336">
        <v>0</v>
      </c>
      <c r="II57" s="336">
        <v>0</v>
      </c>
      <c r="IJ57" s="336">
        <v>0</v>
      </c>
      <c r="IK57" s="336">
        <v>0</v>
      </c>
      <c r="IL57" s="336">
        <v>0</v>
      </c>
      <c r="IM57" s="336">
        <v>0</v>
      </c>
      <c r="IN57" s="336">
        <v>0</v>
      </c>
      <c r="IO57" s="336">
        <v>0</v>
      </c>
      <c r="IP57" s="336">
        <v>2290452</v>
      </c>
      <c r="IQ57" s="336">
        <v>47413001</v>
      </c>
      <c r="IR57" s="336">
        <v>0</v>
      </c>
      <c r="IS57" s="336">
        <v>19202441</v>
      </c>
      <c r="IT57" s="336">
        <v>5800</v>
      </c>
      <c r="IU57" s="336">
        <v>1826</v>
      </c>
      <c r="IV57" s="336">
        <v>362</v>
      </c>
      <c r="IW57" s="336">
        <v>0</v>
      </c>
      <c r="IX57" s="336">
        <v>0</v>
      </c>
      <c r="IY57" s="336">
        <v>0</v>
      </c>
      <c r="IZ57" s="336">
        <v>21782</v>
      </c>
      <c r="JA57" s="336">
        <v>0</v>
      </c>
      <c r="JB57" s="336">
        <v>49778</v>
      </c>
      <c r="JC57" s="336">
        <v>0</v>
      </c>
      <c r="JD57" s="336">
        <v>0</v>
      </c>
      <c r="JE57" s="336">
        <v>0</v>
      </c>
      <c r="JF57" s="336">
        <v>0</v>
      </c>
      <c r="JG57" s="336">
        <v>0</v>
      </c>
      <c r="JH57" s="336">
        <v>0</v>
      </c>
      <c r="JI57" s="336">
        <v>2295572</v>
      </c>
      <c r="JJ57" s="336">
        <v>0</v>
      </c>
      <c r="JK57" s="336">
        <v>23302078</v>
      </c>
      <c r="JL57" s="336">
        <v>0</v>
      </c>
      <c r="JM57" s="336">
        <v>0</v>
      </c>
      <c r="JN57" s="336">
        <v>5501143</v>
      </c>
      <c r="JO57" s="336">
        <v>0</v>
      </c>
      <c r="JP57" s="336">
        <v>0</v>
      </c>
      <c r="JQ57" s="336">
        <v>8645722</v>
      </c>
      <c r="JR57" s="336">
        <v>34770789</v>
      </c>
      <c r="JS57" s="336">
        <v>0</v>
      </c>
      <c r="JT57" s="336">
        <v>267092</v>
      </c>
      <c r="JU57" s="336">
        <v>0</v>
      </c>
      <c r="JV57" s="336">
        <v>0</v>
      </c>
      <c r="JW57" s="336">
        <v>0</v>
      </c>
      <c r="JX57" s="336">
        <v>0</v>
      </c>
      <c r="JY57" s="336">
        <v>0</v>
      </c>
      <c r="JZ57" s="336">
        <v>0</v>
      </c>
      <c r="KA57" s="336">
        <v>0</v>
      </c>
      <c r="KB57" s="336">
        <v>59814114</v>
      </c>
      <c r="KC57" s="336">
        <v>0</v>
      </c>
      <c r="KD57" s="336">
        <v>0</v>
      </c>
      <c r="KE57" s="336">
        <v>0</v>
      </c>
      <c r="KF57" s="336">
        <v>0</v>
      </c>
      <c r="KG57" s="336">
        <v>0</v>
      </c>
      <c r="KH57" s="336">
        <v>0</v>
      </c>
      <c r="KI57" s="336">
        <v>278753</v>
      </c>
      <c r="KJ57" s="336">
        <v>9505334</v>
      </c>
      <c r="KK57" s="336">
        <v>350</v>
      </c>
      <c r="KL57" s="336">
        <v>2035423</v>
      </c>
      <c r="KM57" s="336">
        <v>4405</v>
      </c>
      <c r="KN57" s="336">
        <v>0</v>
      </c>
      <c r="KO57" s="336">
        <v>1021332</v>
      </c>
      <c r="KP57" s="336">
        <v>0</v>
      </c>
      <c r="KQ57" s="336">
        <v>18510</v>
      </c>
      <c r="KR57" s="336">
        <v>161544904</v>
      </c>
      <c r="KS57" s="336">
        <v>79896016</v>
      </c>
      <c r="KT57" s="336">
        <v>0</v>
      </c>
      <c r="KU57" s="336">
        <v>1583650</v>
      </c>
      <c r="KV57" s="336">
        <v>0</v>
      </c>
      <c r="KW57" s="336">
        <v>0</v>
      </c>
      <c r="KX57" s="336">
        <v>0</v>
      </c>
      <c r="KY57" s="336">
        <v>0</v>
      </c>
      <c r="KZ57" s="336">
        <v>0</v>
      </c>
      <c r="LA57" s="336">
        <v>16176446</v>
      </c>
      <c r="LB57" s="336">
        <v>39911960</v>
      </c>
      <c r="LC57" s="336">
        <v>0</v>
      </c>
      <c r="LD57" s="336">
        <v>82483832</v>
      </c>
      <c r="LE57" s="336">
        <v>0</v>
      </c>
      <c r="LF57" s="336">
        <v>0</v>
      </c>
      <c r="LG57" s="336">
        <v>0</v>
      </c>
      <c r="LH57" s="336">
        <v>0</v>
      </c>
      <c r="LI57" s="336">
        <v>0</v>
      </c>
      <c r="LJ57" s="336">
        <v>4554195</v>
      </c>
      <c r="LK57" s="336">
        <v>6140685</v>
      </c>
      <c r="LL57" s="336">
        <v>0</v>
      </c>
      <c r="LM57" s="336">
        <v>4548123</v>
      </c>
      <c r="LN57" s="336">
        <v>0</v>
      </c>
      <c r="LO57" s="336">
        <v>0</v>
      </c>
      <c r="LP57" s="336">
        <v>0</v>
      </c>
      <c r="LQ57" s="336">
        <v>0</v>
      </c>
      <c r="LR57" s="336">
        <v>0</v>
      </c>
      <c r="LS57" s="336">
        <v>0</v>
      </c>
      <c r="LT57" s="336">
        <v>0</v>
      </c>
      <c r="LU57" s="336">
        <v>0</v>
      </c>
      <c r="LV57" s="336">
        <v>0</v>
      </c>
      <c r="LW57" s="336">
        <v>0</v>
      </c>
      <c r="LX57" s="336">
        <v>0</v>
      </c>
      <c r="LY57" s="336">
        <v>0</v>
      </c>
      <c r="LZ57" s="336">
        <v>0</v>
      </c>
      <c r="MA57" s="336">
        <v>0</v>
      </c>
      <c r="MB57" s="336">
        <v>27834717</v>
      </c>
      <c r="MC57" s="336">
        <v>65655935</v>
      </c>
      <c r="MD57" s="336">
        <v>0</v>
      </c>
      <c r="ME57" s="336">
        <v>3080060</v>
      </c>
      <c r="MF57" s="336">
        <v>0</v>
      </c>
      <c r="MG57" s="336">
        <v>0</v>
      </c>
      <c r="MH57" s="336">
        <v>0</v>
      </c>
      <c r="MI57" s="336">
        <v>0</v>
      </c>
      <c r="MJ57" s="336">
        <v>0</v>
      </c>
      <c r="MK57" s="336">
        <v>308400</v>
      </c>
      <c r="ML57" s="336">
        <v>26709766</v>
      </c>
      <c r="MM57" s="336">
        <v>0</v>
      </c>
      <c r="MN57" s="336">
        <v>502173</v>
      </c>
      <c r="MO57" s="336">
        <v>7213</v>
      </c>
      <c r="MP57" s="336">
        <v>0</v>
      </c>
      <c r="MQ57" s="336">
        <v>0</v>
      </c>
      <c r="MR57" s="336">
        <v>0</v>
      </c>
      <c r="MS57" s="336">
        <v>0</v>
      </c>
      <c r="MT57" s="336">
        <v>17401926</v>
      </c>
      <c r="MU57" s="336">
        <v>32657416</v>
      </c>
      <c r="MV57" s="336">
        <v>0</v>
      </c>
      <c r="MW57" s="336">
        <v>2116226</v>
      </c>
      <c r="MX57" s="336">
        <v>0</v>
      </c>
      <c r="MY57" s="336">
        <v>0</v>
      </c>
      <c r="MZ57" s="336">
        <v>0</v>
      </c>
      <c r="NA57" s="336">
        <v>0</v>
      </c>
      <c r="NB57" s="336">
        <v>0</v>
      </c>
      <c r="NC57" s="336">
        <v>20866631</v>
      </c>
      <c r="ND57" s="336">
        <v>38014804</v>
      </c>
      <c r="NE57" s="336">
        <v>0</v>
      </c>
      <c r="NF57" s="336">
        <v>637197</v>
      </c>
      <c r="NG57" s="336">
        <v>0</v>
      </c>
      <c r="NH57" s="336">
        <v>0</v>
      </c>
      <c r="NI57" s="336">
        <v>2968694</v>
      </c>
      <c r="NJ57" s="336">
        <v>0</v>
      </c>
      <c r="NK57" s="336">
        <v>0</v>
      </c>
      <c r="NL57" s="336">
        <v>4642772</v>
      </c>
      <c r="NM57" s="336">
        <v>23945134</v>
      </c>
      <c r="NN57" s="336">
        <v>0</v>
      </c>
      <c r="NO57" s="336">
        <v>11959409</v>
      </c>
      <c r="NP57" s="336">
        <v>0</v>
      </c>
      <c r="NQ57" s="336">
        <v>0</v>
      </c>
      <c r="NR57" s="336">
        <v>0</v>
      </c>
      <c r="NS57" s="336">
        <v>0</v>
      </c>
      <c r="NT57" s="336">
        <v>0</v>
      </c>
      <c r="NU57" s="336">
        <v>0</v>
      </c>
      <c r="NV57" s="336">
        <v>0</v>
      </c>
      <c r="NW57" s="336">
        <v>54685228</v>
      </c>
      <c r="NX57" s="336">
        <v>0</v>
      </c>
      <c r="NY57" s="336">
        <v>0</v>
      </c>
      <c r="NZ57" s="336">
        <v>0</v>
      </c>
      <c r="OA57" s="336">
        <v>0</v>
      </c>
      <c r="OB57" s="336">
        <v>0</v>
      </c>
      <c r="OC57" s="336">
        <v>0</v>
      </c>
      <c r="OD57" s="336">
        <v>1601908</v>
      </c>
      <c r="OE57" s="336">
        <v>18195270</v>
      </c>
      <c r="OF57" s="336">
        <v>1321562</v>
      </c>
      <c r="OG57" s="336">
        <v>11335282</v>
      </c>
      <c r="OH57" s="336">
        <v>0</v>
      </c>
      <c r="OI57" s="336">
        <v>0</v>
      </c>
      <c r="OJ57" s="336">
        <v>0</v>
      </c>
      <c r="OK57" s="336">
        <v>0</v>
      </c>
      <c r="OL57" s="336">
        <v>0</v>
      </c>
      <c r="OM57" s="336">
        <v>0</v>
      </c>
      <c r="ON57" s="336">
        <v>582794</v>
      </c>
      <c r="OO57" s="336">
        <v>1083</v>
      </c>
      <c r="OP57" s="336">
        <v>0</v>
      </c>
      <c r="OQ57" s="336">
        <v>0</v>
      </c>
      <c r="OR57" s="336">
        <v>0</v>
      </c>
      <c r="OS57" s="336">
        <v>27065</v>
      </c>
      <c r="OT57" s="336">
        <v>0</v>
      </c>
      <c r="OU57" s="336">
        <v>1779782</v>
      </c>
      <c r="OV57" s="336">
        <v>0</v>
      </c>
      <c r="OW57" s="336">
        <v>0</v>
      </c>
      <c r="OX57" s="336">
        <v>0</v>
      </c>
      <c r="OY57" s="336">
        <v>0</v>
      </c>
      <c r="OZ57" s="336">
        <v>0</v>
      </c>
      <c r="PA57" s="336">
        <v>0</v>
      </c>
      <c r="PB57" s="336">
        <v>-76321400</v>
      </c>
      <c r="PC57" s="336">
        <v>0</v>
      </c>
      <c r="PD57" s="336">
        <v>0</v>
      </c>
      <c r="PE57" s="336">
        <v>-4724068</v>
      </c>
      <c r="PF57" s="336">
        <v>17539720</v>
      </c>
      <c r="PG57" s="336">
        <v>5092861</v>
      </c>
      <c r="PH57" s="336">
        <v>-55100589</v>
      </c>
      <c r="PI57" s="336">
        <v>535654</v>
      </c>
      <c r="PJ57" s="336">
        <v>16036811</v>
      </c>
      <c r="PK57" s="336">
        <v>41079546</v>
      </c>
      <c r="PL57" s="336">
        <v>0</v>
      </c>
      <c r="PM57" s="336">
        <v>14697480</v>
      </c>
      <c r="PN57" s="336">
        <v>0</v>
      </c>
      <c r="PO57" s="336">
        <v>0</v>
      </c>
      <c r="PP57" s="336">
        <v>0</v>
      </c>
      <c r="PQ57" s="336">
        <v>0</v>
      </c>
      <c r="PR57" s="336">
        <v>0</v>
      </c>
      <c r="PS57" s="336">
        <v>0</v>
      </c>
      <c r="PT57" s="336">
        <v>72161654</v>
      </c>
      <c r="PU57" s="336">
        <v>0</v>
      </c>
      <c r="PV57" s="336">
        <v>0</v>
      </c>
      <c r="PW57" s="336">
        <v>-14633811</v>
      </c>
      <c r="PX57" s="336">
        <v>-14598069</v>
      </c>
      <c r="PY57" s="336">
        <v>-24331773</v>
      </c>
      <c r="PZ57" s="336">
        <v>-952879</v>
      </c>
      <c r="QA57" s="336">
        <v>0</v>
      </c>
      <c r="QB57" s="336">
        <v>0</v>
      </c>
      <c r="QC57" s="336">
        <v>0</v>
      </c>
      <c r="QD57" s="336">
        <v>0</v>
      </c>
      <c r="QE57" s="336">
        <v>0</v>
      </c>
      <c r="QF57" s="336">
        <v>0</v>
      </c>
      <c r="QG57" s="336">
        <v>40616655</v>
      </c>
      <c r="QH57" s="336">
        <v>0</v>
      </c>
      <c r="QI57" s="336">
        <v>0</v>
      </c>
      <c r="QJ57" s="336">
        <v>0</v>
      </c>
      <c r="QK57" s="336">
        <v>45885516</v>
      </c>
      <c r="QL57" s="336">
        <v>0</v>
      </c>
      <c r="QM57" s="336">
        <v>0</v>
      </c>
      <c r="QN57" s="336">
        <v>0</v>
      </c>
      <c r="QO57" s="336">
        <v>0</v>
      </c>
      <c r="QP57" s="336">
        <v>0</v>
      </c>
      <c r="QQ57" s="336">
        <v>0</v>
      </c>
      <c r="QR57" s="336">
        <v>0</v>
      </c>
      <c r="QS57" s="336">
        <v>0</v>
      </c>
      <c r="QT57" s="336">
        <v>5320682</v>
      </c>
      <c r="QU57" s="336">
        <v>0</v>
      </c>
      <c r="QV57" s="336">
        <v>0</v>
      </c>
      <c r="QW57" s="336">
        <v>0</v>
      </c>
      <c r="QX57" s="336">
        <v>0</v>
      </c>
      <c r="QY57" s="336">
        <v>0</v>
      </c>
      <c r="QZ57" s="336">
        <v>0</v>
      </c>
      <c r="RA57" s="336">
        <v>0</v>
      </c>
      <c r="RB57" s="336">
        <v>0</v>
      </c>
      <c r="RC57" s="336">
        <v>0</v>
      </c>
      <c r="RD57" s="336">
        <v>0</v>
      </c>
      <c r="RE57" s="336">
        <v>0</v>
      </c>
      <c r="RF57" s="336">
        <v>0</v>
      </c>
      <c r="RG57" s="336">
        <v>0</v>
      </c>
      <c r="RH57" s="336">
        <v>0</v>
      </c>
      <c r="RI57" s="336">
        <v>0</v>
      </c>
      <c r="RJ57" s="336">
        <v>0</v>
      </c>
      <c r="RK57" s="336">
        <v>0</v>
      </c>
      <c r="RL57" s="336">
        <v>0</v>
      </c>
      <c r="RM57" s="336">
        <v>0</v>
      </c>
      <c r="RN57" s="336">
        <v>0</v>
      </c>
      <c r="RO57" s="336">
        <v>-99267562</v>
      </c>
      <c r="RP57" s="336">
        <v>0</v>
      </c>
      <c r="RQ57" s="336">
        <v>0</v>
      </c>
      <c r="RR57" s="336">
        <v>0</v>
      </c>
      <c r="RS57" s="336">
        <v>0</v>
      </c>
      <c r="RT57" s="336">
        <v>0</v>
      </c>
      <c r="RU57" s="336">
        <v>0</v>
      </c>
      <c r="RV57" s="336">
        <v>0</v>
      </c>
      <c r="RW57" s="336">
        <v>0</v>
      </c>
      <c r="RX57" s="336">
        <v>0</v>
      </c>
      <c r="RY57" s="336">
        <v>0</v>
      </c>
      <c r="RZ57" s="336">
        <v>0</v>
      </c>
      <c r="SA57" s="336">
        <v>0</v>
      </c>
      <c r="SB57" s="336">
        <v>0</v>
      </c>
      <c r="SC57" s="336">
        <v>0</v>
      </c>
      <c r="SD57" s="336">
        <v>0</v>
      </c>
      <c r="SE57" s="336">
        <v>0</v>
      </c>
      <c r="SF57" s="336">
        <v>0</v>
      </c>
      <c r="SG57" s="336">
        <v>0</v>
      </c>
      <c r="SH57" s="336">
        <v>0</v>
      </c>
      <c r="SI57" s="336">
        <v>0</v>
      </c>
      <c r="SJ57" s="336">
        <v>0</v>
      </c>
      <c r="SK57" s="336">
        <v>0</v>
      </c>
      <c r="SL57" s="336">
        <v>0</v>
      </c>
      <c r="SM57" s="336">
        <v>0</v>
      </c>
      <c r="SN57" s="336">
        <v>0</v>
      </c>
      <c r="SO57" s="336">
        <v>0</v>
      </c>
      <c r="SP57" s="336">
        <v>0</v>
      </c>
      <c r="SQ57" s="336">
        <v>0</v>
      </c>
      <c r="SR57" s="336">
        <v>0</v>
      </c>
      <c r="SS57" s="336">
        <v>0</v>
      </c>
      <c r="ST57" s="336">
        <v>0</v>
      </c>
      <c r="SU57" s="336">
        <v>0</v>
      </c>
      <c r="SV57" s="336">
        <v>0</v>
      </c>
      <c r="SW57" s="336">
        <v>0</v>
      </c>
      <c r="SX57" s="336">
        <v>0</v>
      </c>
      <c r="SY57" s="336">
        <v>108775422</v>
      </c>
      <c r="SZ57" s="336" t="s">
        <v>1420</v>
      </c>
      <c r="TA57" s="336" t="s">
        <v>1420</v>
      </c>
      <c r="TB57" s="336" t="s">
        <v>1420</v>
      </c>
      <c r="TC57" s="336">
        <v>915166</v>
      </c>
      <c r="TD57" s="336">
        <v>19483673</v>
      </c>
      <c r="TE57" s="336">
        <v>893689</v>
      </c>
      <c r="TF57" s="336">
        <v>0</v>
      </c>
      <c r="TG57" s="336">
        <v>8763843</v>
      </c>
      <c r="TH57" s="336">
        <v>141632</v>
      </c>
      <c r="TI57" s="336">
        <v>210649</v>
      </c>
      <c r="TJ57" s="336">
        <v>723808</v>
      </c>
      <c r="TK57" s="336">
        <v>0</v>
      </c>
      <c r="TL57" s="336">
        <v>1321562</v>
      </c>
      <c r="TM57" s="336">
        <v>980307</v>
      </c>
      <c r="TN57" s="336">
        <v>0</v>
      </c>
      <c r="TO57" s="336">
        <v>1545759</v>
      </c>
      <c r="TP57" s="336">
        <v>121778</v>
      </c>
      <c r="TQ57" s="336">
        <v>0</v>
      </c>
      <c r="TR57" s="336">
        <v>0</v>
      </c>
      <c r="TS57" s="336">
        <v>0</v>
      </c>
      <c r="TT57" s="336">
        <v>0</v>
      </c>
      <c r="TU57" s="336">
        <v>0</v>
      </c>
      <c r="TV57" s="336">
        <v>0</v>
      </c>
      <c r="TW57" s="336">
        <v>0</v>
      </c>
      <c r="TX57" s="336">
        <v>1482</v>
      </c>
      <c r="TY57" s="336">
        <v>0</v>
      </c>
      <c r="TZ57" s="336">
        <v>0</v>
      </c>
      <c r="UA57" s="336">
        <v>0</v>
      </c>
      <c r="UB57" s="336">
        <v>0</v>
      </c>
      <c r="UC57" s="336">
        <v>0</v>
      </c>
      <c r="UD57" s="336">
        <v>0</v>
      </c>
      <c r="UE57" s="336">
        <v>0</v>
      </c>
      <c r="UF57" s="336">
        <v>0</v>
      </c>
      <c r="UG57" s="336">
        <v>0</v>
      </c>
      <c r="UH57" s="336">
        <v>243024570</v>
      </c>
      <c r="UI57" s="336">
        <v>138572238</v>
      </c>
      <c r="UJ57" s="336">
        <v>15243003</v>
      </c>
      <c r="UK57" s="336">
        <v>0</v>
      </c>
      <c r="UL57" s="336">
        <v>96570712</v>
      </c>
      <c r="UM57" s="336">
        <v>27527552</v>
      </c>
      <c r="UN57" s="336">
        <v>52175568</v>
      </c>
      <c r="UO57" s="336">
        <v>62487326</v>
      </c>
      <c r="UP57" s="336">
        <v>40547315</v>
      </c>
      <c r="UQ57" s="336">
        <v>54685228</v>
      </c>
      <c r="UR57"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32454022</v>
      </c>
      <c r="US57" s="338">
        <f>SUM(Input[[#This Row],[Oth Exp E&amp;G]],Input[[#This Row],[Oth Exp Desg]],Input[[#This Row],[Oth Exp Aux]],Input[[#This Row],[Oth Exp R Exp]],Input[[#This Row],[Oth Exp Loan]],Input[[#This Row],[Oth Exp Annuity]],Input[[#This Row],[Oth Exp Unexp]],Input[[#This Row],[Oth Exp R of Ind]],Input[[#This Row],[Oth Exp Inv in P]])</f>
        <v>2390724</v>
      </c>
      <c r="UT57" s="336">
        <v>243674096</v>
      </c>
      <c r="UU57" s="336">
        <v>0</v>
      </c>
      <c r="UV57" s="339" t="s">
        <v>1573</v>
      </c>
      <c r="UW57" s="340">
        <v>9728832701</v>
      </c>
      <c r="UX57" s="339" t="s">
        <v>1574</v>
      </c>
      <c r="UY57" s="339" t="s">
        <v>1575</v>
      </c>
      <c r="UZ57" s="340">
        <v>9728832632</v>
      </c>
      <c r="VA57" s="339" t="s">
        <v>1576</v>
      </c>
      <c r="VB57" s="341" cm="1">
        <f t="array" ref="VB57">IFERROR(_xlfn.IFS(Input[[#This Row],[Type]]="HRI",VLOOKUP(Input[[#This Row],[Institution Name]],FTSEHRI[],9,FALSE),Input[[#This Row],[Type]]="UNIV",VLOOKUP(Input[[#This Row],[Institution Name]],FTSEUNIV[],9,FALSE),OR(Input[[#This Row],[Type]]="TSTC",Input[[#This Row],[Type]]="LSC"),VLOOKUP(Input[[#This Row],[Institution Name]],FTSETSTC[],8,FALSE)),"N/A")</f>
        <v>26080.89</v>
      </c>
      <c r="VC57" s="342" t="str" cm="1">
        <f t="array" ref="VC57">IFERROR(_xlfn.IFS(Input[[#This Row],[Type]]="HRI",VLOOKUP(Input[[#This Row],[Institution Name]],FTSEHRI[],11,FALSE),Input[[#This Row],[Type]]="UNIV",VLOOKUP(Input[[#This Row],[Institution Name]],FTSEUNIV[],11,FALSE),Input[[#This Row],[Type]]="TSTC",VLOOKUP(Input[[#This Row],[Institution Name]],FTSETSTC[],10,FALSE)),"N/A")</f>
        <v>N/A</v>
      </c>
      <c r="VD57"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211942339</v>
      </c>
      <c r="VE57"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57" s="338">
        <f>SUM(Input[[#This Row],[Fed G&amp;C E&amp;G]],Input[[#This Row],[Fed G&amp;C Desg]],Input[[#This Row],[Fed G&amp;C R Exp]],Input[[#This Row],[Fed G&amp;C Loan]],Input[[#This Row],[Fed G&amp;C Annuity]],Input[[#This Row],[Fed G&amp;C Unexp]],Input[[#This Row],[Fed G&amp;C R of Ind]],Input[[#This Row],[Fed G&amp;C Inv in P]])</f>
        <v>125328548</v>
      </c>
      <c r="VG57"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156631595</v>
      </c>
      <c r="VH57"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271229509</v>
      </c>
      <c r="VI57"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97685426</v>
      </c>
      <c r="VJ57" s="338">
        <f>SUM(Input[[#This Row],[Oth Inc E&amp;G]],Input[[#This Row],[Oth Exp Desg]],Input[[#This Row],[Oth Exp R Exp]],Input[[#This Row],[Oth Exp Loan]],Input[[#This Row],[Oth Exp Annuity]],Input[[#This Row],[Oth Exp Unexp]],Input[[#This Row],[Oth Exp R of Ind]],Input[[#This Row],[Oth Exp Inv in P]])</f>
        <v>2668394</v>
      </c>
      <c r="VK57" s="343">
        <f>SUM(Input[[#This Row],[Instr E&amp;G]],Input[[#This Row],[Instr Desg]],Input[[#This Row],[Instr R Exp]],Input[[#This Row],[Instr Loan]],Input[[#This Row],[Instr Annuity]],Input[[#This Row],[Instr Unexp]],Input[[#This Row],[Instr R of Ind]],Input[[#This Row],[Instr Inv in P]])</f>
        <v>243024570</v>
      </c>
      <c r="VL57" s="343">
        <f>SUM(Input[[#This Row],[Res E&amp;G]],Input[[#This Row],[Res Desg]],Input[[#This Row],[Res R Exp]],Input[[#This Row],[Res Loan]],Input[[#This Row],[Res Annuity]],Input[[#This Row],[Res Unexp]],Input[[#This Row],[Res R of Ind]],Input[[#This Row],[Res Inv in P]])</f>
        <v>138572238</v>
      </c>
      <c r="VM57" s="343">
        <f>SUM(Input[[#This Row],[Acad Sup E&amp;G]],Input[[#This Row],[Acad Sup Desg]],Input[[#This Row],[Acad Sup R Exp]],Input[[#This Row],[Acad Sup Loan]],Input[[#This Row],[Acad Sup Annuity]],Input[[#This Row],[Acad Sup Unexp]],Input[[#This Row],[Acad Sup R of Ind]],Input[[#This Row],[Acad Sup Inv in P]])</f>
        <v>96570712</v>
      </c>
      <c r="VN57" s="343">
        <f>SUM(Input[[#This Row],[Stu Svc E&amp;G]],Input[[#This Row],[Stu Svc Desg]],Input[[#This Row],[Stu Svc R Exp]],Input[[#This Row],[Stu Svc Loan]],Input[[#This Row],[Stu Svc Annuity]],Input[[#This Row],[Stu Svc Unexp]],Input[[#This Row],[Stu Svc R of Ind]],Input[[#This Row],[Stu Svc Inv in P]])</f>
        <v>27527552</v>
      </c>
      <c r="VO57" s="343">
        <f>SUM(Input[[#This Row],[Inst. Spt E&amp;G]],Input[[#This Row],[Inst. Spt Desg]],Input[[#This Row],[Inst. Spt R Exp]],Input[[#This Row],[Inst. Spt Loan]],Input[[#This Row],[Inst. Spt Annuity]],Input[[#This Row],[Inst. Spt Unexp]],Input[[#This Row],[Inst. Spt R of Ind]],Input[[#This Row],[Inst. Spt Inv in P]])</f>
        <v>52175568</v>
      </c>
      <c r="VP57" s="343">
        <f>SUM(Input[[#This Row],[M&amp;O Plnt E&amp;G]],Input[[#This Row],[M&amp;O Plnt Desg]],Input[[#This Row],[M&amp;O Plnt R Exp]],Input[[#This Row],[M&amp;O Plnt Loan]],Input[[#This Row],[M&amp;O Plnt Annuity]],Input[[#This Row],[M&amp;O Plnt Unexp]],Input[[#This Row],[M&amp;O Plnt R of Ind]],Input[[#This Row],[M&amp;O Plnt Inv in P]])</f>
        <v>62487326</v>
      </c>
      <c r="VQ57" s="343">
        <f>SUM(Input[[#This Row],[Schl &amp; Fell E&amp;G]],Input[[#This Row],[Schl &amp; Fell Desg]],Input[[#This Row],[Schl &amp; Fell R Exp]],Input[[#This Row],[Schl &amp; Fell Loan]],Input[[#This Row],[Schl &amp; Fell Annuity]],Input[[#This Row],[Schl &amp; Fell Unexp]],Input[[#This Row],[Schl &amp; Fell R of Ind]],Input[[#This Row],[Schl &amp; Fell Inv in P]])</f>
        <v>40547315</v>
      </c>
      <c r="VR57" s="343">
        <f>SUM(Input[[#This Row],[Cap Out fund E&amp;G]],Input[[#This Row],[Cap Out fund Desg]],Input[[#This Row],[Cap Out fund R Exp]],Input[[#This Row],[Cap Out fund Loan]],Input[[#This Row],[Cap Out fund Annuity]],Input[[#This Row],[Cap Out fund Unexp]],Input[[#This Row],[Cap Out fund R of Ind]],Input[[#This Row],[Cap Out fund Inv in P]])</f>
        <v>31132460</v>
      </c>
      <c r="VS57" s="343">
        <f>SUM(Input[[#This Row],[Oth Exp E&amp;G]],Input[[#This Row],[Oth Exp Desg]],Input[[#This Row],[Oth Exp R Exp]],Input[[#This Row],[Oth Exp Loan]],Input[[#This Row],[Oth Exp Annuity]],Input[[#This Row],[Oth Exp Unexp]],Input[[#This Row],[Oth Exp R of Ind]],Input[[#This Row],[Oth Exp Inv in P]],Input[[#This Row],[Oth Exp Inv in P]])</f>
        <v>4169423</v>
      </c>
    </row>
    <row r="58" spans="1:591" s="344" customFormat="1" ht="27" customHeight="1" x14ac:dyDescent="0.55000000000000004">
      <c r="A58" s="339" t="s">
        <v>61</v>
      </c>
      <c r="B58" s="334" t="s">
        <v>829</v>
      </c>
      <c r="C58" s="334" t="s">
        <v>21</v>
      </c>
      <c r="D58" s="334">
        <v>70</v>
      </c>
      <c r="E58" s="334" t="s">
        <v>1622</v>
      </c>
      <c r="F58" s="335">
        <v>3661</v>
      </c>
      <c r="G58" s="336">
        <v>141836487</v>
      </c>
      <c r="H58" s="336">
        <v>0</v>
      </c>
      <c r="I58" s="336">
        <v>0</v>
      </c>
      <c r="J58" s="336">
        <v>0</v>
      </c>
      <c r="K58" s="336">
        <v>0</v>
      </c>
      <c r="L58" s="336">
        <v>0</v>
      </c>
      <c r="M58" s="336">
        <v>0</v>
      </c>
      <c r="N58" s="336">
        <v>0</v>
      </c>
      <c r="O58" s="336">
        <v>0</v>
      </c>
      <c r="P58" s="336">
        <v>33572459</v>
      </c>
      <c r="Q58" s="336">
        <v>303912</v>
      </c>
      <c r="R58" s="336">
        <v>0</v>
      </c>
      <c r="S58" s="336">
        <v>1429477</v>
      </c>
      <c r="T58" s="336">
        <v>0</v>
      </c>
      <c r="U58" s="336">
        <v>0</v>
      </c>
      <c r="V58" s="336">
        <v>0</v>
      </c>
      <c r="W58" s="336">
        <v>0</v>
      </c>
      <c r="X58" s="336">
        <v>0</v>
      </c>
      <c r="Y58" s="336">
        <v>0</v>
      </c>
      <c r="Z58" s="336">
        <v>0</v>
      </c>
      <c r="AA58" s="336">
        <v>0</v>
      </c>
      <c r="AB58" s="336">
        <v>0</v>
      </c>
      <c r="AC58" s="336">
        <v>0</v>
      </c>
      <c r="AD58" s="336">
        <v>0</v>
      </c>
      <c r="AE58" s="336">
        <v>0</v>
      </c>
      <c r="AF58" s="336">
        <v>0</v>
      </c>
      <c r="AG58" s="336">
        <v>0</v>
      </c>
      <c r="AH58" s="336">
        <v>0</v>
      </c>
      <c r="AI58" s="336">
        <v>0</v>
      </c>
      <c r="AJ58" s="336">
        <v>0</v>
      </c>
      <c r="AK58" s="336">
        <v>0</v>
      </c>
      <c r="AL58" s="336">
        <v>0</v>
      </c>
      <c r="AM58" s="336">
        <v>0</v>
      </c>
      <c r="AN58" s="336">
        <v>0</v>
      </c>
      <c r="AO58" s="336">
        <v>0</v>
      </c>
      <c r="AP58" s="336">
        <v>0</v>
      </c>
      <c r="AQ58" s="336">
        <v>-21570397</v>
      </c>
      <c r="AR58" s="336">
        <v>-38235</v>
      </c>
      <c r="AS58" s="336">
        <v>0</v>
      </c>
      <c r="AT58" s="336">
        <v>0</v>
      </c>
      <c r="AU58" s="336">
        <v>0</v>
      </c>
      <c r="AV58" s="336">
        <v>0</v>
      </c>
      <c r="AW58" s="336">
        <v>0</v>
      </c>
      <c r="AX58" s="336">
        <v>0</v>
      </c>
      <c r="AY58" s="336">
        <v>0</v>
      </c>
      <c r="AZ58" s="336">
        <v>0</v>
      </c>
      <c r="BA58" s="336">
        <v>0</v>
      </c>
      <c r="BB58" s="336">
        <v>0</v>
      </c>
      <c r="BC58" s="336">
        <v>0</v>
      </c>
      <c r="BD58" s="336">
        <v>0</v>
      </c>
      <c r="BE58" s="336">
        <v>0</v>
      </c>
      <c r="BF58" s="336">
        <v>0</v>
      </c>
      <c r="BG58" s="336">
        <v>0</v>
      </c>
      <c r="BH58" s="336">
        <v>0</v>
      </c>
      <c r="BI58" s="336">
        <v>0</v>
      </c>
      <c r="BJ58" s="336">
        <v>0</v>
      </c>
      <c r="BK58" s="336">
        <v>0</v>
      </c>
      <c r="BL58" s="336">
        <v>0</v>
      </c>
      <c r="BM58" s="336">
        <v>0</v>
      </c>
      <c r="BN58" s="336">
        <v>0</v>
      </c>
      <c r="BO58" s="336">
        <v>0</v>
      </c>
      <c r="BP58" s="336">
        <v>0</v>
      </c>
      <c r="BQ58" s="336">
        <v>0</v>
      </c>
      <c r="BR58" s="336">
        <v>0</v>
      </c>
      <c r="BS58" s="336">
        <v>0</v>
      </c>
      <c r="BT58" s="336">
        <v>0</v>
      </c>
      <c r="BU58" s="336">
        <v>0</v>
      </c>
      <c r="BV58" s="336">
        <v>0</v>
      </c>
      <c r="BW58" s="336">
        <v>0</v>
      </c>
      <c r="BX58" s="336">
        <v>0</v>
      </c>
      <c r="BY58" s="336">
        <v>0</v>
      </c>
      <c r="BZ58" s="336">
        <v>0</v>
      </c>
      <c r="CA58" s="336">
        <v>34776967</v>
      </c>
      <c r="CB58" s="336">
        <v>120145640</v>
      </c>
      <c r="CC58" s="336">
        <v>0</v>
      </c>
      <c r="CD58" s="336">
        <v>0</v>
      </c>
      <c r="CE58" s="336">
        <v>0</v>
      </c>
      <c r="CF58" s="336">
        <v>0</v>
      </c>
      <c r="CG58" s="336">
        <v>0</v>
      </c>
      <c r="CH58" s="336">
        <v>0</v>
      </c>
      <c r="CI58" s="336">
        <v>0</v>
      </c>
      <c r="CJ58" s="336">
        <v>0</v>
      </c>
      <c r="CK58" s="336">
        <v>0</v>
      </c>
      <c r="CL58" s="336">
        <v>0</v>
      </c>
      <c r="CM58" s="336">
        <v>0</v>
      </c>
      <c r="CN58" s="336">
        <v>0</v>
      </c>
      <c r="CO58" s="336">
        <v>0</v>
      </c>
      <c r="CP58" s="336">
        <v>0</v>
      </c>
      <c r="CQ58" s="336">
        <v>0</v>
      </c>
      <c r="CR58" s="336">
        <v>0</v>
      </c>
      <c r="CS58" s="336">
        <v>0</v>
      </c>
      <c r="CT58" s="336">
        <v>0</v>
      </c>
      <c r="CU58" s="336">
        <v>0</v>
      </c>
      <c r="CV58" s="336">
        <v>0</v>
      </c>
      <c r="CW58" s="336">
        <v>0</v>
      </c>
      <c r="CX58" s="336">
        <v>0</v>
      </c>
      <c r="CY58" s="336">
        <v>0</v>
      </c>
      <c r="CZ58" s="336">
        <v>0</v>
      </c>
      <c r="DA58" s="336">
        <v>0</v>
      </c>
      <c r="DB58" s="336">
        <v>-1199650</v>
      </c>
      <c r="DC58" s="336">
        <v>-4328105</v>
      </c>
      <c r="DD58" s="336">
        <v>0</v>
      </c>
      <c r="DE58" s="336">
        <v>0</v>
      </c>
      <c r="DF58" s="336">
        <v>0</v>
      </c>
      <c r="DG58" s="336">
        <v>0</v>
      </c>
      <c r="DH58" s="336">
        <v>0</v>
      </c>
      <c r="DI58" s="336">
        <v>0</v>
      </c>
      <c r="DJ58" s="336">
        <v>0</v>
      </c>
      <c r="DK58" s="336">
        <v>0</v>
      </c>
      <c r="DL58" s="336">
        <v>0</v>
      </c>
      <c r="DM58" s="336">
        <v>0</v>
      </c>
      <c r="DN58" s="336">
        <v>0</v>
      </c>
      <c r="DO58" s="336">
        <v>0</v>
      </c>
      <c r="DP58" s="336">
        <v>0</v>
      </c>
      <c r="DQ58" s="336">
        <v>0</v>
      </c>
      <c r="DR58" s="336">
        <v>0</v>
      </c>
      <c r="DS58" s="336">
        <v>0</v>
      </c>
      <c r="DT58" s="336">
        <v>-11691891</v>
      </c>
      <c r="DU58" s="336">
        <v>-40238122</v>
      </c>
      <c r="DV58" s="336">
        <v>0</v>
      </c>
      <c r="DW58" s="336">
        <v>0</v>
      </c>
      <c r="DX58" s="336">
        <v>0</v>
      </c>
      <c r="DY58" s="336">
        <v>0</v>
      </c>
      <c r="DZ58" s="336">
        <v>0</v>
      </c>
      <c r="EA58" s="336">
        <v>0</v>
      </c>
      <c r="EB58" s="336">
        <v>0</v>
      </c>
      <c r="EC58" s="336">
        <v>0</v>
      </c>
      <c r="ED58" s="336">
        <v>-13998</v>
      </c>
      <c r="EE58" s="336">
        <v>-1291</v>
      </c>
      <c r="EF58" s="336">
        <v>0</v>
      </c>
      <c r="EG58" s="336">
        <v>0</v>
      </c>
      <c r="EH58" s="336">
        <v>0</v>
      </c>
      <c r="EI58" s="336">
        <v>0</v>
      </c>
      <c r="EJ58" s="336">
        <v>0</v>
      </c>
      <c r="EK58" s="336">
        <v>0</v>
      </c>
      <c r="EL58" s="336">
        <v>0</v>
      </c>
      <c r="EM58" s="336">
        <v>0</v>
      </c>
      <c r="EN58" s="336">
        <v>0</v>
      </c>
      <c r="EO58" s="336">
        <v>0</v>
      </c>
      <c r="EP58" s="336">
        <v>0</v>
      </c>
      <c r="EQ58" s="336">
        <v>0</v>
      </c>
      <c r="ER58" s="336">
        <v>0</v>
      </c>
      <c r="ES58" s="336">
        <v>0</v>
      </c>
      <c r="ET58" s="336">
        <v>0</v>
      </c>
      <c r="EU58" s="336">
        <v>0</v>
      </c>
      <c r="EV58" s="336">
        <v>0</v>
      </c>
      <c r="EW58" s="336">
        <v>0</v>
      </c>
      <c r="EX58" s="336">
        <v>0</v>
      </c>
      <c r="EY58" s="336">
        <v>0</v>
      </c>
      <c r="EZ58" s="336">
        <v>0</v>
      </c>
      <c r="FA58" s="336">
        <v>0</v>
      </c>
      <c r="FB58" s="336">
        <v>0</v>
      </c>
      <c r="FC58" s="336">
        <v>0</v>
      </c>
      <c r="FD58" s="336">
        <v>0</v>
      </c>
      <c r="FE58" s="336">
        <v>0</v>
      </c>
      <c r="FF58" s="336">
        <v>0</v>
      </c>
      <c r="FG58" s="336">
        <v>0</v>
      </c>
      <c r="FH58" s="336">
        <v>0</v>
      </c>
      <c r="FI58" s="336">
        <v>0</v>
      </c>
      <c r="FJ58" s="336">
        <v>0</v>
      </c>
      <c r="FK58" s="336">
        <v>0</v>
      </c>
      <c r="FL58" s="336">
        <v>0</v>
      </c>
      <c r="FM58" s="336">
        <v>0</v>
      </c>
      <c r="FN58" s="336">
        <v>47923937</v>
      </c>
      <c r="FO58" s="336">
        <v>12616767</v>
      </c>
      <c r="FP58" s="336">
        <v>0</v>
      </c>
      <c r="FQ58" s="336">
        <v>0</v>
      </c>
      <c r="FR58" s="336">
        <v>0</v>
      </c>
      <c r="FS58" s="336">
        <v>0</v>
      </c>
      <c r="FT58" s="336">
        <v>0</v>
      </c>
      <c r="FU58" s="336">
        <v>0</v>
      </c>
      <c r="FV58" s="336">
        <v>0</v>
      </c>
      <c r="FW58" s="336">
        <v>0</v>
      </c>
      <c r="FX58" s="336">
        <v>0</v>
      </c>
      <c r="FY58" s="336">
        <v>0</v>
      </c>
      <c r="FZ58" s="336">
        <v>0</v>
      </c>
      <c r="GA58" s="336">
        <v>0</v>
      </c>
      <c r="GB58" s="336">
        <v>0</v>
      </c>
      <c r="GC58" s="336">
        <v>0</v>
      </c>
      <c r="GD58" s="336">
        <v>0</v>
      </c>
      <c r="GE58" s="336">
        <v>0</v>
      </c>
      <c r="GF58" s="336">
        <v>0</v>
      </c>
      <c r="GG58" s="336">
        <v>0</v>
      </c>
      <c r="GH58" s="336">
        <v>0</v>
      </c>
      <c r="GI58" s="336">
        <v>0</v>
      </c>
      <c r="GJ58" s="336">
        <v>0</v>
      </c>
      <c r="GK58" s="336">
        <v>0</v>
      </c>
      <c r="GL58" s="336">
        <v>0</v>
      </c>
      <c r="GM58" s="336">
        <v>0</v>
      </c>
      <c r="GN58" s="336">
        <v>0</v>
      </c>
      <c r="GO58" s="336">
        <v>-1678579</v>
      </c>
      <c r="GP58" s="336">
        <v>-148518</v>
      </c>
      <c r="GQ58" s="336">
        <v>0</v>
      </c>
      <c r="GR58" s="336">
        <v>0</v>
      </c>
      <c r="GS58" s="336">
        <v>0</v>
      </c>
      <c r="GT58" s="336">
        <v>0</v>
      </c>
      <c r="GU58" s="336">
        <v>0</v>
      </c>
      <c r="GV58" s="336">
        <v>0</v>
      </c>
      <c r="GW58" s="336">
        <v>0</v>
      </c>
      <c r="GX58" s="336">
        <v>0</v>
      </c>
      <c r="GY58" s="336">
        <v>0</v>
      </c>
      <c r="GZ58" s="336">
        <v>0</v>
      </c>
      <c r="HA58" s="336">
        <v>0</v>
      </c>
      <c r="HB58" s="336">
        <v>0</v>
      </c>
      <c r="HC58" s="336">
        <v>0</v>
      </c>
      <c r="HD58" s="336">
        <v>0</v>
      </c>
      <c r="HE58" s="336">
        <v>0</v>
      </c>
      <c r="HF58" s="336">
        <v>0</v>
      </c>
      <c r="HG58" s="336">
        <v>-16094300</v>
      </c>
      <c r="HH58" s="336">
        <v>-4528416</v>
      </c>
      <c r="HI58" s="336">
        <v>0</v>
      </c>
      <c r="HJ58" s="336">
        <v>0</v>
      </c>
      <c r="HK58" s="336">
        <v>0</v>
      </c>
      <c r="HL58" s="336">
        <v>0</v>
      </c>
      <c r="HM58" s="336">
        <v>0</v>
      </c>
      <c r="HN58" s="336">
        <v>0</v>
      </c>
      <c r="HO58" s="336">
        <v>0</v>
      </c>
      <c r="HP58" s="336">
        <v>19265899</v>
      </c>
      <c r="HQ58" s="336">
        <v>0</v>
      </c>
      <c r="HR58" s="336">
        <v>160356798</v>
      </c>
      <c r="HS58" s="336">
        <v>0</v>
      </c>
      <c r="HT58" s="336">
        <v>0</v>
      </c>
      <c r="HU58" s="336">
        <v>0</v>
      </c>
      <c r="HV58" s="336">
        <v>0</v>
      </c>
      <c r="HW58" s="336">
        <v>0</v>
      </c>
      <c r="HX58" s="336">
        <v>0</v>
      </c>
      <c r="HY58" s="336">
        <v>0</v>
      </c>
      <c r="HZ58" s="336">
        <v>0</v>
      </c>
      <c r="IA58" s="336">
        <v>0</v>
      </c>
      <c r="IB58" s="336">
        <v>0</v>
      </c>
      <c r="IC58" s="336">
        <v>0</v>
      </c>
      <c r="ID58" s="336">
        <v>0</v>
      </c>
      <c r="IE58" s="336">
        <v>0</v>
      </c>
      <c r="IF58" s="336">
        <v>0</v>
      </c>
      <c r="IG58" s="336">
        <v>0</v>
      </c>
      <c r="IH58" s="336">
        <v>0</v>
      </c>
      <c r="II58" s="336">
        <v>0</v>
      </c>
      <c r="IJ58" s="336">
        <v>0</v>
      </c>
      <c r="IK58" s="336">
        <v>0</v>
      </c>
      <c r="IL58" s="336">
        <v>0</v>
      </c>
      <c r="IM58" s="336">
        <v>0</v>
      </c>
      <c r="IN58" s="336">
        <v>0</v>
      </c>
      <c r="IO58" s="336">
        <v>0</v>
      </c>
      <c r="IP58" s="336">
        <v>759691</v>
      </c>
      <c r="IQ58" s="336">
        <v>13314615</v>
      </c>
      <c r="IR58" s="336">
        <v>1979445</v>
      </c>
      <c r="IS58" s="336">
        <v>10463501</v>
      </c>
      <c r="IT58" s="336">
        <v>19200</v>
      </c>
      <c r="IU58" s="336">
        <v>17923</v>
      </c>
      <c r="IV58" s="336">
        <v>264227</v>
      </c>
      <c r="IW58" s="336">
        <v>0</v>
      </c>
      <c r="IX58" s="336">
        <v>0</v>
      </c>
      <c r="IY58" s="336">
        <v>0</v>
      </c>
      <c r="IZ58" s="336">
        <v>124588</v>
      </c>
      <c r="JA58" s="336">
        <v>0</v>
      </c>
      <c r="JB58" s="336">
        <v>1544831</v>
      </c>
      <c r="JC58" s="336">
        <v>0</v>
      </c>
      <c r="JD58" s="336">
        <v>0</v>
      </c>
      <c r="JE58" s="336">
        <v>0</v>
      </c>
      <c r="JF58" s="336">
        <v>0</v>
      </c>
      <c r="JG58" s="336">
        <v>0</v>
      </c>
      <c r="JH58" s="336">
        <v>0</v>
      </c>
      <c r="JI58" s="336">
        <v>271600</v>
      </c>
      <c r="JJ58" s="336">
        <v>0</v>
      </c>
      <c r="JK58" s="336">
        <v>17744247</v>
      </c>
      <c r="JL58" s="336">
        <v>0</v>
      </c>
      <c r="JM58" s="336">
        <v>0</v>
      </c>
      <c r="JN58" s="336">
        <v>0</v>
      </c>
      <c r="JO58" s="336">
        <v>0</v>
      </c>
      <c r="JP58" s="336">
        <v>0</v>
      </c>
      <c r="JQ58" s="336">
        <v>0</v>
      </c>
      <c r="JR58" s="336">
        <v>7336554</v>
      </c>
      <c r="JS58" s="336">
        <v>0</v>
      </c>
      <c r="JT58" s="336">
        <v>2208368</v>
      </c>
      <c r="JU58" s="336">
        <v>0</v>
      </c>
      <c r="JV58" s="336">
        <v>0</v>
      </c>
      <c r="JW58" s="336">
        <v>0</v>
      </c>
      <c r="JX58" s="336">
        <v>0</v>
      </c>
      <c r="JY58" s="336">
        <v>0</v>
      </c>
      <c r="JZ58" s="336">
        <v>0</v>
      </c>
      <c r="KA58" s="336">
        <v>0</v>
      </c>
      <c r="KB58" s="336">
        <v>57766113</v>
      </c>
      <c r="KC58" s="336">
        <v>0</v>
      </c>
      <c r="KD58" s="336">
        <v>0</v>
      </c>
      <c r="KE58" s="336">
        <v>0</v>
      </c>
      <c r="KF58" s="336">
        <v>0</v>
      </c>
      <c r="KG58" s="336">
        <v>0</v>
      </c>
      <c r="KH58" s="336">
        <v>0</v>
      </c>
      <c r="KI58" s="336">
        <v>196</v>
      </c>
      <c r="KJ58" s="336">
        <v>141970</v>
      </c>
      <c r="KK58" s="336">
        <v>-106221</v>
      </c>
      <c r="KL58" s="336">
        <v>96090</v>
      </c>
      <c r="KM58" s="336">
        <v>20907</v>
      </c>
      <c r="KN58" s="336">
        <v>0</v>
      </c>
      <c r="KO58" s="336">
        <v>235246</v>
      </c>
      <c r="KP58" s="336">
        <v>0</v>
      </c>
      <c r="KQ58" s="336">
        <v>-102009</v>
      </c>
      <c r="KR58" s="336">
        <v>85236023</v>
      </c>
      <c r="KS58" s="336">
        <v>37175726</v>
      </c>
      <c r="KT58" s="336">
        <v>0</v>
      </c>
      <c r="KU58" s="336">
        <v>2070404</v>
      </c>
      <c r="KV58" s="336">
        <v>0</v>
      </c>
      <c r="KW58" s="336">
        <v>0</v>
      </c>
      <c r="KX58" s="336">
        <v>0</v>
      </c>
      <c r="KY58" s="336">
        <v>0</v>
      </c>
      <c r="KZ58" s="336">
        <v>0</v>
      </c>
      <c r="LA58" s="336">
        <v>36179382</v>
      </c>
      <c r="LB58" s="336">
        <v>13697176</v>
      </c>
      <c r="LC58" s="336">
        <v>0</v>
      </c>
      <c r="LD58" s="336">
        <v>72202202</v>
      </c>
      <c r="LE58" s="336">
        <v>0</v>
      </c>
      <c r="LF58" s="336">
        <v>0</v>
      </c>
      <c r="LG58" s="336">
        <v>0</v>
      </c>
      <c r="LH58" s="336">
        <v>0</v>
      </c>
      <c r="LI58" s="336">
        <v>0</v>
      </c>
      <c r="LJ58" s="336">
        <v>619874</v>
      </c>
      <c r="LK58" s="336">
        <v>1015326</v>
      </c>
      <c r="LL58" s="336">
        <v>0</v>
      </c>
      <c r="LM58" s="336">
        <v>6148379</v>
      </c>
      <c r="LN58" s="336">
        <v>0</v>
      </c>
      <c r="LO58" s="336">
        <v>0</v>
      </c>
      <c r="LP58" s="336">
        <v>0</v>
      </c>
      <c r="LQ58" s="336">
        <v>0</v>
      </c>
      <c r="LR58" s="336">
        <v>0</v>
      </c>
      <c r="LS58" s="336">
        <v>0</v>
      </c>
      <c r="LT58" s="336">
        <v>0</v>
      </c>
      <c r="LU58" s="336">
        <v>0</v>
      </c>
      <c r="LV58" s="336">
        <v>0</v>
      </c>
      <c r="LW58" s="336">
        <v>0</v>
      </c>
      <c r="LX58" s="336">
        <v>0</v>
      </c>
      <c r="LY58" s="336">
        <v>0</v>
      </c>
      <c r="LZ58" s="336">
        <v>0</v>
      </c>
      <c r="MA58" s="336">
        <v>0</v>
      </c>
      <c r="MB58" s="336">
        <v>13255082</v>
      </c>
      <c r="MC58" s="336">
        <v>11398463</v>
      </c>
      <c r="MD58" s="336">
        <v>0</v>
      </c>
      <c r="ME58" s="336">
        <v>3227631</v>
      </c>
      <c r="MF58" s="336">
        <v>0</v>
      </c>
      <c r="MG58" s="336">
        <v>0</v>
      </c>
      <c r="MH58" s="336">
        <v>0</v>
      </c>
      <c r="MI58" s="336">
        <v>0</v>
      </c>
      <c r="MJ58" s="336">
        <v>0</v>
      </c>
      <c r="MK58" s="336">
        <v>5962435</v>
      </c>
      <c r="ML58" s="336">
        <v>17911187</v>
      </c>
      <c r="MM58" s="336">
        <v>0</v>
      </c>
      <c r="MN58" s="336">
        <v>1357308</v>
      </c>
      <c r="MO58" s="336">
        <v>-55749</v>
      </c>
      <c r="MP58" s="336">
        <v>0</v>
      </c>
      <c r="MQ58" s="336">
        <v>0</v>
      </c>
      <c r="MR58" s="336">
        <v>0</v>
      </c>
      <c r="MS58" s="336">
        <v>0</v>
      </c>
      <c r="MT58" s="336">
        <v>18954055</v>
      </c>
      <c r="MU58" s="336">
        <v>20058546</v>
      </c>
      <c r="MV58" s="336">
        <v>0</v>
      </c>
      <c r="MW58" s="336">
        <v>4183457</v>
      </c>
      <c r="MX58" s="336">
        <v>0</v>
      </c>
      <c r="MY58" s="336">
        <v>0</v>
      </c>
      <c r="MZ58" s="336">
        <v>0</v>
      </c>
      <c r="NA58" s="336">
        <v>0</v>
      </c>
      <c r="NB58" s="336">
        <v>0</v>
      </c>
      <c r="NC58" s="336">
        <v>15495698</v>
      </c>
      <c r="ND58" s="336">
        <v>15906214</v>
      </c>
      <c r="NE58" s="336">
        <v>0</v>
      </c>
      <c r="NF58" s="336">
        <v>3679524</v>
      </c>
      <c r="NG58" s="336">
        <v>0</v>
      </c>
      <c r="NH58" s="336">
        <v>0</v>
      </c>
      <c r="NI58" s="336">
        <v>1717519</v>
      </c>
      <c r="NJ58" s="336">
        <v>0</v>
      </c>
      <c r="NK58" s="336">
        <v>0</v>
      </c>
      <c r="NL58" s="336">
        <v>14160208</v>
      </c>
      <c r="NM58" s="336">
        <v>22035268</v>
      </c>
      <c r="NN58" s="336">
        <v>0</v>
      </c>
      <c r="NO58" s="336">
        <v>30377724</v>
      </c>
      <c r="NP58" s="336">
        <v>0</v>
      </c>
      <c r="NQ58" s="336">
        <v>0</v>
      </c>
      <c r="NR58" s="336">
        <v>0</v>
      </c>
      <c r="NS58" s="336">
        <v>0</v>
      </c>
      <c r="NT58" s="336">
        <v>0</v>
      </c>
      <c r="NU58" s="336">
        <v>0</v>
      </c>
      <c r="NV58" s="336">
        <v>0</v>
      </c>
      <c r="NW58" s="336">
        <v>74123394</v>
      </c>
      <c r="NX58" s="336">
        <v>1524078</v>
      </c>
      <c r="NY58" s="336">
        <v>0</v>
      </c>
      <c r="NZ58" s="336">
        <v>0</v>
      </c>
      <c r="OA58" s="336">
        <v>0</v>
      </c>
      <c r="OB58" s="336">
        <v>0</v>
      </c>
      <c r="OC58" s="336">
        <v>0</v>
      </c>
      <c r="OD58" s="336">
        <v>192624</v>
      </c>
      <c r="OE58" s="336">
        <v>6313012</v>
      </c>
      <c r="OF58" s="336">
        <v>676207</v>
      </c>
      <c r="OG58" s="336">
        <v>11345939</v>
      </c>
      <c r="OH58" s="336">
        <v>0</v>
      </c>
      <c r="OI58" s="336">
        <v>0</v>
      </c>
      <c r="OJ58" s="336">
        <v>0</v>
      </c>
      <c r="OK58" s="336">
        <v>0</v>
      </c>
      <c r="OL58" s="336">
        <v>0</v>
      </c>
      <c r="OM58" s="336">
        <v>0</v>
      </c>
      <c r="ON58" s="336">
        <v>7072</v>
      </c>
      <c r="OO58" s="336">
        <v>5500</v>
      </c>
      <c r="OP58" s="336">
        <v>0</v>
      </c>
      <c r="OQ58" s="336">
        <v>0</v>
      </c>
      <c r="OR58" s="336">
        <v>0</v>
      </c>
      <c r="OS58" s="336">
        <v>0</v>
      </c>
      <c r="OT58" s="336">
        <v>0</v>
      </c>
      <c r="OU58" s="336">
        <v>35473</v>
      </c>
      <c r="OV58" s="336">
        <v>0</v>
      </c>
      <c r="OW58" s="336">
        <v>0</v>
      </c>
      <c r="OX58" s="336">
        <v>0</v>
      </c>
      <c r="OY58" s="336">
        <v>0</v>
      </c>
      <c r="OZ58" s="336">
        <v>0</v>
      </c>
      <c r="PA58" s="336">
        <v>0</v>
      </c>
      <c r="PB58" s="336">
        <v>-76121403</v>
      </c>
      <c r="PC58" s="336">
        <v>0</v>
      </c>
      <c r="PD58" s="336">
        <v>0</v>
      </c>
      <c r="PE58" s="336">
        <v>9277963</v>
      </c>
      <c r="PF58" s="336">
        <v>38838280</v>
      </c>
      <c r="PG58" s="336">
        <v>13005622</v>
      </c>
      <c r="PH58" s="336">
        <v>-51634694</v>
      </c>
      <c r="PI58" s="336">
        <v>394323</v>
      </c>
      <c r="PJ58" s="336">
        <v>717028</v>
      </c>
      <c r="PK58" s="336">
        <v>2664299</v>
      </c>
      <c r="PL58" s="336">
        <v>0</v>
      </c>
      <c r="PM58" s="336">
        <v>389305</v>
      </c>
      <c r="PN58" s="336">
        <v>0</v>
      </c>
      <c r="PO58" s="336">
        <v>0</v>
      </c>
      <c r="PP58" s="336">
        <v>0</v>
      </c>
      <c r="PQ58" s="336">
        <v>0</v>
      </c>
      <c r="PR58" s="336">
        <v>0</v>
      </c>
      <c r="PS58" s="336">
        <v>0</v>
      </c>
      <c r="PT58" s="336">
        <v>42224861</v>
      </c>
      <c r="PU58" s="336">
        <v>0</v>
      </c>
      <c r="PV58" s="336">
        <v>0</v>
      </c>
      <c r="PW58" s="336">
        <v>-17276841</v>
      </c>
      <c r="PX58" s="336">
        <v>-6697219</v>
      </c>
      <c r="PY58" s="336">
        <v>-6157123</v>
      </c>
      <c r="PZ58" s="336">
        <v>-1018931</v>
      </c>
      <c r="QA58" s="336">
        <v>0</v>
      </c>
      <c r="QB58" s="336">
        <v>0</v>
      </c>
      <c r="QC58" s="336">
        <v>0</v>
      </c>
      <c r="QD58" s="336">
        <v>0</v>
      </c>
      <c r="QE58" s="336">
        <v>0</v>
      </c>
      <c r="QF58" s="336">
        <v>0</v>
      </c>
      <c r="QG58" s="336">
        <v>16174141</v>
      </c>
      <c r="QH58" s="336">
        <v>0</v>
      </c>
      <c r="QI58" s="336">
        <v>0</v>
      </c>
      <c r="QJ58" s="336">
        <v>0</v>
      </c>
      <c r="QK58" s="336">
        <v>17712085</v>
      </c>
      <c r="QL58" s="336">
        <v>0</v>
      </c>
      <c r="QM58" s="336">
        <v>0</v>
      </c>
      <c r="QN58" s="336">
        <v>0</v>
      </c>
      <c r="QO58" s="336">
        <v>0</v>
      </c>
      <c r="QP58" s="336">
        <v>0</v>
      </c>
      <c r="QQ58" s="336">
        <v>0</v>
      </c>
      <c r="QR58" s="336">
        <v>0</v>
      </c>
      <c r="QS58" s="336">
        <v>0</v>
      </c>
      <c r="QT58" s="336">
        <v>5541601</v>
      </c>
      <c r="QU58" s="336">
        <v>0</v>
      </c>
      <c r="QV58" s="336">
        <v>0</v>
      </c>
      <c r="QW58" s="336">
        <v>0</v>
      </c>
      <c r="QX58" s="336">
        <v>0</v>
      </c>
      <c r="QY58" s="336">
        <v>0</v>
      </c>
      <c r="QZ58" s="336">
        <v>0</v>
      </c>
      <c r="RA58" s="336">
        <v>0</v>
      </c>
      <c r="RB58" s="336">
        <v>0</v>
      </c>
      <c r="RC58" s="336">
        <v>0</v>
      </c>
      <c r="RD58" s="336">
        <v>0</v>
      </c>
      <c r="RE58" s="336">
        <v>0</v>
      </c>
      <c r="RF58" s="336">
        <v>0</v>
      </c>
      <c r="RG58" s="336">
        <v>0</v>
      </c>
      <c r="RH58" s="336">
        <v>0</v>
      </c>
      <c r="RI58" s="336">
        <v>0</v>
      </c>
      <c r="RJ58" s="336">
        <v>0</v>
      </c>
      <c r="RK58" s="336">
        <v>0</v>
      </c>
      <c r="RL58" s="336">
        <v>0</v>
      </c>
      <c r="RM58" s="336">
        <v>0</v>
      </c>
      <c r="RN58" s="336">
        <v>0</v>
      </c>
      <c r="RO58" s="336">
        <v>-35840649</v>
      </c>
      <c r="RP58" s="336">
        <v>0</v>
      </c>
      <c r="RQ58" s="336">
        <v>0</v>
      </c>
      <c r="RR58" s="336">
        <v>0</v>
      </c>
      <c r="RS58" s="336">
        <v>0</v>
      </c>
      <c r="RT58" s="336">
        <v>0</v>
      </c>
      <c r="RU58" s="336">
        <v>0</v>
      </c>
      <c r="RV58" s="336">
        <v>0</v>
      </c>
      <c r="RW58" s="336">
        <v>0</v>
      </c>
      <c r="RX58" s="336">
        <v>0</v>
      </c>
      <c r="RY58" s="336">
        <v>0</v>
      </c>
      <c r="RZ58" s="336">
        <v>0</v>
      </c>
      <c r="SA58" s="336">
        <v>0</v>
      </c>
      <c r="SB58" s="336">
        <v>0</v>
      </c>
      <c r="SC58" s="336">
        <v>0</v>
      </c>
      <c r="SD58" s="336">
        <v>0</v>
      </c>
      <c r="SE58" s="336">
        <v>0</v>
      </c>
      <c r="SF58" s="336">
        <v>0</v>
      </c>
      <c r="SG58" s="336">
        <v>0</v>
      </c>
      <c r="SH58" s="336">
        <v>0</v>
      </c>
      <c r="SI58" s="336">
        <v>0</v>
      </c>
      <c r="SJ58" s="336">
        <v>0</v>
      </c>
      <c r="SK58" s="336">
        <v>0</v>
      </c>
      <c r="SL58" s="336">
        <v>0</v>
      </c>
      <c r="SM58" s="336">
        <v>0</v>
      </c>
      <c r="SN58" s="336">
        <v>0</v>
      </c>
      <c r="SO58" s="336">
        <v>0</v>
      </c>
      <c r="SP58" s="336">
        <v>24701</v>
      </c>
      <c r="SQ58" s="336">
        <v>0</v>
      </c>
      <c r="SR58" s="336">
        <v>0</v>
      </c>
      <c r="SS58" s="336">
        <v>0</v>
      </c>
      <c r="ST58" s="336">
        <v>0</v>
      </c>
      <c r="SU58" s="336">
        <v>0</v>
      </c>
      <c r="SV58" s="336">
        <v>0</v>
      </c>
      <c r="SW58" s="336">
        <v>0</v>
      </c>
      <c r="SX58" s="336">
        <v>0</v>
      </c>
      <c r="SY58" s="336">
        <v>94649185</v>
      </c>
      <c r="SZ58" s="336" t="s">
        <v>1420</v>
      </c>
      <c r="TA58" s="336" t="s">
        <v>1420</v>
      </c>
      <c r="TB58" s="336" t="s">
        <v>1420</v>
      </c>
      <c r="TC58" s="336">
        <v>646971</v>
      </c>
      <c r="TD58" s="336">
        <v>12066985</v>
      </c>
      <c r="TE58" s="336">
        <v>10235</v>
      </c>
      <c r="TF58" s="336">
        <v>0</v>
      </c>
      <c r="TG58" s="336">
        <v>292607</v>
      </c>
      <c r="TH58" s="336">
        <v>173380</v>
      </c>
      <c r="TI58" s="336">
        <v>435614</v>
      </c>
      <c r="TJ58" s="336">
        <v>4198408</v>
      </c>
      <c r="TK58" s="336">
        <v>0</v>
      </c>
      <c r="TL58" s="336">
        <v>703582</v>
      </c>
      <c r="TM58" s="336">
        <v>0</v>
      </c>
      <c r="TN58" s="336">
        <v>0</v>
      </c>
      <c r="TO58" s="336">
        <v>748254</v>
      </c>
      <c r="TP58" s="336">
        <v>0</v>
      </c>
      <c r="TQ58" s="336">
        <v>0</v>
      </c>
      <c r="TR58" s="336">
        <v>0</v>
      </c>
      <c r="TS58" s="336">
        <v>0</v>
      </c>
      <c r="TT58" s="336">
        <v>0</v>
      </c>
      <c r="TU58" s="336">
        <v>0</v>
      </c>
      <c r="TV58" s="336">
        <v>0</v>
      </c>
      <c r="TW58" s="336">
        <v>0</v>
      </c>
      <c r="TX58" s="336">
        <v>128344</v>
      </c>
      <c r="TY58" s="336">
        <v>0</v>
      </c>
      <c r="TZ58" s="336">
        <v>0</v>
      </c>
      <c r="UA58" s="336">
        <v>0</v>
      </c>
      <c r="UB58" s="336">
        <v>0</v>
      </c>
      <c r="UC58" s="336">
        <v>0</v>
      </c>
      <c r="UD58" s="336">
        <v>0</v>
      </c>
      <c r="UE58" s="336">
        <v>0</v>
      </c>
      <c r="UF58" s="336">
        <v>0</v>
      </c>
      <c r="UG58" s="336">
        <v>0</v>
      </c>
      <c r="UH58" s="336">
        <v>124482153</v>
      </c>
      <c r="UI58" s="336">
        <v>122078760</v>
      </c>
      <c r="UJ58" s="336">
        <v>7783579</v>
      </c>
      <c r="UK58" s="336">
        <v>0</v>
      </c>
      <c r="UL58" s="336">
        <v>27881176</v>
      </c>
      <c r="UM58" s="336">
        <v>25175181</v>
      </c>
      <c r="UN58" s="336">
        <v>43196058</v>
      </c>
      <c r="UO58" s="336">
        <v>36798955</v>
      </c>
      <c r="UP58" s="336">
        <v>66573200</v>
      </c>
      <c r="UQ58" s="336">
        <v>75647472</v>
      </c>
      <c r="UR58"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18527782</v>
      </c>
      <c r="US58" s="338">
        <f>SUM(Input[[#This Row],[Oth Exp E&amp;G]],Input[[#This Row],[Oth Exp Desg]],Input[[#This Row],[Oth Exp Aux]],Input[[#This Row],[Oth Exp R Exp]],Input[[#This Row],[Oth Exp Loan]],Input[[#This Row],[Oth Exp Annuity]],Input[[#This Row],[Oth Exp Unexp]],Input[[#This Row],[Oth Exp R of Ind]],Input[[#This Row],[Oth Exp Inv in P]])</f>
        <v>48045</v>
      </c>
      <c r="UT58" s="336">
        <v>6954212</v>
      </c>
      <c r="UU58" s="336">
        <v>33886226</v>
      </c>
      <c r="UV58" s="339" t="s">
        <v>1595</v>
      </c>
      <c r="UW58" s="340">
        <v>9157475083</v>
      </c>
      <c r="UX58" s="339" t="s">
        <v>1596</v>
      </c>
      <c r="UY58" s="339" t="s">
        <v>1597</v>
      </c>
      <c r="UZ58" s="340">
        <v>9157475562</v>
      </c>
      <c r="VA58" s="339" t="s">
        <v>1598</v>
      </c>
      <c r="VB58" s="341" cm="1">
        <f t="array" ref="VB58">IFERROR(_xlfn.IFS(Input[[#This Row],[Type]]="HRI",VLOOKUP(Input[[#This Row],[Institution Name]],FTSEHRI[],9,FALSE),Input[[#This Row],[Type]]="UNIV",VLOOKUP(Input[[#This Row],[Institution Name]],FTSEUNIV[],9,FALSE),OR(Input[[#This Row],[Type]]="TSTC",Input[[#This Row],[Type]]="LSC"),VLOOKUP(Input[[#This Row],[Institution Name]],FTSETSTC[],8,FALSE)),"N/A")</f>
        <v>19593.310000000001</v>
      </c>
      <c r="VC58" s="342" t="str" cm="1">
        <f t="array" ref="VC58">IFERROR(_xlfn.IFS(Input[[#This Row],[Type]]="HRI",VLOOKUP(Input[[#This Row],[Institution Name]],FTSEHRI[],11,FALSE),Input[[#This Row],[Type]]="UNIV",VLOOKUP(Input[[#This Row],[Institution Name]],FTSEUNIV[],11,FALSE),Input[[#This Row],[Type]]="TSTC",VLOOKUP(Input[[#This Row],[Institution Name]],FTSETSTC[],10,FALSE)),"N/A")</f>
        <v>N/A</v>
      </c>
      <c r="VD58"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177142335</v>
      </c>
      <c r="VE58"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58" s="338">
        <f>SUM(Input[[#This Row],[Fed G&amp;C E&amp;G]],Input[[#This Row],[Fed G&amp;C Desg]],Input[[#This Row],[Fed G&amp;C R Exp]],Input[[#This Row],[Fed G&amp;C Loan]],Input[[#This Row],[Fed G&amp;C Annuity]],Input[[#This Row],[Fed G&amp;C Unexp]],Input[[#This Row],[Fed G&amp;C R of Ind]],Input[[#This Row],[Fed G&amp;C Inv in P]])</f>
        <v>179622697</v>
      </c>
      <c r="VG58"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54461745</v>
      </c>
      <c r="VH58"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97464839</v>
      </c>
      <c r="VI58"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30151058</v>
      </c>
      <c r="VJ58" s="338">
        <f>SUM(Input[[#This Row],[Oth Inc E&amp;G]],Input[[#This Row],[Oth Exp Desg]],Input[[#This Row],[Oth Exp R Exp]],Input[[#This Row],[Oth Exp Loan]],Input[[#This Row],[Oth Exp Annuity]],Input[[#This Row],[Oth Exp Unexp]],Input[[#This Row],[Oth Exp R of Ind]],Input[[#This Row],[Oth Exp Inv in P]])</f>
        <v>42741</v>
      </c>
      <c r="VK58" s="343">
        <f>SUM(Input[[#This Row],[Instr E&amp;G]],Input[[#This Row],[Instr Desg]],Input[[#This Row],[Instr R Exp]],Input[[#This Row],[Instr Loan]],Input[[#This Row],[Instr Annuity]],Input[[#This Row],[Instr Unexp]],Input[[#This Row],[Instr R of Ind]],Input[[#This Row],[Instr Inv in P]])</f>
        <v>124482153</v>
      </c>
      <c r="VL58" s="343">
        <f>SUM(Input[[#This Row],[Res E&amp;G]],Input[[#This Row],[Res Desg]],Input[[#This Row],[Res R Exp]],Input[[#This Row],[Res Loan]],Input[[#This Row],[Res Annuity]],Input[[#This Row],[Res Unexp]],Input[[#This Row],[Res R of Ind]],Input[[#This Row],[Res Inv in P]])</f>
        <v>122078760</v>
      </c>
      <c r="VM58" s="343">
        <f>SUM(Input[[#This Row],[Acad Sup E&amp;G]],Input[[#This Row],[Acad Sup Desg]],Input[[#This Row],[Acad Sup R Exp]],Input[[#This Row],[Acad Sup Loan]],Input[[#This Row],[Acad Sup Annuity]],Input[[#This Row],[Acad Sup Unexp]],Input[[#This Row],[Acad Sup R of Ind]],Input[[#This Row],[Acad Sup Inv in P]])</f>
        <v>27881176</v>
      </c>
      <c r="VN58" s="343">
        <f>SUM(Input[[#This Row],[Stu Svc E&amp;G]],Input[[#This Row],[Stu Svc Desg]],Input[[#This Row],[Stu Svc R Exp]],Input[[#This Row],[Stu Svc Loan]],Input[[#This Row],[Stu Svc Annuity]],Input[[#This Row],[Stu Svc Unexp]],Input[[#This Row],[Stu Svc R of Ind]],Input[[#This Row],[Stu Svc Inv in P]])</f>
        <v>25175181</v>
      </c>
      <c r="VO58" s="343">
        <f>SUM(Input[[#This Row],[Inst. Spt E&amp;G]],Input[[#This Row],[Inst. Spt Desg]],Input[[#This Row],[Inst. Spt R Exp]],Input[[#This Row],[Inst. Spt Loan]],Input[[#This Row],[Inst. Spt Annuity]],Input[[#This Row],[Inst. Spt Unexp]],Input[[#This Row],[Inst. Spt R of Ind]],Input[[#This Row],[Inst. Spt Inv in P]])</f>
        <v>43196058</v>
      </c>
      <c r="VP58" s="343">
        <f>SUM(Input[[#This Row],[M&amp;O Plnt E&amp;G]],Input[[#This Row],[M&amp;O Plnt Desg]],Input[[#This Row],[M&amp;O Plnt R Exp]],Input[[#This Row],[M&amp;O Plnt Loan]],Input[[#This Row],[M&amp;O Plnt Annuity]],Input[[#This Row],[M&amp;O Plnt Unexp]],Input[[#This Row],[M&amp;O Plnt R of Ind]],Input[[#This Row],[M&amp;O Plnt Inv in P]])</f>
        <v>36798955</v>
      </c>
      <c r="VQ58" s="343">
        <f>SUM(Input[[#This Row],[Schl &amp; Fell E&amp;G]],Input[[#This Row],[Schl &amp; Fell Desg]],Input[[#This Row],[Schl &amp; Fell R Exp]],Input[[#This Row],[Schl &amp; Fell Loan]],Input[[#This Row],[Schl &amp; Fell Annuity]],Input[[#This Row],[Schl &amp; Fell Unexp]],Input[[#This Row],[Schl &amp; Fell R of Ind]],Input[[#This Row],[Schl &amp; Fell Inv in P]])</f>
        <v>66573200</v>
      </c>
      <c r="VR58" s="343">
        <f>SUM(Input[[#This Row],[Cap Out fund E&amp;G]],Input[[#This Row],[Cap Out fund Desg]],Input[[#This Row],[Cap Out fund R Exp]],Input[[#This Row],[Cap Out fund Loan]],Input[[#This Row],[Cap Out fund Annuity]],Input[[#This Row],[Cap Out fund Unexp]],Input[[#This Row],[Cap Out fund R of Ind]],Input[[#This Row],[Cap Out fund Inv in P]])</f>
        <v>17851575</v>
      </c>
      <c r="VS58" s="343">
        <f>SUM(Input[[#This Row],[Oth Exp E&amp;G]],Input[[#This Row],[Oth Exp Desg]],Input[[#This Row],[Oth Exp R Exp]],Input[[#This Row],[Oth Exp Loan]],Input[[#This Row],[Oth Exp Annuity]],Input[[#This Row],[Oth Exp Unexp]],Input[[#This Row],[Oth Exp R of Ind]],Input[[#This Row],[Oth Exp Inv in P]],Input[[#This Row],[Oth Exp Inv in P]])</f>
        <v>78018</v>
      </c>
    </row>
    <row r="59" spans="1:591" s="344" customFormat="1" ht="27" customHeight="1" x14ac:dyDescent="0.55000000000000004">
      <c r="A59" s="339" t="s">
        <v>62</v>
      </c>
      <c r="B59" s="334" t="s">
        <v>829</v>
      </c>
      <c r="C59" s="334" t="s">
        <v>21</v>
      </c>
      <c r="D59" s="334">
        <v>91</v>
      </c>
      <c r="E59" s="334" t="s">
        <v>1622</v>
      </c>
      <c r="F59" s="335">
        <v>3599</v>
      </c>
      <c r="G59" s="336">
        <v>151738018</v>
      </c>
      <c r="H59" s="336">
        <v>0</v>
      </c>
      <c r="I59" s="336">
        <v>0</v>
      </c>
      <c r="J59" s="336">
        <v>0</v>
      </c>
      <c r="K59" s="336">
        <v>0</v>
      </c>
      <c r="L59" s="336">
        <v>0</v>
      </c>
      <c r="M59" s="336">
        <v>0</v>
      </c>
      <c r="N59" s="336">
        <v>0</v>
      </c>
      <c r="O59" s="336">
        <v>0</v>
      </c>
      <c r="P59" s="336">
        <v>48691415</v>
      </c>
      <c r="Q59" s="336">
        <v>1782019</v>
      </c>
      <c r="R59" s="336">
        <v>0</v>
      </c>
      <c r="S59" s="336">
        <v>680230</v>
      </c>
      <c r="T59" s="336">
        <v>0</v>
      </c>
      <c r="U59" s="336">
        <v>0</v>
      </c>
      <c r="V59" s="336">
        <v>0</v>
      </c>
      <c r="W59" s="336">
        <v>0</v>
      </c>
      <c r="X59" s="336">
        <v>0</v>
      </c>
      <c r="Y59" s="336">
        <v>0</v>
      </c>
      <c r="Z59" s="336">
        <v>0</v>
      </c>
      <c r="AA59" s="336">
        <v>0</v>
      </c>
      <c r="AB59" s="336">
        <v>0</v>
      </c>
      <c r="AC59" s="336">
        <v>0</v>
      </c>
      <c r="AD59" s="336">
        <v>0</v>
      </c>
      <c r="AE59" s="336">
        <v>0</v>
      </c>
      <c r="AF59" s="336">
        <v>0</v>
      </c>
      <c r="AG59" s="336">
        <v>0</v>
      </c>
      <c r="AH59" s="336">
        <v>0</v>
      </c>
      <c r="AI59" s="336">
        <v>0</v>
      </c>
      <c r="AJ59" s="336">
        <v>0</v>
      </c>
      <c r="AK59" s="336">
        <v>0</v>
      </c>
      <c r="AL59" s="336">
        <v>0</v>
      </c>
      <c r="AM59" s="336">
        <v>0</v>
      </c>
      <c r="AN59" s="336">
        <v>0</v>
      </c>
      <c r="AO59" s="336">
        <v>0</v>
      </c>
      <c r="AP59" s="336">
        <v>0</v>
      </c>
      <c r="AQ59" s="336">
        <v>-7884309</v>
      </c>
      <c r="AR59" s="336">
        <v>0</v>
      </c>
      <c r="AS59" s="336">
        <v>0</v>
      </c>
      <c r="AT59" s="336">
        <v>0</v>
      </c>
      <c r="AU59" s="336">
        <v>0</v>
      </c>
      <c r="AV59" s="336">
        <v>0</v>
      </c>
      <c r="AW59" s="336">
        <v>0</v>
      </c>
      <c r="AX59" s="336">
        <v>0</v>
      </c>
      <c r="AY59" s="336">
        <v>0</v>
      </c>
      <c r="AZ59" s="336">
        <v>0</v>
      </c>
      <c r="BA59" s="336">
        <v>-4959</v>
      </c>
      <c r="BB59" s="336">
        <v>0</v>
      </c>
      <c r="BC59" s="336">
        <v>0</v>
      </c>
      <c r="BD59" s="336">
        <v>0</v>
      </c>
      <c r="BE59" s="336">
        <v>0</v>
      </c>
      <c r="BF59" s="336">
        <v>0</v>
      </c>
      <c r="BG59" s="336">
        <v>0</v>
      </c>
      <c r="BH59" s="336">
        <v>0</v>
      </c>
      <c r="BI59" s="336">
        <v>0</v>
      </c>
      <c r="BJ59" s="336">
        <v>0</v>
      </c>
      <c r="BK59" s="336">
        <v>0</v>
      </c>
      <c r="BL59" s="336">
        <v>0</v>
      </c>
      <c r="BM59" s="336">
        <v>0</v>
      </c>
      <c r="BN59" s="336">
        <v>0</v>
      </c>
      <c r="BO59" s="336">
        <v>0</v>
      </c>
      <c r="BP59" s="336">
        <v>0</v>
      </c>
      <c r="BQ59" s="336">
        <v>0</v>
      </c>
      <c r="BR59" s="336">
        <v>0</v>
      </c>
      <c r="BS59" s="336">
        <v>0</v>
      </c>
      <c r="BT59" s="336">
        <v>0</v>
      </c>
      <c r="BU59" s="336">
        <v>0</v>
      </c>
      <c r="BV59" s="336">
        <v>0</v>
      </c>
      <c r="BW59" s="336">
        <v>0</v>
      </c>
      <c r="BX59" s="336">
        <v>0</v>
      </c>
      <c r="BY59" s="336">
        <v>0</v>
      </c>
      <c r="BZ59" s="336">
        <v>0</v>
      </c>
      <c r="CA59" s="336">
        <v>45517257</v>
      </c>
      <c r="CB59" s="336">
        <v>196221410</v>
      </c>
      <c r="CC59" s="336">
        <v>0</v>
      </c>
      <c r="CD59" s="336">
        <v>0</v>
      </c>
      <c r="CE59" s="336">
        <v>0</v>
      </c>
      <c r="CF59" s="336">
        <v>0</v>
      </c>
      <c r="CG59" s="336">
        <v>0</v>
      </c>
      <c r="CH59" s="336">
        <v>0</v>
      </c>
      <c r="CI59" s="336">
        <v>0</v>
      </c>
      <c r="CJ59" s="336">
        <v>0</v>
      </c>
      <c r="CK59" s="336">
        <v>0</v>
      </c>
      <c r="CL59" s="336">
        <v>0</v>
      </c>
      <c r="CM59" s="336">
        <v>0</v>
      </c>
      <c r="CN59" s="336">
        <v>0</v>
      </c>
      <c r="CO59" s="336">
        <v>0</v>
      </c>
      <c r="CP59" s="336">
        <v>0</v>
      </c>
      <c r="CQ59" s="336">
        <v>0</v>
      </c>
      <c r="CR59" s="336">
        <v>0</v>
      </c>
      <c r="CS59" s="336">
        <v>0</v>
      </c>
      <c r="CT59" s="336">
        <v>0</v>
      </c>
      <c r="CU59" s="336">
        <v>0</v>
      </c>
      <c r="CV59" s="336">
        <v>0</v>
      </c>
      <c r="CW59" s="336">
        <v>0</v>
      </c>
      <c r="CX59" s="336">
        <v>0</v>
      </c>
      <c r="CY59" s="336">
        <v>0</v>
      </c>
      <c r="CZ59" s="336">
        <v>0</v>
      </c>
      <c r="DA59" s="336">
        <v>0</v>
      </c>
      <c r="DB59" s="336">
        <v>-2863860</v>
      </c>
      <c r="DC59" s="336">
        <v>-6779851</v>
      </c>
      <c r="DD59" s="336">
        <v>0</v>
      </c>
      <c r="DE59" s="336">
        <v>0</v>
      </c>
      <c r="DF59" s="336">
        <v>0</v>
      </c>
      <c r="DG59" s="336">
        <v>0</v>
      </c>
      <c r="DH59" s="336">
        <v>0</v>
      </c>
      <c r="DI59" s="336">
        <v>0</v>
      </c>
      <c r="DJ59" s="336">
        <v>0</v>
      </c>
      <c r="DK59" s="336">
        <v>0</v>
      </c>
      <c r="DL59" s="336">
        <v>0</v>
      </c>
      <c r="DM59" s="336">
        <v>0</v>
      </c>
      <c r="DN59" s="336">
        <v>0</v>
      </c>
      <c r="DO59" s="336">
        <v>0</v>
      </c>
      <c r="DP59" s="336">
        <v>0</v>
      </c>
      <c r="DQ59" s="336">
        <v>0</v>
      </c>
      <c r="DR59" s="336">
        <v>0</v>
      </c>
      <c r="DS59" s="336">
        <v>0</v>
      </c>
      <c r="DT59" s="336">
        <v>-26128901</v>
      </c>
      <c r="DU59" s="336">
        <v>-128417138</v>
      </c>
      <c r="DV59" s="336">
        <v>0</v>
      </c>
      <c r="DW59" s="336">
        <v>0</v>
      </c>
      <c r="DX59" s="336">
        <v>0</v>
      </c>
      <c r="DY59" s="336">
        <v>0</v>
      </c>
      <c r="DZ59" s="336">
        <v>0</v>
      </c>
      <c r="EA59" s="336">
        <v>0</v>
      </c>
      <c r="EB59" s="336">
        <v>0</v>
      </c>
      <c r="EC59" s="336">
        <v>0</v>
      </c>
      <c r="ED59" s="336">
        <v>0</v>
      </c>
      <c r="EE59" s="336">
        <v>0</v>
      </c>
      <c r="EF59" s="336">
        <v>0</v>
      </c>
      <c r="EG59" s="336">
        <v>0</v>
      </c>
      <c r="EH59" s="336">
        <v>0</v>
      </c>
      <c r="EI59" s="336">
        <v>0</v>
      </c>
      <c r="EJ59" s="336">
        <v>0</v>
      </c>
      <c r="EK59" s="336">
        <v>0</v>
      </c>
      <c r="EL59" s="336">
        <v>0</v>
      </c>
      <c r="EM59" s="336">
        <v>0</v>
      </c>
      <c r="EN59" s="336">
        <v>0</v>
      </c>
      <c r="EO59" s="336">
        <v>0</v>
      </c>
      <c r="EP59" s="336">
        <v>0</v>
      </c>
      <c r="EQ59" s="336">
        <v>0</v>
      </c>
      <c r="ER59" s="336">
        <v>0</v>
      </c>
      <c r="ES59" s="336">
        <v>0</v>
      </c>
      <c r="ET59" s="336">
        <v>0</v>
      </c>
      <c r="EU59" s="336">
        <v>0</v>
      </c>
      <c r="EV59" s="336">
        <v>0</v>
      </c>
      <c r="EW59" s="336">
        <v>0</v>
      </c>
      <c r="EX59" s="336">
        <v>0</v>
      </c>
      <c r="EY59" s="336">
        <v>0</v>
      </c>
      <c r="EZ59" s="336">
        <v>0</v>
      </c>
      <c r="FA59" s="336">
        <v>0</v>
      </c>
      <c r="FB59" s="336">
        <v>0</v>
      </c>
      <c r="FC59" s="336">
        <v>0</v>
      </c>
      <c r="FD59" s="336">
        <v>0</v>
      </c>
      <c r="FE59" s="336">
        <v>0</v>
      </c>
      <c r="FF59" s="336">
        <v>0</v>
      </c>
      <c r="FG59" s="336">
        <v>0</v>
      </c>
      <c r="FH59" s="336">
        <v>0</v>
      </c>
      <c r="FI59" s="336">
        <v>0</v>
      </c>
      <c r="FJ59" s="336">
        <v>0</v>
      </c>
      <c r="FK59" s="336">
        <v>0</v>
      </c>
      <c r="FL59" s="336">
        <v>0</v>
      </c>
      <c r="FM59" s="336">
        <v>2289338</v>
      </c>
      <c r="FN59" s="336">
        <v>31026977</v>
      </c>
      <c r="FO59" s="336">
        <v>28741697</v>
      </c>
      <c r="FP59" s="336">
        <v>0</v>
      </c>
      <c r="FQ59" s="336">
        <v>0</v>
      </c>
      <c r="FR59" s="336">
        <v>0</v>
      </c>
      <c r="FS59" s="336">
        <v>0</v>
      </c>
      <c r="FT59" s="336">
        <v>0</v>
      </c>
      <c r="FU59" s="336">
        <v>0</v>
      </c>
      <c r="FV59" s="336">
        <v>0</v>
      </c>
      <c r="FW59" s="336">
        <v>0</v>
      </c>
      <c r="FX59" s="336">
        <v>0</v>
      </c>
      <c r="FY59" s="336">
        <v>0</v>
      </c>
      <c r="FZ59" s="336">
        <v>0</v>
      </c>
      <c r="GA59" s="336">
        <v>0</v>
      </c>
      <c r="GB59" s="336">
        <v>0</v>
      </c>
      <c r="GC59" s="336">
        <v>0</v>
      </c>
      <c r="GD59" s="336">
        <v>0</v>
      </c>
      <c r="GE59" s="336">
        <v>0</v>
      </c>
      <c r="GF59" s="336">
        <v>0</v>
      </c>
      <c r="GG59" s="336">
        <v>0</v>
      </c>
      <c r="GH59" s="336">
        <v>0</v>
      </c>
      <c r="GI59" s="336">
        <v>0</v>
      </c>
      <c r="GJ59" s="336">
        <v>0</v>
      </c>
      <c r="GK59" s="336">
        <v>0</v>
      </c>
      <c r="GL59" s="336">
        <v>0</v>
      </c>
      <c r="GM59" s="336">
        <v>0</v>
      </c>
      <c r="GN59" s="336">
        <v>0</v>
      </c>
      <c r="GO59" s="336">
        <v>0</v>
      </c>
      <c r="GP59" s="336">
        <v>-967995</v>
      </c>
      <c r="GQ59" s="336">
        <v>0</v>
      </c>
      <c r="GR59" s="336">
        <v>0</v>
      </c>
      <c r="GS59" s="336">
        <v>0</v>
      </c>
      <c r="GT59" s="336">
        <v>0</v>
      </c>
      <c r="GU59" s="336">
        <v>0</v>
      </c>
      <c r="GV59" s="336">
        <v>0</v>
      </c>
      <c r="GW59" s="336">
        <v>0</v>
      </c>
      <c r="GX59" s="336">
        <v>0</v>
      </c>
      <c r="GY59" s="336">
        <v>0</v>
      </c>
      <c r="GZ59" s="336">
        <v>0</v>
      </c>
      <c r="HA59" s="336">
        <v>0</v>
      </c>
      <c r="HB59" s="336">
        <v>0</v>
      </c>
      <c r="HC59" s="336">
        <v>0</v>
      </c>
      <c r="HD59" s="336">
        <v>0</v>
      </c>
      <c r="HE59" s="336">
        <v>0</v>
      </c>
      <c r="HF59" s="336">
        <v>0</v>
      </c>
      <c r="HG59" s="336">
        <v>0</v>
      </c>
      <c r="HH59" s="336">
        <v>-16055436</v>
      </c>
      <c r="HI59" s="336">
        <v>0</v>
      </c>
      <c r="HJ59" s="336">
        <v>0</v>
      </c>
      <c r="HK59" s="336">
        <v>0</v>
      </c>
      <c r="HL59" s="336">
        <v>0</v>
      </c>
      <c r="HM59" s="336">
        <v>0</v>
      </c>
      <c r="HN59" s="336">
        <v>0</v>
      </c>
      <c r="HO59" s="336">
        <v>0</v>
      </c>
      <c r="HP59" s="336">
        <v>10310969</v>
      </c>
      <c r="HQ59" s="336">
        <v>0</v>
      </c>
      <c r="HR59" s="336">
        <v>163450174</v>
      </c>
      <c r="HS59" s="336">
        <v>0</v>
      </c>
      <c r="HT59" s="336">
        <v>0</v>
      </c>
      <c r="HU59" s="336">
        <v>0</v>
      </c>
      <c r="HV59" s="336">
        <v>0</v>
      </c>
      <c r="HW59" s="336">
        <v>0</v>
      </c>
      <c r="HX59" s="336">
        <v>0</v>
      </c>
      <c r="HY59" s="336">
        <v>0</v>
      </c>
      <c r="HZ59" s="336">
        <v>0</v>
      </c>
      <c r="IA59" s="336">
        <v>0</v>
      </c>
      <c r="IB59" s="336">
        <v>0</v>
      </c>
      <c r="IC59" s="336">
        <v>0</v>
      </c>
      <c r="ID59" s="336">
        <v>0</v>
      </c>
      <c r="IE59" s="336">
        <v>0</v>
      </c>
      <c r="IF59" s="336">
        <v>0</v>
      </c>
      <c r="IG59" s="336">
        <v>0</v>
      </c>
      <c r="IH59" s="336">
        <v>0</v>
      </c>
      <c r="II59" s="336">
        <v>0</v>
      </c>
      <c r="IJ59" s="336">
        <v>0</v>
      </c>
      <c r="IK59" s="336">
        <v>0</v>
      </c>
      <c r="IL59" s="336">
        <v>0</v>
      </c>
      <c r="IM59" s="336">
        <v>0</v>
      </c>
      <c r="IN59" s="336">
        <v>0</v>
      </c>
      <c r="IO59" s="336">
        <v>0</v>
      </c>
      <c r="IP59" s="336">
        <v>1308187</v>
      </c>
      <c r="IQ59" s="336">
        <v>18953172</v>
      </c>
      <c r="IR59" s="336">
        <v>16443</v>
      </c>
      <c r="IS59" s="336">
        <v>2319664</v>
      </c>
      <c r="IT59" s="336">
        <v>0</v>
      </c>
      <c r="IU59" s="336">
        <v>62356</v>
      </c>
      <c r="IV59" s="336">
        <v>0</v>
      </c>
      <c r="IW59" s="336">
        <v>0</v>
      </c>
      <c r="IX59" s="336">
        <v>0</v>
      </c>
      <c r="IY59" s="336">
        <v>0</v>
      </c>
      <c r="IZ59" s="336">
        <v>619</v>
      </c>
      <c r="JA59" s="336">
        <v>0</v>
      </c>
      <c r="JB59" s="336">
        <v>11986</v>
      </c>
      <c r="JC59" s="336">
        <v>0</v>
      </c>
      <c r="JD59" s="336">
        <v>0</v>
      </c>
      <c r="JE59" s="336">
        <v>0</v>
      </c>
      <c r="JF59" s="336">
        <v>0</v>
      </c>
      <c r="JG59" s="336">
        <v>0</v>
      </c>
      <c r="JH59" s="336">
        <v>0</v>
      </c>
      <c r="JI59" s="336">
        <v>18363626</v>
      </c>
      <c r="JJ59" s="336">
        <v>0</v>
      </c>
      <c r="JK59" s="336">
        <v>3445802</v>
      </c>
      <c r="JL59" s="336">
        <v>0</v>
      </c>
      <c r="JM59" s="336">
        <v>0</v>
      </c>
      <c r="JN59" s="336">
        <v>0</v>
      </c>
      <c r="JO59" s="336">
        <v>0</v>
      </c>
      <c r="JP59" s="336">
        <v>0</v>
      </c>
      <c r="JQ59" s="336">
        <v>0</v>
      </c>
      <c r="JR59" s="336">
        <v>7488344</v>
      </c>
      <c r="JS59" s="336">
        <v>0</v>
      </c>
      <c r="JT59" s="336">
        <v>1280300</v>
      </c>
      <c r="JU59" s="336">
        <v>0</v>
      </c>
      <c r="JV59" s="336">
        <v>0</v>
      </c>
      <c r="JW59" s="336">
        <v>0</v>
      </c>
      <c r="JX59" s="336">
        <v>0</v>
      </c>
      <c r="JY59" s="336">
        <v>0</v>
      </c>
      <c r="JZ59" s="336">
        <v>0</v>
      </c>
      <c r="KA59" s="336">
        <v>0</v>
      </c>
      <c r="KB59" s="336">
        <v>10010898</v>
      </c>
      <c r="KC59" s="336">
        <v>0</v>
      </c>
      <c r="KD59" s="336">
        <v>0</v>
      </c>
      <c r="KE59" s="336">
        <v>0</v>
      </c>
      <c r="KF59" s="336">
        <v>0</v>
      </c>
      <c r="KG59" s="336">
        <v>0</v>
      </c>
      <c r="KH59" s="336">
        <v>0</v>
      </c>
      <c r="KI59" s="336">
        <v>1148974</v>
      </c>
      <c r="KJ59" s="336">
        <v>2288441</v>
      </c>
      <c r="KK59" s="336">
        <v>0</v>
      </c>
      <c r="KL59" s="336">
        <v>94609</v>
      </c>
      <c r="KM59" s="336">
        <v>219439</v>
      </c>
      <c r="KN59" s="336">
        <v>0</v>
      </c>
      <c r="KO59" s="336">
        <v>0</v>
      </c>
      <c r="KP59" s="336">
        <v>0</v>
      </c>
      <c r="KQ59" s="336">
        <v>0</v>
      </c>
      <c r="KR59" s="336">
        <v>112555475</v>
      </c>
      <c r="KS59" s="336">
        <v>37486331</v>
      </c>
      <c r="KT59" s="336">
        <v>0</v>
      </c>
      <c r="KU59" s="336">
        <v>20133619</v>
      </c>
      <c r="KV59" s="336">
        <v>0</v>
      </c>
      <c r="KW59" s="336">
        <v>0</v>
      </c>
      <c r="KX59" s="336">
        <v>0</v>
      </c>
      <c r="KY59" s="336">
        <v>0</v>
      </c>
      <c r="KZ59" s="336">
        <v>0</v>
      </c>
      <c r="LA59" s="336">
        <v>6277999</v>
      </c>
      <c r="LB59" s="336">
        <v>34600255</v>
      </c>
      <c r="LC59" s="336">
        <v>0</v>
      </c>
      <c r="LD59" s="336">
        <v>30920348</v>
      </c>
      <c r="LE59" s="336">
        <v>0</v>
      </c>
      <c r="LF59" s="336">
        <v>0</v>
      </c>
      <c r="LG59" s="336">
        <v>0</v>
      </c>
      <c r="LH59" s="336">
        <v>0</v>
      </c>
      <c r="LI59" s="336">
        <v>0</v>
      </c>
      <c r="LJ59" s="336">
        <v>3502806</v>
      </c>
      <c r="LK59" s="336">
        <v>1698391</v>
      </c>
      <c r="LL59" s="336">
        <v>0</v>
      </c>
      <c r="LM59" s="336">
        <v>4325201</v>
      </c>
      <c r="LN59" s="336">
        <v>0</v>
      </c>
      <c r="LO59" s="336">
        <v>0</v>
      </c>
      <c r="LP59" s="336">
        <v>0</v>
      </c>
      <c r="LQ59" s="336">
        <v>0</v>
      </c>
      <c r="LR59" s="336">
        <v>0</v>
      </c>
      <c r="LS59" s="336">
        <v>0</v>
      </c>
      <c r="LT59" s="336">
        <v>0</v>
      </c>
      <c r="LU59" s="336">
        <v>0</v>
      </c>
      <c r="LV59" s="336">
        <v>0</v>
      </c>
      <c r="LW59" s="336">
        <v>0</v>
      </c>
      <c r="LX59" s="336">
        <v>0</v>
      </c>
      <c r="LY59" s="336">
        <v>0</v>
      </c>
      <c r="LZ59" s="336">
        <v>0</v>
      </c>
      <c r="MA59" s="336">
        <v>0</v>
      </c>
      <c r="MB59" s="336">
        <v>19081014</v>
      </c>
      <c r="MC59" s="336">
        <v>38595448</v>
      </c>
      <c r="MD59" s="336">
        <v>0</v>
      </c>
      <c r="ME59" s="336">
        <v>2364206</v>
      </c>
      <c r="MF59" s="336">
        <v>0</v>
      </c>
      <c r="MG59" s="336">
        <v>0</v>
      </c>
      <c r="MH59" s="336">
        <v>0</v>
      </c>
      <c r="MI59" s="336">
        <v>0</v>
      </c>
      <c r="MJ59" s="336">
        <v>0</v>
      </c>
      <c r="MK59" s="336">
        <v>13502641</v>
      </c>
      <c r="ML59" s="336">
        <v>14952901</v>
      </c>
      <c r="MM59" s="336">
        <v>0</v>
      </c>
      <c r="MN59" s="336">
        <v>2814976</v>
      </c>
      <c r="MO59" s="336">
        <v>-31202</v>
      </c>
      <c r="MP59" s="336">
        <v>0</v>
      </c>
      <c r="MQ59" s="336">
        <v>0</v>
      </c>
      <c r="MR59" s="336">
        <v>0</v>
      </c>
      <c r="MS59" s="336">
        <v>0</v>
      </c>
      <c r="MT59" s="336">
        <v>14511236</v>
      </c>
      <c r="MU59" s="336">
        <v>26417611</v>
      </c>
      <c r="MV59" s="336">
        <v>0</v>
      </c>
      <c r="MW59" s="336">
        <v>96823</v>
      </c>
      <c r="MX59" s="336">
        <v>0</v>
      </c>
      <c r="MY59" s="336">
        <v>0</v>
      </c>
      <c r="MZ59" s="336">
        <v>0</v>
      </c>
      <c r="NA59" s="336">
        <v>0</v>
      </c>
      <c r="NB59" s="336">
        <v>0</v>
      </c>
      <c r="NC59" s="336">
        <v>14905067</v>
      </c>
      <c r="ND59" s="336">
        <v>24333430</v>
      </c>
      <c r="NE59" s="336">
        <v>0</v>
      </c>
      <c r="NF59" s="336">
        <v>55658</v>
      </c>
      <c r="NG59" s="336">
        <v>0</v>
      </c>
      <c r="NH59" s="336">
        <v>0</v>
      </c>
      <c r="NI59" s="336">
        <v>1880288</v>
      </c>
      <c r="NJ59" s="336">
        <v>0</v>
      </c>
      <c r="NK59" s="336">
        <v>0</v>
      </c>
      <c r="NL59" s="336">
        <v>4916749</v>
      </c>
      <c r="NM59" s="336">
        <v>16459009</v>
      </c>
      <c r="NN59" s="336">
        <v>0</v>
      </c>
      <c r="NO59" s="336">
        <v>29532945</v>
      </c>
      <c r="NP59" s="336">
        <v>0</v>
      </c>
      <c r="NQ59" s="336">
        <v>0</v>
      </c>
      <c r="NR59" s="336">
        <v>0</v>
      </c>
      <c r="NS59" s="336">
        <v>0</v>
      </c>
      <c r="NT59" s="336">
        <v>0</v>
      </c>
      <c r="NU59" s="336">
        <v>0</v>
      </c>
      <c r="NV59" s="336">
        <v>6309642</v>
      </c>
      <c r="NW59" s="336">
        <v>31085393</v>
      </c>
      <c r="NX59" s="336">
        <v>289993</v>
      </c>
      <c r="NY59" s="336">
        <v>0</v>
      </c>
      <c r="NZ59" s="336">
        <v>0</v>
      </c>
      <c r="OA59" s="336">
        <v>0</v>
      </c>
      <c r="OB59" s="336">
        <v>0</v>
      </c>
      <c r="OC59" s="336">
        <v>0</v>
      </c>
      <c r="OD59" s="336">
        <v>55580</v>
      </c>
      <c r="OE59" s="336">
        <v>6328352</v>
      </c>
      <c r="OF59" s="336">
        <v>273557</v>
      </c>
      <c r="OG59" s="336">
        <v>3085163</v>
      </c>
      <c r="OH59" s="336">
        <v>0</v>
      </c>
      <c r="OI59" s="336">
        <v>0</v>
      </c>
      <c r="OJ59" s="336">
        <v>0</v>
      </c>
      <c r="OK59" s="336">
        <v>0</v>
      </c>
      <c r="OL59" s="336">
        <v>0</v>
      </c>
      <c r="OM59" s="336">
        <v>0</v>
      </c>
      <c r="ON59" s="336">
        <v>663205</v>
      </c>
      <c r="OO59" s="336">
        <v>886083</v>
      </c>
      <c r="OP59" s="336">
        <v>0</v>
      </c>
      <c r="OQ59" s="336">
        <v>0</v>
      </c>
      <c r="OR59" s="336">
        <v>0</v>
      </c>
      <c r="OS59" s="336">
        <v>0</v>
      </c>
      <c r="OT59" s="336">
        <v>0</v>
      </c>
      <c r="OU59" s="336">
        <v>124177</v>
      </c>
      <c r="OV59" s="336">
        <v>0</v>
      </c>
      <c r="OW59" s="336">
        <v>0</v>
      </c>
      <c r="OX59" s="336">
        <v>0</v>
      </c>
      <c r="OY59" s="336">
        <v>0</v>
      </c>
      <c r="OZ59" s="336">
        <v>0</v>
      </c>
      <c r="PA59" s="336">
        <v>0</v>
      </c>
      <c r="PB59" s="336">
        <v>-135431127</v>
      </c>
      <c r="PC59" s="336">
        <v>0</v>
      </c>
      <c r="PD59" s="336">
        <v>0</v>
      </c>
      <c r="PE59" s="336">
        <v>-11174298</v>
      </c>
      <c r="PF59" s="336">
        <v>66453953</v>
      </c>
      <c r="PG59" s="336">
        <v>9178142</v>
      </c>
      <c r="PH59" s="336">
        <v>-82500546</v>
      </c>
      <c r="PI59" s="336">
        <v>321912</v>
      </c>
      <c r="PJ59" s="336">
        <v>1620512</v>
      </c>
      <c r="PK59" s="336">
        <v>33458290</v>
      </c>
      <c r="PL59" s="336">
        <v>0</v>
      </c>
      <c r="PM59" s="336">
        <v>3101779</v>
      </c>
      <c r="PN59" s="336">
        <v>0</v>
      </c>
      <c r="PO59" s="336">
        <v>0</v>
      </c>
      <c r="PP59" s="336">
        <v>0</v>
      </c>
      <c r="PQ59" s="336">
        <v>0</v>
      </c>
      <c r="PR59" s="336">
        <v>0</v>
      </c>
      <c r="PS59" s="336">
        <v>0</v>
      </c>
      <c r="PT59" s="336">
        <v>79662781</v>
      </c>
      <c r="PU59" s="336">
        <v>0</v>
      </c>
      <c r="PV59" s="336">
        <v>0</v>
      </c>
      <c r="PW59" s="336">
        <v>-21926728</v>
      </c>
      <c r="PX59" s="336">
        <v>-4408329</v>
      </c>
      <c r="PY59" s="336">
        <v>-3510918</v>
      </c>
      <c r="PZ59" s="336">
        <v>0</v>
      </c>
      <c r="QA59" s="336">
        <v>0</v>
      </c>
      <c r="QB59" s="336">
        <v>0</v>
      </c>
      <c r="QC59" s="336">
        <v>0</v>
      </c>
      <c r="QD59" s="336">
        <v>0</v>
      </c>
      <c r="QE59" s="336">
        <v>0</v>
      </c>
      <c r="QF59" s="336">
        <v>0</v>
      </c>
      <c r="QG59" s="336">
        <v>13889539</v>
      </c>
      <c r="QH59" s="336">
        <v>0</v>
      </c>
      <c r="QI59" s="336">
        <v>0</v>
      </c>
      <c r="QJ59" s="336">
        <v>0</v>
      </c>
      <c r="QK59" s="336">
        <v>6331515</v>
      </c>
      <c r="QL59" s="336">
        <v>0</v>
      </c>
      <c r="QM59" s="336">
        <v>0</v>
      </c>
      <c r="QN59" s="336">
        <v>0</v>
      </c>
      <c r="QO59" s="336">
        <v>0</v>
      </c>
      <c r="QP59" s="336">
        <v>0</v>
      </c>
      <c r="QQ59" s="336">
        <v>0</v>
      </c>
      <c r="QR59" s="336">
        <v>0</v>
      </c>
      <c r="QS59" s="336">
        <v>0</v>
      </c>
      <c r="QT59" s="336">
        <v>4482865</v>
      </c>
      <c r="QU59" s="336">
        <v>0</v>
      </c>
      <c r="QV59" s="336">
        <v>0</v>
      </c>
      <c r="QW59" s="336">
        <v>0</v>
      </c>
      <c r="QX59" s="336">
        <v>0</v>
      </c>
      <c r="QY59" s="336">
        <v>0</v>
      </c>
      <c r="QZ59" s="336">
        <v>0</v>
      </c>
      <c r="RA59" s="336">
        <v>0</v>
      </c>
      <c r="RB59" s="336">
        <v>0</v>
      </c>
      <c r="RC59" s="336">
        <v>0</v>
      </c>
      <c r="RD59" s="336">
        <v>0</v>
      </c>
      <c r="RE59" s="336">
        <v>0</v>
      </c>
      <c r="RF59" s="336">
        <v>0</v>
      </c>
      <c r="RG59" s="336">
        <v>0</v>
      </c>
      <c r="RH59" s="336">
        <v>0</v>
      </c>
      <c r="RI59" s="336">
        <v>0</v>
      </c>
      <c r="RJ59" s="336">
        <v>0</v>
      </c>
      <c r="RK59" s="336">
        <v>0</v>
      </c>
      <c r="RL59" s="336">
        <v>0</v>
      </c>
      <c r="RM59" s="336">
        <v>0</v>
      </c>
      <c r="RN59" s="336">
        <v>0</v>
      </c>
      <c r="RO59" s="336">
        <v>-49212169</v>
      </c>
      <c r="RP59" s="336">
        <v>0</v>
      </c>
      <c r="RQ59" s="336">
        <v>0</v>
      </c>
      <c r="RR59" s="336">
        <v>0</v>
      </c>
      <c r="RS59" s="336">
        <v>0</v>
      </c>
      <c r="RT59" s="336">
        <v>0</v>
      </c>
      <c r="RU59" s="336">
        <v>0</v>
      </c>
      <c r="RV59" s="336">
        <v>0</v>
      </c>
      <c r="RW59" s="336">
        <v>0</v>
      </c>
      <c r="RX59" s="336">
        <v>0</v>
      </c>
      <c r="RY59" s="336">
        <v>0</v>
      </c>
      <c r="RZ59" s="336">
        <v>0</v>
      </c>
      <c r="SA59" s="336">
        <v>0</v>
      </c>
      <c r="SB59" s="336">
        <v>0</v>
      </c>
      <c r="SC59" s="336">
        <v>0</v>
      </c>
      <c r="SD59" s="336">
        <v>0</v>
      </c>
      <c r="SE59" s="336">
        <v>0</v>
      </c>
      <c r="SF59" s="336">
        <v>0</v>
      </c>
      <c r="SG59" s="336">
        <v>0</v>
      </c>
      <c r="SH59" s="336">
        <v>0</v>
      </c>
      <c r="SI59" s="336">
        <v>0</v>
      </c>
      <c r="SJ59" s="336">
        <v>0</v>
      </c>
      <c r="SK59" s="336">
        <v>0</v>
      </c>
      <c r="SL59" s="336">
        <v>0</v>
      </c>
      <c r="SM59" s="336">
        <v>0</v>
      </c>
      <c r="SN59" s="336">
        <v>0</v>
      </c>
      <c r="SO59" s="336">
        <v>0</v>
      </c>
      <c r="SP59" s="336">
        <v>174523</v>
      </c>
      <c r="SQ59" s="336">
        <v>0</v>
      </c>
      <c r="SR59" s="336">
        <v>0</v>
      </c>
      <c r="SS59" s="336">
        <v>0</v>
      </c>
      <c r="ST59" s="336">
        <v>0</v>
      </c>
      <c r="SU59" s="336">
        <v>0</v>
      </c>
      <c r="SV59" s="336">
        <v>0</v>
      </c>
      <c r="SW59" s="336">
        <v>0</v>
      </c>
      <c r="SX59" s="336">
        <v>0</v>
      </c>
      <c r="SY59" s="336">
        <v>145173778</v>
      </c>
      <c r="SZ59" s="336" t="s">
        <v>1420</v>
      </c>
      <c r="TA59" s="336" t="s">
        <v>1420</v>
      </c>
      <c r="TB59" s="336" t="s">
        <v>1420</v>
      </c>
      <c r="TC59" s="336">
        <v>390708</v>
      </c>
      <c r="TD59" s="336">
        <v>6244461</v>
      </c>
      <c r="TE59" s="336">
        <v>194545</v>
      </c>
      <c r="TF59" s="336">
        <v>0</v>
      </c>
      <c r="TG59" s="336">
        <v>1755600</v>
      </c>
      <c r="TH59" s="336">
        <v>57450</v>
      </c>
      <c r="TI59" s="336">
        <v>64266</v>
      </c>
      <c r="TJ59" s="336">
        <v>373422</v>
      </c>
      <c r="TK59" s="336">
        <v>0</v>
      </c>
      <c r="TL59" s="336">
        <v>662200</v>
      </c>
      <c r="TM59" s="336">
        <v>0</v>
      </c>
      <c r="TN59" s="336">
        <v>0</v>
      </c>
      <c r="TO59" s="336">
        <v>1436471</v>
      </c>
      <c r="TP59" s="336">
        <v>0</v>
      </c>
      <c r="TQ59" s="336">
        <v>0</v>
      </c>
      <c r="TR59" s="336">
        <v>0</v>
      </c>
      <c r="TS59" s="336">
        <v>0</v>
      </c>
      <c r="TT59" s="336">
        <v>0</v>
      </c>
      <c r="TU59" s="336">
        <v>0</v>
      </c>
      <c r="TV59" s="336">
        <v>0</v>
      </c>
      <c r="TW59" s="336">
        <v>0</v>
      </c>
      <c r="TX59" s="336">
        <v>0</v>
      </c>
      <c r="TY59" s="336">
        <v>0</v>
      </c>
      <c r="TZ59" s="336">
        <v>0</v>
      </c>
      <c r="UA59" s="336">
        <v>0</v>
      </c>
      <c r="UB59" s="336">
        <v>0</v>
      </c>
      <c r="UC59" s="336">
        <v>0</v>
      </c>
      <c r="UD59" s="336">
        <v>0</v>
      </c>
      <c r="UE59" s="336">
        <v>0</v>
      </c>
      <c r="UF59" s="336">
        <v>0</v>
      </c>
      <c r="UG59" s="336">
        <v>0</v>
      </c>
      <c r="UH59" s="336">
        <v>170175425</v>
      </c>
      <c r="UI59" s="336">
        <v>71798602</v>
      </c>
      <c r="UJ59" s="336">
        <v>9526398</v>
      </c>
      <c r="UK59" s="336">
        <v>0</v>
      </c>
      <c r="UL59" s="336">
        <v>60040668</v>
      </c>
      <c r="UM59" s="336">
        <v>31239316</v>
      </c>
      <c r="UN59" s="336">
        <v>41025670</v>
      </c>
      <c r="UO59" s="336">
        <v>41174443</v>
      </c>
      <c r="UP59" s="336">
        <v>50908703</v>
      </c>
      <c r="UQ59" s="336">
        <v>37685028</v>
      </c>
      <c r="UR59"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9742652</v>
      </c>
      <c r="US59" s="338">
        <f>SUM(Input[[#This Row],[Oth Exp E&amp;G]],Input[[#This Row],[Oth Exp Desg]],Input[[#This Row],[Oth Exp Aux]],Input[[#This Row],[Oth Exp R Exp]],Input[[#This Row],[Oth Exp Loan]],Input[[#This Row],[Oth Exp Annuity]],Input[[#This Row],[Oth Exp Unexp]],Input[[#This Row],[Oth Exp R of Ind]],Input[[#This Row],[Oth Exp Inv in P]])</f>
        <v>1673465</v>
      </c>
      <c r="UT59" s="336">
        <v>0</v>
      </c>
      <c r="UU59" s="336">
        <v>20221054</v>
      </c>
      <c r="UV59" s="339" t="s">
        <v>1562</v>
      </c>
      <c r="UW59" s="340">
        <v>9566657906</v>
      </c>
      <c r="UX59" s="339" t="s">
        <v>1563</v>
      </c>
      <c r="UY59" s="339" t="s">
        <v>1564</v>
      </c>
      <c r="UZ59" s="340">
        <v>9568828262</v>
      </c>
      <c r="VA59" s="339" t="s">
        <v>1599</v>
      </c>
      <c r="VB59" s="341" cm="1">
        <f t="array" ref="VB59">IFERROR(_xlfn.IFS(Input[[#This Row],[Type]]="HRI",VLOOKUP(Input[[#This Row],[Institution Name]],FTSEHRI[],9,FALSE),Input[[#This Row],[Type]]="UNIV",VLOOKUP(Input[[#This Row],[Institution Name]],FTSEUNIV[],9,FALSE),OR(Input[[#This Row],[Type]]="TSTC",Input[[#This Row],[Type]]="LSC"),VLOOKUP(Input[[#This Row],[Institution Name]],FTSETSTC[],8,FALSE)),"N/A")</f>
        <v>27185.39</v>
      </c>
      <c r="VC59" s="342" t="str" cm="1">
        <f t="array" ref="VC59">IFERROR(_xlfn.IFS(Input[[#This Row],[Type]]="HRI",VLOOKUP(Input[[#This Row],[Institution Name]],FTSEHRI[],11,FALSE),Input[[#This Row],[Type]]="UNIV",VLOOKUP(Input[[#This Row],[Institution Name]],FTSEUNIV[],11,FALSE),Input[[#This Row],[Type]]="TSTC",VLOOKUP(Input[[#This Row],[Institution Name]],FTSETSTC[],10,FALSE)),"N/A")</f>
        <v>N/A</v>
      </c>
      <c r="VD59"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202891682</v>
      </c>
      <c r="VE59"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59" s="338">
        <f>SUM(Input[[#This Row],[Fed G&amp;C E&amp;G]],Input[[#This Row],[Fed G&amp;C Desg]],Input[[#This Row],[Fed G&amp;C R Exp]],Input[[#This Row],[Fed G&amp;C Loan]],Input[[#This Row],[Fed G&amp;C Annuity]],Input[[#This Row],[Fed G&amp;C Unexp]],Input[[#This Row],[Fed G&amp;C R of Ind]],Input[[#This Row],[Fed G&amp;C Inv in P]])</f>
        <v>173761143</v>
      </c>
      <c r="VG59"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56985519</v>
      </c>
      <c r="VH59"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77548917</v>
      </c>
      <c r="VI59"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33316315</v>
      </c>
      <c r="VJ59" s="338">
        <f>SUM(Input[[#This Row],[Oth Inc E&amp;G]],Input[[#This Row],[Oth Exp Desg]],Input[[#This Row],[Oth Exp R Exp]],Input[[#This Row],[Oth Exp Loan]],Input[[#This Row],[Oth Exp Annuity]],Input[[#This Row],[Oth Exp Unexp]],Input[[#This Row],[Oth Exp R of Ind]],Input[[#This Row],[Oth Exp Inv in P]])</f>
        <v>1936356</v>
      </c>
      <c r="VK59" s="343">
        <f>SUM(Input[[#This Row],[Instr E&amp;G]],Input[[#This Row],[Instr Desg]],Input[[#This Row],[Instr R Exp]],Input[[#This Row],[Instr Loan]],Input[[#This Row],[Instr Annuity]],Input[[#This Row],[Instr Unexp]],Input[[#This Row],[Instr R of Ind]],Input[[#This Row],[Instr Inv in P]])</f>
        <v>170175425</v>
      </c>
      <c r="VL59" s="343">
        <f>SUM(Input[[#This Row],[Res E&amp;G]],Input[[#This Row],[Res Desg]],Input[[#This Row],[Res R Exp]],Input[[#This Row],[Res Loan]],Input[[#This Row],[Res Annuity]],Input[[#This Row],[Res Unexp]],Input[[#This Row],[Res R of Ind]],Input[[#This Row],[Res Inv in P]])</f>
        <v>71798602</v>
      </c>
      <c r="VM59" s="343">
        <f>SUM(Input[[#This Row],[Acad Sup E&amp;G]],Input[[#This Row],[Acad Sup Desg]],Input[[#This Row],[Acad Sup R Exp]],Input[[#This Row],[Acad Sup Loan]],Input[[#This Row],[Acad Sup Annuity]],Input[[#This Row],[Acad Sup Unexp]],Input[[#This Row],[Acad Sup R of Ind]],Input[[#This Row],[Acad Sup Inv in P]])</f>
        <v>60040668</v>
      </c>
      <c r="VN59" s="343">
        <f>SUM(Input[[#This Row],[Stu Svc E&amp;G]],Input[[#This Row],[Stu Svc Desg]],Input[[#This Row],[Stu Svc R Exp]],Input[[#This Row],[Stu Svc Loan]],Input[[#This Row],[Stu Svc Annuity]],Input[[#This Row],[Stu Svc Unexp]],Input[[#This Row],[Stu Svc R of Ind]],Input[[#This Row],[Stu Svc Inv in P]])</f>
        <v>31239316</v>
      </c>
      <c r="VO59" s="343">
        <f>SUM(Input[[#This Row],[Inst. Spt E&amp;G]],Input[[#This Row],[Inst. Spt Desg]],Input[[#This Row],[Inst. Spt R Exp]],Input[[#This Row],[Inst. Spt Loan]],Input[[#This Row],[Inst. Spt Annuity]],Input[[#This Row],[Inst. Spt Unexp]],Input[[#This Row],[Inst. Spt R of Ind]],Input[[#This Row],[Inst. Spt Inv in P]])</f>
        <v>41025670</v>
      </c>
      <c r="VP59" s="343">
        <f>SUM(Input[[#This Row],[M&amp;O Plnt E&amp;G]],Input[[#This Row],[M&amp;O Plnt Desg]],Input[[#This Row],[M&amp;O Plnt R Exp]],Input[[#This Row],[M&amp;O Plnt Loan]],Input[[#This Row],[M&amp;O Plnt Annuity]],Input[[#This Row],[M&amp;O Plnt Unexp]],Input[[#This Row],[M&amp;O Plnt R of Ind]],Input[[#This Row],[M&amp;O Plnt Inv in P]])</f>
        <v>41174443</v>
      </c>
      <c r="VQ59" s="343">
        <f>SUM(Input[[#This Row],[Schl &amp; Fell E&amp;G]],Input[[#This Row],[Schl &amp; Fell Desg]],Input[[#This Row],[Schl &amp; Fell R Exp]],Input[[#This Row],[Schl &amp; Fell Loan]],Input[[#This Row],[Schl &amp; Fell Annuity]],Input[[#This Row],[Schl &amp; Fell Unexp]],Input[[#This Row],[Schl &amp; Fell R of Ind]],Input[[#This Row],[Schl &amp; Fell Inv in P]])</f>
        <v>50908703</v>
      </c>
      <c r="VR59" s="343">
        <f>SUM(Input[[#This Row],[Cap Out fund E&amp;G]],Input[[#This Row],[Cap Out fund Desg]],Input[[#This Row],[Cap Out fund R Exp]],Input[[#This Row],[Cap Out fund Loan]],Input[[#This Row],[Cap Out fund Annuity]],Input[[#This Row],[Cap Out fund Unexp]],Input[[#This Row],[Cap Out fund R of Ind]],Input[[#This Row],[Cap Out fund Inv in P]])</f>
        <v>9469095</v>
      </c>
      <c r="VS59" s="343">
        <f>SUM(Input[[#This Row],[Oth Exp E&amp;G]],Input[[#This Row],[Oth Exp Desg]],Input[[#This Row],[Oth Exp R Exp]],Input[[#This Row],[Oth Exp Loan]],Input[[#This Row],[Oth Exp Annuity]],Input[[#This Row],[Oth Exp Unexp]],Input[[#This Row],[Oth Exp R of Ind]],Input[[#This Row],[Oth Exp Inv in P]],Input[[#This Row],[Oth Exp Inv in P]])</f>
        <v>911559</v>
      </c>
    </row>
    <row r="60" spans="1:591" s="344" customFormat="1" ht="27" customHeight="1" x14ac:dyDescent="0.55000000000000004">
      <c r="A60" s="339" t="s">
        <v>180</v>
      </c>
      <c r="B60" s="350" t="s">
        <v>1826</v>
      </c>
      <c r="C60" s="350" t="s">
        <v>746</v>
      </c>
      <c r="D60" s="334">
        <v>90</v>
      </c>
      <c r="E60" s="334" t="s">
        <v>1622</v>
      </c>
      <c r="F60" s="335">
        <v>3599</v>
      </c>
      <c r="G60" s="336">
        <v>201819023</v>
      </c>
      <c r="H60" s="336">
        <v>0</v>
      </c>
      <c r="I60" s="336">
        <v>0</v>
      </c>
      <c r="J60" s="336">
        <v>0</v>
      </c>
      <c r="K60" s="336">
        <v>0</v>
      </c>
      <c r="L60" s="336">
        <v>0</v>
      </c>
      <c r="M60" s="336">
        <v>0</v>
      </c>
      <c r="N60" s="336">
        <v>0</v>
      </c>
      <c r="O60" s="336">
        <v>0</v>
      </c>
      <c r="P60" s="336">
        <v>55797616</v>
      </c>
      <c r="Q60" s="336">
        <v>1782019</v>
      </c>
      <c r="R60" s="336">
        <v>0</v>
      </c>
      <c r="S60" s="336">
        <v>2388653</v>
      </c>
      <c r="T60" s="336">
        <v>0</v>
      </c>
      <c r="U60" s="336">
        <v>0</v>
      </c>
      <c r="V60" s="336">
        <v>0</v>
      </c>
      <c r="W60" s="336">
        <v>0</v>
      </c>
      <c r="X60" s="336">
        <v>0</v>
      </c>
      <c r="Y60" s="336">
        <v>0</v>
      </c>
      <c r="Z60" s="336">
        <v>0</v>
      </c>
      <c r="AA60" s="336">
        <v>0</v>
      </c>
      <c r="AB60" s="336">
        <v>0</v>
      </c>
      <c r="AC60" s="336">
        <v>0</v>
      </c>
      <c r="AD60" s="336">
        <v>0</v>
      </c>
      <c r="AE60" s="336">
        <v>0</v>
      </c>
      <c r="AF60" s="336">
        <v>0</v>
      </c>
      <c r="AG60" s="336">
        <v>0</v>
      </c>
      <c r="AH60" s="336">
        <v>0</v>
      </c>
      <c r="AI60" s="336">
        <v>0</v>
      </c>
      <c r="AJ60" s="336">
        <v>0</v>
      </c>
      <c r="AK60" s="336">
        <v>0</v>
      </c>
      <c r="AL60" s="336">
        <v>0</v>
      </c>
      <c r="AM60" s="336">
        <v>0</v>
      </c>
      <c r="AN60" s="336">
        <v>0</v>
      </c>
      <c r="AO60" s="336">
        <v>0</v>
      </c>
      <c r="AP60" s="336">
        <v>0</v>
      </c>
      <c r="AQ60" s="336">
        <v>-7914046</v>
      </c>
      <c r="AR60" s="336">
        <v>0</v>
      </c>
      <c r="AS60" s="336">
        <v>0</v>
      </c>
      <c r="AT60" s="336">
        <v>0</v>
      </c>
      <c r="AU60" s="336">
        <v>0</v>
      </c>
      <c r="AV60" s="336">
        <v>0</v>
      </c>
      <c r="AW60" s="336">
        <v>0</v>
      </c>
      <c r="AX60" s="336">
        <v>0</v>
      </c>
      <c r="AY60" s="336">
        <v>0</v>
      </c>
      <c r="AZ60" s="336">
        <v>0</v>
      </c>
      <c r="BA60" s="336">
        <v>-4959</v>
      </c>
      <c r="BB60" s="336">
        <v>0</v>
      </c>
      <c r="BC60" s="336">
        <v>0</v>
      </c>
      <c r="BD60" s="336">
        <v>0</v>
      </c>
      <c r="BE60" s="336">
        <v>0</v>
      </c>
      <c r="BF60" s="336">
        <v>0</v>
      </c>
      <c r="BG60" s="336">
        <v>0</v>
      </c>
      <c r="BH60" s="336">
        <v>0</v>
      </c>
      <c r="BI60" s="336">
        <v>0</v>
      </c>
      <c r="BJ60" s="336">
        <v>0</v>
      </c>
      <c r="BK60" s="336">
        <v>0</v>
      </c>
      <c r="BL60" s="336">
        <v>0</v>
      </c>
      <c r="BM60" s="336">
        <v>0</v>
      </c>
      <c r="BN60" s="336">
        <v>0</v>
      </c>
      <c r="BO60" s="336">
        <v>0</v>
      </c>
      <c r="BP60" s="336">
        <v>0</v>
      </c>
      <c r="BQ60" s="336">
        <v>0</v>
      </c>
      <c r="BR60" s="336">
        <v>0</v>
      </c>
      <c r="BS60" s="336">
        <v>0</v>
      </c>
      <c r="BT60" s="336">
        <v>0</v>
      </c>
      <c r="BU60" s="336">
        <v>0</v>
      </c>
      <c r="BV60" s="336">
        <v>0</v>
      </c>
      <c r="BW60" s="336">
        <v>0</v>
      </c>
      <c r="BX60" s="336">
        <v>0</v>
      </c>
      <c r="BY60" s="336">
        <v>0</v>
      </c>
      <c r="BZ60" s="336">
        <v>0</v>
      </c>
      <c r="CA60" s="336">
        <v>47444529</v>
      </c>
      <c r="CB60" s="336">
        <v>199572364</v>
      </c>
      <c r="CC60" s="336">
        <v>0</v>
      </c>
      <c r="CD60" s="336">
        <v>0</v>
      </c>
      <c r="CE60" s="336">
        <v>0</v>
      </c>
      <c r="CF60" s="336">
        <v>0</v>
      </c>
      <c r="CG60" s="336">
        <v>0</v>
      </c>
      <c r="CH60" s="336">
        <v>0</v>
      </c>
      <c r="CI60" s="336">
        <v>0</v>
      </c>
      <c r="CJ60" s="336">
        <v>0</v>
      </c>
      <c r="CK60" s="336">
        <v>0</v>
      </c>
      <c r="CL60" s="336">
        <v>0</v>
      </c>
      <c r="CM60" s="336">
        <v>0</v>
      </c>
      <c r="CN60" s="336">
        <v>0</v>
      </c>
      <c r="CO60" s="336">
        <v>0</v>
      </c>
      <c r="CP60" s="336">
        <v>0</v>
      </c>
      <c r="CQ60" s="336">
        <v>0</v>
      </c>
      <c r="CR60" s="336">
        <v>0</v>
      </c>
      <c r="CS60" s="336">
        <v>0</v>
      </c>
      <c r="CT60" s="336">
        <v>0</v>
      </c>
      <c r="CU60" s="336">
        <v>0</v>
      </c>
      <c r="CV60" s="336">
        <v>0</v>
      </c>
      <c r="CW60" s="336">
        <v>0</v>
      </c>
      <c r="CX60" s="336">
        <v>0</v>
      </c>
      <c r="CY60" s="336">
        <v>0</v>
      </c>
      <c r="CZ60" s="336">
        <v>0</v>
      </c>
      <c r="DA60" s="336">
        <v>0</v>
      </c>
      <c r="DB60" s="336">
        <v>-2935600</v>
      </c>
      <c r="DC60" s="336">
        <v>-6779851</v>
      </c>
      <c r="DD60" s="336">
        <v>0</v>
      </c>
      <c r="DE60" s="336">
        <v>0</v>
      </c>
      <c r="DF60" s="336">
        <v>0</v>
      </c>
      <c r="DG60" s="336">
        <v>0</v>
      </c>
      <c r="DH60" s="336">
        <v>0</v>
      </c>
      <c r="DI60" s="336">
        <v>0</v>
      </c>
      <c r="DJ60" s="336">
        <v>0</v>
      </c>
      <c r="DK60" s="336">
        <v>0</v>
      </c>
      <c r="DL60" s="336">
        <v>0</v>
      </c>
      <c r="DM60" s="336">
        <v>0</v>
      </c>
      <c r="DN60" s="336">
        <v>0</v>
      </c>
      <c r="DO60" s="336">
        <v>0</v>
      </c>
      <c r="DP60" s="336">
        <v>0</v>
      </c>
      <c r="DQ60" s="336">
        <v>0</v>
      </c>
      <c r="DR60" s="336">
        <v>0</v>
      </c>
      <c r="DS60" s="336">
        <v>0</v>
      </c>
      <c r="DT60" s="336">
        <v>-26092377</v>
      </c>
      <c r="DU60" s="336">
        <v>-128485880</v>
      </c>
      <c r="DV60" s="336">
        <v>0</v>
      </c>
      <c r="DW60" s="336">
        <v>0</v>
      </c>
      <c r="DX60" s="336">
        <v>0</v>
      </c>
      <c r="DY60" s="336">
        <v>0</v>
      </c>
      <c r="DZ60" s="336">
        <v>0</v>
      </c>
      <c r="EA60" s="336">
        <v>0</v>
      </c>
      <c r="EB60" s="336">
        <v>0</v>
      </c>
      <c r="EC60" s="336">
        <v>0</v>
      </c>
      <c r="ED60" s="336">
        <v>0</v>
      </c>
      <c r="EE60" s="336">
        <v>0</v>
      </c>
      <c r="EF60" s="336">
        <v>0</v>
      </c>
      <c r="EG60" s="336">
        <v>0</v>
      </c>
      <c r="EH60" s="336">
        <v>0</v>
      </c>
      <c r="EI60" s="336">
        <v>0</v>
      </c>
      <c r="EJ60" s="336">
        <v>0</v>
      </c>
      <c r="EK60" s="336">
        <v>0</v>
      </c>
      <c r="EL60" s="336">
        <v>0</v>
      </c>
      <c r="EM60" s="336">
        <v>0</v>
      </c>
      <c r="EN60" s="336">
        <v>0</v>
      </c>
      <c r="EO60" s="336">
        <v>0</v>
      </c>
      <c r="EP60" s="336">
        <v>0</v>
      </c>
      <c r="EQ60" s="336">
        <v>0</v>
      </c>
      <c r="ER60" s="336">
        <v>0</v>
      </c>
      <c r="ES60" s="336">
        <v>0</v>
      </c>
      <c r="ET60" s="336">
        <v>0</v>
      </c>
      <c r="EU60" s="336">
        <v>0</v>
      </c>
      <c r="EV60" s="336">
        <v>0</v>
      </c>
      <c r="EW60" s="336">
        <v>0</v>
      </c>
      <c r="EX60" s="336">
        <v>0</v>
      </c>
      <c r="EY60" s="336">
        <v>0</v>
      </c>
      <c r="EZ60" s="336">
        <v>0</v>
      </c>
      <c r="FA60" s="336">
        <v>0</v>
      </c>
      <c r="FB60" s="336">
        <v>0</v>
      </c>
      <c r="FC60" s="336">
        <v>0</v>
      </c>
      <c r="FD60" s="336">
        <v>0</v>
      </c>
      <c r="FE60" s="336">
        <v>0</v>
      </c>
      <c r="FF60" s="336">
        <v>0</v>
      </c>
      <c r="FG60" s="336">
        <v>0</v>
      </c>
      <c r="FH60" s="336">
        <v>0</v>
      </c>
      <c r="FI60" s="336">
        <v>0</v>
      </c>
      <c r="FJ60" s="336">
        <v>0</v>
      </c>
      <c r="FK60" s="336">
        <v>0</v>
      </c>
      <c r="FL60" s="336">
        <v>0</v>
      </c>
      <c r="FM60" s="336">
        <v>2306384</v>
      </c>
      <c r="FN60" s="336">
        <v>31432708</v>
      </c>
      <c r="FO60" s="336">
        <v>29101436</v>
      </c>
      <c r="FP60" s="336">
        <v>0</v>
      </c>
      <c r="FQ60" s="336">
        <v>0</v>
      </c>
      <c r="FR60" s="336">
        <v>0</v>
      </c>
      <c r="FS60" s="336">
        <v>0</v>
      </c>
      <c r="FT60" s="336">
        <v>0</v>
      </c>
      <c r="FU60" s="336">
        <v>0</v>
      </c>
      <c r="FV60" s="336">
        <v>0</v>
      </c>
      <c r="FW60" s="336">
        <v>0</v>
      </c>
      <c r="FX60" s="336">
        <v>0</v>
      </c>
      <c r="FY60" s="336">
        <v>0</v>
      </c>
      <c r="FZ60" s="336">
        <v>0</v>
      </c>
      <c r="GA60" s="336">
        <v>0</v>
      </c>
      <c r="GB60" s="336">
        <v>0</v>
      </c>
      <c r="GC60" s="336">
        <v>0</v>
      </c>
      <c r="GD60" s="336">
        <v>0</v>
      </c>
      <c r="GE60" s="336">
        <v>0</v>
      </c>
      <c r="GF60" s="336">
        <v>0</v>
      </c>
      <c r="GG60" s="336">
        <v>0</v>
      </c>
      <c r="GH60" s="336">
        <v>0</v>
      </c>
      <c r="GI60" s="336">
        <v>0</v>
      </c>
      <c r="GJ60" s="336">
        <v>0</v>
      </c>
      <c r="GK60" s="336">
        <v>0</v>
      </c>
      <c r="GL60" s="336">
        <v>0</v>
      </c>
      <c r="GM60" s="336">
        <v>0</v>
      </c>
      <c r="GN60" s="336">
        <v>0</v>
      </c>
      <c r="GO60" s="336">
        <v>0</v>
      </c>
      <c r="GP60" s="336">
        <v>-967995</v>
      </c>
      <c r="GQ60" s="336">
        <v>0</v>
      </c>
      <c r="GR60" s="336">
        <v>0</v>
      </c>
      <c r="GS60" s="336">
        <v>0</v>
      </c>
      <c r="GT60" s="336">
        <v>0</v>
      </c>
      <c r="GU60" s="336">
        <v>0</v>
      </c>
      <c r="GV60" s="336">
        <v>0</v>
      </c>
      <c r="GW60" s="336">
        <v>0</v>
      </c>
      <c r="GX60" s="336">
        <v>0</v>
      </c>
      <c r="GY60" s="336">
        <v>0</v>
      </c>
      <c r="GZ60" s="336">
        <v>0</v>
      </c>
      <c r="HA60" s="336">
        <v>0</v>
      </c>
      <c r="HB60" s="336">
        <v>0</v>
      </c>
      <c r="HC60" s="336">
        <v>0</v>
      </c>
      <c r="HD60" s="336">
        <v>0</v>
      </c>
      <c r="HE60" s="336">
        <v>0</v>
      </c>
      <c r="HF60" s="336">
        <v>0</v>
      </c>
      <c r="HG60" s="336">
        <v>0</v>
      </c>
      <c r="HH60" s="336">
        <v>-16062921</v>
      </c>
      <c r="HI60" s="336">
        <v>0</v>
      </c>
      <c r="HJ60" s="336">
        <v>0</v>
      </c>
      <c r="HK60" s="336">
        <v>0</v>
      </c>
      <c r="HL60" s="336">
        <v>0</v>
      </c>
      <c r="HM60" s="336">
        <v>0</v>
      </c>
      <c r="HN60" s="336">
        <v>0</v>
      </c>
      <c r="HO60" s="336">
        <v>0</v>
      </c>
      <c r="HP60" s="336">
        <v>10310969</v>
      </c>
      <c r="HQ60" s="336">
        <v>0</v>
      </c>
      <c r="HR60" s="336">
        <v>178410532</v>
      </c>
      <c r="HS60" s="336">
        <v>0</v>
      </c>
      <c r="HT60" s="336">
        <v>0</v>
      </c>
      <c r="HU60" s="336">
        <v>0</v>
      </c>
      <c r="HV60" s="336">
        <v>0</v>
      </c>
      <c r="HW60" s="336">
        <v>0</v>
      </c>
      <c r="HX60" s="336">
        <v>0</v>
      </c>
      <c r="HY60" s="336">
        <v>15330995</v>
      </c>
      <c r="HZ60" s="336">
        <v>0</v>
      </c>
      <c r="IA60" s="336">
        <v>0</v>
      </c>
      <c r="IB60" s="336">
        <v>0</v>
      </c>
      <c r="IC60" s="336">
        <v>0</v>
      </c>
      <c r="ID60" s="336">
        <v>0</v>
      </c>
      <c r="IE60" s="336">
        <v>0</v>
      </c>
      <c r="IF60" s="336">
        <v>0</v>
      </c>
      <c r="IG60" s="336">
        <v>0</v>
      </c>
      <c r="IH60" s="336">
        <v>0</v>
      </c>
      <c r="II60" s="336">
        <v>0</v>
      </c>
      <c r="IJ60" s="336">
        <v>0</v>
      </c>
      <c r="IK60" s="336">
        <v>0</v>
      </c>
      <c r="IL60" s="336">
        <v>0</v>
      </c>
      <c r="IM60" s="336">
        <v>0</v>
      </c>
      <c r="IN60" s="336">
        <v>0</v>
      </c>
      <c r="IO60" s="336">
        <v>0</v>
      </c>
      <c r="IP60" s="336">
        <v>1308187</v>
      </c>
      <c r="IQ60" s="336">
        <v>20208884</v>
      </c>
      <c r="IR60" s="336">
        <v>16443</v>
      </c>
      <c r="IS60" s="336">
        <v>2604475</v>
      </c>
      <c r="IT60" s="336">
        <v>0</v>
      </c>
      <c r="IU60" s="336">
        <v>63685</v>
      </c>
      <c r="IV60" s="336">
        <v>0</v>
      </c>
      <c r="IW60" s="336">
        <v>0</v>
      </c>
      <c r="IX60" s="336">
        <v>0</v>
      </c>
      <c r="IY60" s="336">
        <v>0</v>
      </c>
      <c r="IZ60" s="336">
        <v>18085474</v>
      </c>
      <c r="JA60" s="336">
        <v>0</v>
      </c>
      <c r="JB60" s="336">
        <v>138804</v>
      </c>
      <c r="JC60" s="336">
        <v>0</v>
      </c>
      <c r="JD60" s="336">
        <v>0</v>
      </c>
      <c r="JE60" s="336">
        <v>0</v>
      </c>
      <c r="JF60" s="336">
        <v>0</v>
      </c>
      <c r="JG60" s="336">
        <v>0</v>
      </c>
      <c r="JH60" s="336">
        <v>0</v>
      </c>
      <c r="JI60" s="336">
        <v>18946285</v>
      </c>
      <c r="JJ60" s="336">
        <v>0</v>
      </c>
      <c r="JK60" s="336">
        <v>8372516</v>
      </c>
      <c r="JL60" s="336">
        <v>0</v>
      </c>
      <c r="JM60" s="336">
        <v>0</v>
      </c>
      <c r="JN60" s="336">
        <v>0</v>
      </c>
      <c r="JO60" s="336">
        <v>0</v>
      </c>
      <c r="JP60" s="336">
        <v>0</v>
      </c>
      <c r="JQ60" s="336">
        <v>0</v>
      </c>
      <c r="JR60" s="336">
        <v>7711840</v>
      </c>
      <c r="JS60" s="336">
        <v>0</v>
      </c>
      <c r="JT60" s="336">
        <v>2860852</v>
      </c>
      <c r="JU60" s="336">
        <v>0</v>
      </c>
      <c r="JV60" s="336">
        <v>0</v>
      </c>
      <c r="JW60" s="336">
        <v>0</v>
      </c>
      <c r="JX60" s="336">
        <v>0</v>
      </c>
      <c r="JY60" s="336">
        <v>0</v>
      </c>
      <c r="JZ60" s="336">
        <v>0</v>
      </c>
      <c r="KA60" s="336">
        <v>0</v>
      </c>
      <c r="KB60" s="336">
        <v>10137442</v>
      </c>
      <c r="KC60" s="336">
        <v>0</v>
      </c>
      <c r="KD60" s="336">
        <v>0</v>
      </c>
      <c r="KE60" s="336">
        <v>0</v>
      </c>
      <c r="KF60" s="336">
        <v>0</v>
      </c>
      <c r="KG60" s="336">
        <v>0</v>
      </c>
      <c r="KH60" s="336">
        <v>0</v>
      </c>
      <c r="KI60" s="336">
        <v>1421673</v>
      </c>
      <c r="KJ60" s="336">
        <v>17940484</v>
      </c>
      <c r="KK60" s="336">
        <v>0</v>
      </c>
      <c r="KL60" s="336">
        <v>94609</v>
      </c>
      <c r="KM60" s="336">
        <v>219439</v>
      </c>
      <c r="KN60" s="336">
        <v>0</v>
      </c>
      <c r="KO60" s="336">
        <v>0</v>
      </c>
      <c r="KP60" s="336">
        <v>0</v>
      </c>
      <c r="KQ60" s="336">
        <v>0</v>
      </c>
      <c r="KR60" s="336">
        <v>140481939</v>
      </c>
      <c r="KS60" s="336">
        <v>46233773</v>
      </c>
      <c r="KT60" s="336">
        <v>0</v>
      </c>
      <c r="KU60" s="336">
        <v>21503260</v>
      </c>
      <c r="KV60" s="336">
        <v>0</v>
      </c>
      <c r="KW60" s="336">
        <v>0</v>
      </c>
      <c r="KX60" s="336">
        <v>0</v>
      </c>
      <c r="KY60" s="336">
        <v>0</v>
      </c>
      <c r="KZ60" s="336">
        <v>0</v>
      </c>
      <c r="LA60" s="336">
        <v>6277999</v>
      </c>
      <c r="LB60" s="336">
        <v>34600255</v>
      </c>
      <c r="LC60" s="336">
        <v>0</v>
      </c>
      <c r="LD60" s="336">
        <v>31964448</v>
      </c>
      <c r="LE60" s="336">
        <v>0</v>
      </c>
      <c r="LF60" s="336">
        <v>0</v>
      </c>
      <c r="LG60" s="336">
        <v>0</v>
      </c>
      <c r="LH60" s="336">
        <v>0</v>
      </c>
      <c r="LI60" s="336">
        <v>0</v>
      </c>
      <c r="LJ60" s="336">
        <v>3786396</v>
      </c>
      <c r="LK60" s="336">
        <v>1783245</v>
      </c>
      <c r="LL60" s="336">
        <v>0</v>
      </c>
      <c r="LM60" s="336">
        <v>8642744</v>
      </c>
      <c r="LN60" s="336">
        <v>0</v>
      </c>
      <c r="LO60" s="336">
        <v>0</v>
      </c>
      <c r="LP60" s="336">
        <v>0</v>
      </c>
      <c r="LQ60" s="336">
        <v>0</v>
      </c>
      <c r="LR60" s="336">
        <v>0</v>
      </c>
      <c r="LS60" s="336">
        <v>9175662</v>
      </c>
      <c r="LT60" s="336">
        <v>27230917</v>
      </c>
      <c r="LU60" s="336">
        <v>0</v>
      </c>
      <c r="LV60" s="336">
        <v>8298</v>
      </c>
      <c r="LW60" s="336">
        <v>0</v>
      </c>
      <c r="LX60" s="336">
        <v>0</v>
      </c>
      <c r="LY60" s="336">
        <v>0</v>
      </c>
      <c r="LZ60" s="336">
        <v>0</v>
      </c>
      <c r="MA60" s="336">
        <v>0</v>
      </c>
      <c r="MB60" s="336">
        <v>34484408</v>
      </c>
      <c r="MC60" s="336">
        <v>45129988</v>
      </c>
      <c r="MD60" s="336">
        <v>0</v>
      </c>
      <c r="ME60" s="336">
        <v>4138045</v>
      </c>
      <c r="MF60" s="336">
        <v>0</v>
      </c>
      <c r="MG60" s="336">
        <v>0</v>
      </c>
      <c r="MH60" s="336">
        <v>0</v>
      </c>
      <c r="MI60" s="336">
        <v>0</v>
      </c>
      <c r="MJ60" s="336">
        <v>0</v>
      </c>
      <c r="MK60" s="336">
        <v>15819399</v>
      </c>
      <c r="ML60" s="336">
        <v>15213364</v>
      </c>
      <c r="MM60" s="336">
        <v>0</v>
      </c>
      <c r="MN60" s="336">
        <v>2862297</v>
      </c>
      <c r="MO60" s="336">
        <v>-31202</v>
      </c>
      <c r="MP60" s="336">
        <v>0</v>
      </c>
      <c r="MQ60" s="336">
        <v>0</v>
      </c>
      <c r="MR60" s="336">
        <v>0</v>
      </c>
      <c r="MS60" s="336">
        <v>0</v>
      </c>
      <c r="MT60" s="336">
        <v>14511236</v>
      </c>
      <c r="MU60" s="336">
        <v>26417611</v>
      </c>
      <c r="MV60" s="336">
        <v>0</v>
      </c>
      <c r="MW60" s="336">
        <v>96823</v>
      </c>
      <c r="MX60" s="336">
        <v>0</v>
      </c>
      <c r="MY60" s="336">
        <v>0</v>
      </c>
      <c r="MZ60" s="336">
        <v>0</v>
      </c>
      <c r="NA60" s="336">
        <v>0</v>
      </c>
      <c r="NB60" s="336">
        <v>0</v>
      </c>
      <c r="NC60" s="336">
        <v>16600485</v>
      </c>
      <c r="ND60" s="336">
        <v>25686301</v>
      </c>
      <c r="NE60" s="336">
        <v>0</v>
      </c>
      <c r="NF60" s="336">
        <v>55658</v>
      </c>
      <c r="NG60" s="336">
        <v>0</v>
      </c>
      <c r="NH60" s="336">
        <v>0</v>
      </c>
      <c r="NI60" s="336">
        <v>2174981</v>
      </c>
      <c r="NJ60" s="336">
        <v>0</v>
      </c>
      <c r="NK60" s="336">
        <v>0</v>
      </c>
      <c r="NL60" s="336">
        <v>4982062</v>
      </c>
      <c r="NM60" s="336">
        <v>17305743</v>
      </c>
      <c r="NN60" s="336">
        <v>0</v>
      </c>
      <c r="NO60" s="336">
        <v>30372666</v>
      </c>
      <c r="NP60" s="336">
        <v>0</v>
      </c>
      <c r="NQ60" s="336">
        <v>0</v>
      </c>
      <c r="NR60" s="336">
        <v>0</v>
      </c>
      <c r="NS60" s="336">
        <v>0</v>
      </c>
      <c r="NT60" s="336">
        <v>0</v>
      </c>
      <c r="NU60" s="336">
        <v>0</v>
      </c>
      <c r="NV60" s="336">
        <v>6309642</v>
      </c>
      <c r="NW60" s="336">
        <v>33197034</v>
      </c>
      <c r="NX60" s="336">
        <v>289993</v>
      </c>
      <c r="NY60" s="336">
        <v>0</v>
      </c>
      <c r="NZ60" s="336">
        <v>0</v>
      </c>
      <c r="OA60" s="336">
        <v>0</v>
      </c>
      <c r="OB60" s="336">
        <v>0</v>
      </c>
      <c r="OC60" s="336">
        <v>0</v>
      </c>
      <c r="OD60" s="336">
        <v>138409</v>
      </c>
      <c r="OE60" s="336">
        <v>6361836</v>
      </c>
      <c r="OF60" s="336">
        <v>273557</v>
      </c>
      <c r="OG60" s="336">
        <v>3464503</v>
      </c>
      <c r="OH60" s="336">
        <v>0</v>
      </c>
      <c r="OI60" s="336">
        <v>0</v>
      </c>
      <c r="OJ60" s="336">
        <v>0</v>
      </c>
      <c r="OK60" s="336">
        <v>0</v>
      </c>
      <c r="OL60" s="336">
        <v>0</v>
      </c>
      <c r="OM60" s="336">
        <v>8162</v>
      </c>
      <c r="ON60" s="336">
        <v>925627</v>
      </c>
      <c r="OO60" s="336">
        <v>886083</v>
      </c>
      <c r="OP60" s="336">
        <v>0</v>
      </c>
      <c r="OQ60" s="336">
        <v>0</v>
      </c>
      <c r="OR60" s="336">
        <v>0</v>
      </c>
      <c r="OS60" s="336">
        <v>0</v>
      </c>
      <c r="OT60" s="336">
        <v>0</v>
      </c>
      <c r="OU60" s="336">
        <v>170567</v>
      </c>
      <c r="OV60" s="336">
        <v>0</v>
      </c>
      <c r="OW60" s="336">
        <v>0</v>
      </c>
      <c r="OX60" s="336">
        <v>0</v>
      </c>
      <c r="OY60" s="336">
        <v>0</v>
      </c>
      <c r="OZ60" s="336">
        <v>0</v>
      </c>
      <c r="PA60" s="336">
        <v>0</v>
      </c>
      <c r="PB60" s="336">
        <v>-199344863</v>
      </c>
      <c r="PC60" s="336">
        <v>0</v>
      </c>
      <c r="PD60" s="336">
        <v>0</v>
      </c>
      <c r="PE60" s="336">
        <v>-12164335</v>
      </c>
      <c r="PF60" s="336">
        <v>64750624</v>
      </c>
      <c r="PG60" s="336">
        <v>9895559</v>
      </c>
      <c r="PH60" s="336">
        <v>-95152018</v>
      </c>
      <c r="PI60" s="336">
        <v>321912</v>
      </c>
      <c r="PJ60" s="336">
        <v>1627555</v>
      </c>
      <c r="PK60" s="336">
        <v>33420463</v>
      </c>
      <c r="PL60" s="336">
        <v>0</v>
      </c>
      <c r="PM60" s="336">
        <v>9101478</v>
      </c>
      <c r="PN60" s="336">
        <v>0</v>
      </c>
      <c r="PO60" s="336">
        <v>0</v>
      </c>
      <c r="PP60" s="336">
        <v>0</v>
      </c>
      <c r="PQ60" s="336">
        <v>0</v>
      </c>
      <c r="PR60" s="336">
        <v>0</v>
      </c>
      <c r="PS60" s="336">
        <v>0</v>
      </c>
      <c r="PT60" s="336">
        <v>105788433</v>
      </c>
      <c r="PU60" s="336">
        <v>0</v>
      </c>
      <c r="PV60" s="336">
        <v>0</v>
      </c>
      <c r="PW60" s="336">
        <v>-21926728</v>
      </c>
      <c r="PX60" s="336">
        <v>-4552272</v>
      </c>
      <c r="PY60" s="336">
        <v>-3596318</v>
      </c>
      <c r="PZ60" s="336">
        <v>0</v>
      </c>
      <c r="QA60" s="336">
        <v>0</v>
      </c>
      <c r="QB60" s="336">
        <v>0</v>
      </c>
      <c r="QC60" s="336">
        <v>0</v>
      </c>
      <c r="QD60" s="336">
        <v>0</v>
      </c>
      <c r="QE60" s="336">
        <v>0</v>
      </c>
      <c r="QF60" s="336">
        <v>0</v>
      </c>
      <c r="QG60" s="336">
        <v>13889539</v>
      </c>
      <c r="QH60" s="336">
        <v>0</v>
      </c>
      <c r="QI60" s="336">
        <v>0</v>
      </c>
      <c r="QJ60" s="336">
        <v>0</v>
      </c>
      <c r="QK60" s="336">
        <v>6748790</v>
      </c>
      <c r="QL60" s="336">
        <v>0</v>
      </c>
      <c r="QM60" s="336">
        <v>0</v>
      </c>
      <c r="QN60" s="336">
        <v>0</v>
      </c>
      <c r="QO60" s="336">
        <v>0</v>
      </c>
      <c r="QP60" s="336">
        <v>0</v>
      </c>
      <c r="QQ60" s="336">
        <v>0</v>
      </c>
      <c r="QR60" s="336">
        <v>0</v>
      </c>
      <c r="QS60" s="336">
        <v>0</v>
      </c>
      <c r="QT60" s="336">
        <v>7077973</v>
      </c>
      <c r="QU60" s="336">
        <v>0</v>
      </c>
      <c r="QV60" s="336">
        <v>0</v>
      </c>
      <c r="QW60" s="336">
        <v>0</v>
      </c>
      <c r="QX60" s="336">
        <v>0</v>
      </c>
      <c r="QY60" s="336">
        <v>0</v>
      </c>
      <c r="QZ60" s="336">
        <v>0</v>
      </c>
      <c r="RA60" s="336">
        <v>0</v>
      </c>
      <c r="RB60" s="336">
        <v>0</v>
      </c>
      <c r="RC60" s="336">
        <v>0</v>
      </c>
      <c r="RD60" s="336">
        <v>0</v>
      </c>
      <c r="RE60" s="336">
        <v>0</v>
      </c>
      <c r="RF60" s="336">
        <v>0</v>
      </c>
      <c r="RG60" s="336">
        <v>0</v>
      </c>
      <c r="RH60" s="336">
        <v>0</v>
      </c>
      <c r="RI60" s="336">
        <v>0</v>
      </c>
      <c r="RJ60" s="336">
        <v>0</v>
      </c>
      <c r="RK60" s="336">
        <v>0</v>
      </c>
      <c r="RL60" s="336">
        <v>0</v>
      </c>
      <c r="RM60" s="336">
        <v>0</v>
      </c>
      <c r="RN60" s="336">
        <v>0</v>
      </c>
      <c r="RO60" s="336">
        <v>-64983876</v>
      </c>
      <c r="RP60" s="336">
        <v>0</v>
      </c>
      <c r="RQ60" s="336">
        <v>0</v>
      </c>
      <c r="RR60" s="336">
        <v>0</v>
      </c>
      <c r="RS60" s="336">
        <v>0</v>
      </c>
      <c r="RT60" s="336">
        <v>0</v>
      </c>
      <c r="RU60" s="336">
        <v>0</v>
      </c>
      <c r="RV60" s="336">
        <v>0</v>
      </c>
      <c r="RW60" s="336">
        <v>0</v>
      </c>
      <c r="RX60" s="336">
        <v>0</v>
      </c>
      <c r="RY60" s="336">
        <v>0</v>
      </c>
      <c r="RZ60" s="336">
        <v>0</v>
      </c>
      <c r="SA60" s="336">
        <v>0</v>
      </c>
      <c r="SB60" s="336">
        <v>0</v>
      </c>
      <c r="SC60" s="336">
        <v>0</v>
      </c>
      <c r="SD60" s="336">
        <v>0</v>
      </c>
      <c r="SE60" s="336">
        <v>0</v>
      </c>
      <c r="SF60" s="336">
        <v>0</v>
      </c>
      <c r="SG60" s="336">
        <v>0</v>
      </c>
      <c r="SH60" s="336">
        <v>0</v>
      </c>
      <c r="SI60" s="336">
        <v>0</v>
      </c>
      <c r="SJ60" s="336">
        <v>0</v>
      </c>
      <c r="SK60" s="336">
        <v>0</v>
      </c>
      <c r="SL60" s="336">
        <v>0</v>
      </c>
      <c r="SM60" s="336">
        <v>0</v>
      </c>
      <c r="SN60" s="336">
        <v>0</v>
      </c>
      <c r="SO60" s="336">
        <v>0</v>
      </c>
      <c r="SP60" s="336">
        <v>235194</v>
      </c>
      <c r="SQ60" s="336">
        <v>0</v>
      </c>
      <c r="SR60" s="336">
        <v>0</v>
      </c>
      <c r="SS60" s="336">
        <v>0</v>
      </c>
      <c r="ST60" s="336">
        <v>0</v>
      </c>
      <c r="SU60" s="336">
        <v>0</v>
      </c>
      <c r="SV60" s="336">
        <v>0</v>
      </c>
      <c r="SW60" s="336">
        <v>0</v>
      </c>
      <c r="SX60" s="336">
        <v>0</v>
      </c>
      <c r="SY60" s="336">
        <v>209583167</v>
      </c>
      <c r="SZ60" s="336" t="s">
        <v>1420</v>
      </c>
      <c r="TA60" s="336" t="s">
        <v>1420</v>
      </c>
      <c r="TB60" s="336" t="s">
        <v>1420</v>
      </c>
      <c r="TC60" s="336">
        <v>489827</v>
      </c>
      <c r="TD60" s="336">
        <v>6244461</v>
      </c>
      <c r="TE60" s="336">
        <v>203651</v>
      </c>
      <c r="TF60" s="336">
        <v>17194</v>
      </c>
      <c r="TG60" s="336">
        <v>2125834</v>
      </c>
      <c r="TH60" s="336">
        <v>57450</v>
      </c>
      <c r="TI60" s="336">
        <v>64266</v>
      </c>
      <c r="TJ60" s="336">
        <v>373422</v>
      </c>
      <c r="TK60" s="336">
        <v>0</v>
      </c>
      <c r="TL60" s="336">
        <v>662200</v>
      </c>
      <c r="TM60" s="336">
        <v>0</v>
      </c>
      <c r="TN60" s="336">
        <v>0</v>
      </c>
      <c r="TO60" s="336">
        <v>1436471</v>
      </c>
      <c r="TP60" s="336">
        <v>0</v>
      </c>
      <c r="TQ60" s="336">
        <v>0</v>
      </c>
      <c r="TR60" s="336">
        <v>0</v>
      </c>
      <c r="TS60" s="336">
        <v>0</v>
      </c>
      <c r="TT60" s="336">
        <v>0</v>
      </c>
      <c r="TU60" s="336">
        <v>0</v>
      </c>
      <c r="TV60" s="336">
        <v>0</v>
      </c>
      <c r="TW60" s="336">
        <v>0</v>
      </c>
      <c r="TX60" s="336">
        <v>0</v>
      </c>
      <c r="TY60" s="336">
        <v>0</v>
      </c>
      <c r="TZ60" s="336">
        <v>0</v>
      </c>
      <c r="UA60" s="336">
        <v>0</v>
      </c>
      <c r="UB60" s="336">
        <v>0</v>
      </c>
      <c r="UC60" s="336">
        <v>0</v>
      </c>
      <c r="UD60" s="336">
        <v>0</v>
      </c>
      <c r="UE60" s="336">
        <v>0</v>
      </c>
      <c r="UF60" s="336">
        <v>0</v>
      </c>
      <c r="UG60" s="336">
        <v>0</v>
      </c>
      <c r="UH60" s="336">
        <v>208218972</v>
      </c>
      <c r="UI60" s="336">
        <v>72842702</v>
      </c>
      <c r="UJ60" s="336">
        <v>14212385</v>
      </c>
      <c r="UK60" s="336">
        <v>36414877</v>
      </c>
      <c r="UL60" s="336">
        <v>83752441</v>
      </c>
      <c r="UM60" s="336">
        <v>33863858</v>
      </c>
      <c r="UN60" s="336">
        <v>41025670</v>
      </c>
      <c r="UO60" s="336">
        <v>44517425</v>
      </c>
      <c r="UP60" s="336">
        <v>52660471</v>
      </c>
      <c r="UQ60" s="336">
        <v>39796669</v>
      </c>
      <c r="UR60"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10238305</v>
      </c>
      <c r="US60" s="338">
        <f>SUM(Input[[#This Row],[Oth Exp E&amp;G]],Input[[#This Row],[Oth Exp Desg]],Input[[#This Row],[Oth Exp Aux]],Input[[#This Row],[Oth Exp R Exp]],Input[[#This Row],[Oth Exp Loan]],Input[[#This Row],[Oth Exp Annuity]],Input[[#This Row],[Oth Exp Unexp]],Input[[#This Row],[Oth Exp R of Ind]],Input[[#This Row],[Oth Exp Inv in P]])</f>
        <v>1990439</v>
      </c>
      <c r="UT60" s="336">
        <v>0</v>
      </c>
      <c r="UU60" s="336">
        <v>0</v>
      </c>
      <c r="UV60" s="339" t="s">
        <v>1562</v>
      </c>
      <c r="UW60" s="340">
        <v>9566657906</v>
      </c>
      <c r="UX60" s="339" t="s">
        <v>1563</v>
      </c>
      <c r="UY60" s="339" t="s">
        <v>1564</v>
      </c>
      <c r="UZ60" s="340">
        <v>9568828262</v>
      </c>
      <c r="VA60" s="339" t="s">
        <v>1599</v>
      </c>
      <c r="VB60" s="341" t="str" cm="1">
        <f t="array" ref="VB60">IFERROR(_xlfn.IFS(Input[[#This Row],[Type]]="HRI",VLOOKUP(Input[[#This Row],[Institution Name]],FTSEHRI[],9,FALSE),Input[[#This Row],[Type]]="UNIV",VLOOKUP(Input[[#This Row],[Institution Name]],FTSEUNIV[],9,FALSE),OR(Input[[#This Row],[Type]]="TSTC",Input[[#This Row],[Type]]="LSC"),VLOOKUP(Input[[#This Row],[Institution Name]],FTSETSTC[],8,FALSE)),"N/A")</f>
        <v>N/A</v>
      </c>
      <c r="VC60" s="342" t="str" cm="1">
        <f t="array" ref="VC60">IFERROR(_xlfn.IFS(Input[[#This Row],[Type]]="HRI",VLOOKUP(Input[[#This Row],[Institution Name]],FTSEHRI[],11,FALSE),Input[[#This Row],[Type]]="UNIV",VLOOKUP(Input[[#This Row],[Institution Name]],FTSEUNIV[],11,FALSE),Input[[#This Row],[Type]]="TSTC",VLOOKUP(Input[[#This Row],[Institution Name]],FTSETSTC[],10,FALSE)),"N/A")</f>
        <v>N/A</v>
      </c>
      <c r="VD60"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261787311</v>
      </c>
      <c r="VE60"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60" s="338">
        <f>SUM(Input[[#This Row],[Fed G&amp;C E&amp;G]],Input[[#This Row],[Fed G&amp;C Desg]],Input[[#This Row],[Fed G&amp;C R Exp]],Input[[#This Row],[Fed G&amp;C Loan]],Input[[#This Row],[Fed G&amp;C Annuity]],Input[[#This Row],[Fed G&amp;C Unexp]],Input[[#This Row],[Fed G&amp;C R of Ind]],Input[[#This Row],[Fed G&amp;C Inv in P]])</f>
        <v>188721501</v>
      </c>
      <c r="VG60"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99977207</v>
      </c>
      <c r="VH60"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82723185</v>
      </c>
      <c r="VI60"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33739092</v>
      </c>
      <c r="VJ60" s="338">
        <f>SUM(Input[[#This Row],[Oth Inc E&amp;G]],Input[[#This Row],[Oth Exp Desg]],Input[[#This Row],[Oth Exp R Exp]],Input[[#This Row],[Oth Exp Loan]],Input[[#This Row],[Oth Exp Annuity]],Input[[#This Row],[Oth Exp Unexp]],Input[[#This Row],[Oth Exp R of Ind]],Input[[#This Row],[Oth Exp Inv in P]])</f>
        <v>2517867</v>
      </c>
      <c r="VK60" s="343">
        <f>SUM(Input[[#This Row],[Instr E&amp;G]],Input[[#This Row],[Instr Desg]],Input[[#This Row],[Instr R Exp]],Input[[#This Row],[Instr Loan]],Input[[#This Row],[Instr Annuity]],Input[[#This Row],[Instr Unexp]],Input[[#This Row],[Instr R of Ind]],Input[[#This Row],[Instr Inv in P]])</f>
        <v>208218972</v>
      </c>
      <c r="VL60" s="343">
        <f>SUM(Input[[#This Row],[Res E&amp;G]],Input[[#This Row],[Res Desg]],Input[[#This Row],[Res R Exp]],Input[[#This Row],[Res Loan]],Input[[#This Row],[Res Annuity]],Input[[#This Row],[Res Unexp]],Input[[#This Row],[Res R of Ind]],Input[[#This Row],[Res Inv in P]])</f>
        <v>72842702</v>
      </c>
      <c r="VM60" s="343">
        <f>SUM(Input[[#This Row],[Acad Sup E&amp;G]],Input[[#This Row],[Acad Sup Desg]],Input[[#This Row],[Acad Sup R Exp]],Input[[#This Row],[Acad Sup Loan]],Input[[#This Row],[Acad Sup Annuity]],Input[[#This Row],[Acad Sup Unexp]],Input[[#This Row],[Acad Sup R of Ind]],Input[[#This Row],[Acad Sup Inv in P]])</f>
        <v>83752441</v>
      </c>
      <c r="VN60" s="343">
        <f>SUM(Input[[#This Row],[Stu Svc E&amp;G]],Input[[#This Row],[Stu Svc Desg]],Input[[#This Row],[Stu Svc R Exp]],Input[[#This Row],[Stu Svc Loan]],Input[[#This Row],[Stu Svc Annuity]],Input[[#This Row],[Stu Svc Unexp]],Input[[#This Row],[Stu Svc R of Ind]],Input[[#This Row],[Stu Svc Inv in P]])</f>
        <v>33863858</v>
      </c>
      <c r="VO60" s="343">
        <f>SUM(Input[[#This Row],[Inst. Spt E&amp;G]],Input[[#This Row],[Inst. Spt Desg]],Input[[#This Row],[Inst. Spt R Exp]],Input[[#This Row],[Inst. Spt Loan]],Input[[#This Row],[Inst. Spt Annuity]],Input[[#This Row],[Inst. Spt Unexp]],Input[[#This Row],[Inst. Spt R of Ind]],Input[[#This Row],[Inst. Spt Inv in P]])</f>
        <v>41025670</v>
      </c>
      <c r="VP60" s="343">
        <f>SUM(Input[[#This Row],[M&amp;O Plnt E&amp;G]],Input[[#This Row],[M&amp;O Plnt Desg]],Input[[#This Row],[M&amp;O Plnt R Exp]],Input[[#This Row],[M&amp;O Plnt Loan]],Input[[#This Row],[M&amp;O Plnt Annuity]],Input[[#This Row],[M&amp;O Plnt Unexp]],Input[[#This Row],[M&amp;O Plnt R of Ind]],Input[[#This Row],[M&amp;O Plnt Inv in P]])</f>
        <v>44517425</v>
      </c>
      <c r="VQ60" s="343">
        <f>SUM(Input[[#This Row],[Schl &amp; Fell E&amp;G]],Input[[#This Row],[Schl &amp; Fell Desg]],Input[[#This Row],[Schl &amp; Fell R Exp]],Input[[#This Row],[Schl &amp; Fell Loan]],Input[[#This Row],[Schl &amp; Fell Annuity]],Input[[#This Row],[Schl &amp; Fell Unexp]],Input[[#This Row],[Schl &amp; Fell R of Ind]],Input[[#This Row],[Schl &amp; Fell Inv in P]])</f>
        <v>52660471</v>
      </c>
      <c r="VR60" s="343">
        <f>SUM(Input[[#This Row],[Cap Out fund E&amp;G]],Input[[#This Row],[Cap Out fund Desg]],Input[[#This Row],[Cap Out fund R Exp]],Input[[#This Row],[Cap Out fund Loan]],Input[[#This Row],[Cap Out fund Annuity]],Input[[#This Row],[Cap Out fund Unexp]],Input[[#This Row],[Cap Out fund R of Ind]],Input[[#This Row],[Cap Out fund Inv in P]])</f>
        <v>9964748</v>
      </c>
      <c r="VS60" s="343">
        <f>SUM(Input[[#This Row],[Oth Exp E&amp;G]],Input[[#This Row],[Oth Exp Desg]],Input[[#This Row],[Oth Exp R Exp]],Input[[#This Row],[Oth Exp Loan]],Input[[#This Row],[Oth Exp Annuity]],Input[[#This Row],[Oth Exp Unexp]],Input[[#This Row],[Oth Exp R of Ind]],Input[[#This Row],[Oth Exp Inv in P]],Input[[#This Row],[Oth Exp Inv in P]])</f>
        <v>1274923</v>
      </c>
    </row>
    <row r="61" spans="1:591" s="344" customFormat="1" ht="27" customHeight="1" x14ac:dyDescent="0.55000000000000004">
      <c r="A61" s="339" t="s">
        <v>743</v>
      </c>
      <c r="B61" s="334" t="s">
        <v>829</v>
      </c>
      <c r="C61" s="334" t="s">
        <v>14</v>
      </c>
      <c r="D61" s="334">
        <v>500</v>
      </c>
      <c r="E61" s="334" t="s">
        <v>1622</v>
      </c>
      <c r="F61" s="335">
        <v>203599</v>
      </c>
      <c r="G61" s="336">
        <v>50081005</v>
      </c>
      <c r="H61" s="336">
        <v>0</v>
      </c>
      <c r="I61" s="336">
        <v>0</v>
      </c>
      <c r="J61" s="336">
        <v>0</v>
      </c>
      <c r="K61" s="336">
        <v>0</v>
      </c>
      <c r="L61" s="336">
        <v>0</v>
      </c>
      <c r="M61" s="336">
        <v>0</v>
      </c>
      <c r="N61" s="336">
        <v>0</v>
      </c>
      <c r="O61" s="336">
        <v>0</v>
      </c>
      <c r="P61" s="336">
        <v>7106201</v>
      </c>
      <c r="Q61" s="336">
        <v>0</v>
      </c>
      <c r="R61" s="336">
        <v>0</v>
      </c>
      <c r="S61" s="336">
        <v>1708423</v>
      </c>
      <c r="T61" s="336">
        <v>0</v>
      </c>
      <c r="U61" s="336">
        <v>0</v>
      </c>
      <c r="V61" s="336">
        <v>0</v>
      </c>
      <c r="W61" s="336">
        <v>0</v>
      </c>
      <c r="X61" s="336">
        <v>0</v>
      </c>
      <c r="Y61" s="336">
        <v>0</v>
      </c>
      <c r="Z61" s="336">
        <v>0</v>
      </c>
      <c r="AA61" s="336">
        <v>0</v>
      </c>
      <c r="AB61" s="336">
        <v>0</v>
      </c>
      <c r="AC61" s="336">
        <v>0</v>
      </c>
      <c r="AD61" s="336">
        <v>0</v>
      </c>
      <c r="AE61" s="336">
        <v>0</v>
      </c>
      <c r="AF61" s="336">
        <v>0</v>
      </c>
      <c r="AG61" s="336">
        <v>0</v>
      </c>
      <c r="AH61" s="336">
        <v>0</v>
      </c>
      <c r="AI61" s="336">
        <v>0</v>
      </c>
      <c r="AJ61" s="336">
        <v>0</v>
      </c>
      <c r="AK61" s="336">
        <v>0</v>
      </c>
      <c r="AL61" s="336">
        <v>0</v>
      </c>
      <c r="AM61" s="336">
        <v>0</v>
      </c>
      <c r="AN61" s="336">
        <v>0</v>
      </c>
      <c r="AO61" s="336">
        <v>0</v>
      </c>
      <c r="AP61" s="336">
        <v>0</v>
      </c>
      <c r="AQ61" s="336">
        <v>-29737</v>
      </c>
      <c r="AR61" s="336">
        <v>0</v>
      </c>
      <c r="AS61" s="336">
        <v>0</v>
      </c>
      <c r="AT61" s="336">
        <v>0</v>
      </c>
      <c r="AU61" s="336">
        <v>0</v>
      </c>
      <c r="AV61" s="336">
        <v>0</v>
      </c>
      <c r="AW61" s="336">
        <v>0</v>
      </c>
      <c r="AX61" s="336">
        <v>0</v>
      </c>
      <c r="AY61" s="336">
        <v>0</v>
      </c>
      <c r="AZ61" s="336">
        <v>0</v>
      </c>
      <c r="BA61" s="336">
        <v>0</v>
      </c>
      <c r="BB61" s="336">
        <v>0</v>
      </c>
      <c r="BC61" s="336">
        <v>0</v>
      </c>
      <c r="BD61" s="336">
        <v>0</v>
      </c>
      <c r="BE61" s="336">
        <v>0</v>
      </c>
      <c r="BF61" s="336">
        <v>0</v>
      </c>
      <c r="BG61" s="336">
        <v>0</v>
      </c>
      <c r="BH61" s="336">
        <v>0</v>
      </c>
      <c r="BI61" s="336">
        <v>0</v>
      </c>
      <c r="BJ61" s="336">
        <v>0</v>
      </c>
      <c r="BK61" s="336">
        <v>0</v>
      </c>
      <c r="BL61" s="336">
        <v>0</v>
      </c>
      <c r="BM61" s="336">
        <v>0</v>
      </c>
      <c r="BN61" s="336">
        <v>0</v>
      </c>
      <c r="BO61" s="336">
        <v>0</v>
      </c>
      <c r="BP61" s="336">
        <v>0</v>
      </c>
      <c r="BQ61" s="336">
        <v>0</v>
      </c>
      <c r="BR61" s="336">
        <v>0</v>
      </c>
      <c r="BS61" s="336">
        <v>0</v>
      </c>
      <c r="BT61" s="336">
        <v>0</v>
      </c>
      <c r="BU61" s="336">
        <v>0</v>
      </c>
      <c r="BV61" s="336">
        <v>0</v>
      </c>
      <c r="BW61" s="336">
        <v>0</v>
      </c>
      <c r="BX61" s="336">
        <v>0</v>
      </c>
      <c r="BY61" s="336">
        <v>0</v>
      </c>
      <c r="BZ61" s="336">
        <v>0</v>
      </c>
      <c r="CA61" s="336">
        <v>1927272</v>
      </c>
      <c r="CB61" s="336">
        <v>3350954</v>
      </c>
      <c r="CC61" s="336">
        <v>0</v>
      </c>
      <c r="CD61" s="336">
        <v>0</v>
      </c>
      <c r="CE61" s="336">
        <v>0</v>
      </c>
      <c r="CF61" s="336">
        <v>0</v>
      </c>
      <c r="CG61" s="336">
        <v>0</v>
      </c>
      <c r="CH61" s="336">
        <v>0</v>
      </c>
      <c r="CI61" s="336">
        <v>0</v>
      </c>
      <c r="CJ61" s="336">
        <v>0</v>
      </c>
      <c r="CK61" s="336">
        <v>0</v>
      </c>
      <c r="CL61" s="336">
        <v>0</v>
      </c>
      <c r="CM61" s="336">
        <v>0</v>
      </c>
      <c r="CN61" s="336">
        <v>0</v>
      </c>
      <c r="CO61" s="336">
        <v>0</v>
      </c>
      <c r="CP61" s="336">
        <v>0</v>
      </c>
      <c r="CQ61" s="336">
        <v>0</v>
      </c>
      <c r="CR61" s="336">
        <v>0</v>
      </c>
      <c r="CS61" s="336">
        <v>0</v>
      </c>
      <c r="CT61" s="336">
        <v>0</v>
      </c>
      <c r="CU61" s="336">
        <v>0</v>
      </c>
      <c r="CV61" s="336">
        <v>0</v>
      </c>
      <c r="CW61" s="336">
        <v>0</v>
      </c>
      <c r="CX61" s="336">
        <v>0</v>
      </c>
      <c r="CY61" s="336">
        <v>0</v>
      </c>
      <c r="CZ61" s="336">
        <v>0</v>
      </c>
      <c r="DA61" s="336">
        <v>0</v>
      </c>
      <c r="DB61" s="336">
        <v>-71740</v>
      </c>
      <c r="DC61" s="336">
        <v>0</v>
      </c>
      <c r="DD61" s="336">
        <v>0</v>
      </c>
      <c r="DE61" s="336">
        <v>0</v>
      </c>
      <c r="DF61" s="336">
        <v>0</v>
      </c>
      <c r="DG61" s="336">
        <v>0</v>
      </c>
      <c r="DH61" s="336">
        <v>0</v>
      </c>
      <c r="DI61" s="336">
        <v>0</v>
      </c>
      <c r="DJ61" s="336">
        <v>0</v>
      </c>
      <c r="DK61" s="336">
        <v>0</v>
      </c>
      <c r="DL61" s="336">
        <v>0</v>
      </c>
      <c r="DM61" s="336">
        <v>0</v>
      </c>
      <c r="DN61" s="336">
        <v>0</v>
      </c>
      <c r="DO61" s="336">
        <v>0</v>
      </c>
      <c r="DP61" s="336">
        <v>0</v>
      </c>
      <c r="DQ61" s="336">
        <v>0</v>
      </c>
      <c r="DR61" s="336">
        <v>0</v>
      </c>
      <c r="DS61" s="336">
        <v>0</v>
      </c>
      <c r="DT61" s="336">
        <v>36524</v>
      </c>
      <c r="DU61" s="336">
        <v>-68742</v>
      </c>
      <c r="DV61" s="336">
        <v>0</v>
      </c>
      <c r="DW61" s="336">
        <v>0</v>
      </c>
      <c r="DX61" s="336">
        <v>0</v>
      </c>
      <c r="DY61" s="336">
        <v>0</v>
      </c>
      <c r="DZ61" s="336">
        <v>0</v>
      </c>
      <c r="EA61" s="336">
        <v>0</v>
      </c>
      <c r="EB61" s="336">
        <v>0</v>
      </c>
      <c r="EC61" s="336">
        <v>0</v>
      </c>
      <c r="ED61" s="336">
        <v>0</v>
      </c>
      <c r="EE61" s="336">
        <v>0</v>
      </c>
      <c r="EF61" s="336">
        <v>0</v>
      </c>
      <c r="EG61" s="336">
        <v>0</v>
      </c>
      <c r="EH61" s="336">
        <v>0</v>
      </c>
      <c r="EI61" s="336">
        <v>0</v>
      </c>
      <c r="EJ61" s="336">
        <v>0</v>
      </c>
      <c r="EK61" s="336">
        <v>0</v>
      </c>
      <c r="EL61" s="336">
        <v>0</v>
      </c>
      <c r="EM61" s="336">
        <v>0</v>
      </c>
      <c r="EN61" s="336">
        <v>0</v>
      </c>
      <c r="EO61" s="336">
        <v>0</v>
      </c>
      <c r="EP61" s="336">
        <v>0</v>
      </c>
      <c r="EQ61" s="336">
        <v>0</v>
      </c>
      <c r="ER61" s="336">
        <v>0</v>
      </c>
      <c r="ES61" s="336">
        <v>0</v>
      </c>
      <c r="ET61" s="336">
        <v>0</v>
      </c>
      <c r="EU61" s="336">
        <v>0</v>
      </c>
      <c r="EV61" s="336">
        <v>0</v>
      </c>
      <c r="EW61" s="336">
        <v>0</v>
      </c>
      <c r="EX61" s="336">
        <v>0</v>
      </c>
      <c r="EY61" s="336">
        <v>0</v>
      </c>
      <c r="EZ61" s="336">
        <v>0</v>
      </c>
      <c r="FA61" s="336">
        <v>0</v>
      </c>
      <c r="FB61" s="336">
        <v>0</v>
      </c>
      <c r="FC61" s="336">
        <v>0</v>
      </c>
      <c r="FD61" s="336">
        <v>0</v>
      </c>
      <c r="FE61" s="336">
        <v>0</v>
      </c>
      <c r="FF61" s="336">
        <v>0</v>
      </c>
      <c r="FG61" s="336">
        <v>0</v>
      </c>
      <c r="FH61" s="336">
        <v>0</v>
      </c>
      <c r="FI61" s="336">
        <v>0</v>
      </c>
      <c r="FJ61" s="336">
        <v>0</v>
      </c>
      <c r="FK61" s="336">
        <v>0</v>
      </c>
      <c r="FL61" s="336">
        <v>0</v>
      </c>
      <c r="FM61" s="336">
        <v>17046</v>
      </c>
      <c r="FN61" s="336">
        <v>405731</v>
      </c>
      <c r="FO61" s="336">
        <v>359739</v>
      </c>
      <c r="FP61" s="336">
        <v>0</v>
      </c>
      <c r="FQ61" s="336">
        <v>0</v>
      </c>
      <c r="FR61" s="336">
        <v>0</v>
      </c>
      <c r="FS61" s="336">
        <v>0</v>
      </c>
      <c r="FT61" s="336">
        <v>0</v>
      </c>
      <c r="FU61" s="336">
        <v>0</v>
      </c>
      <c r="FV61" s="336">
        <v>0</v>
      </c>
      <c r="FW61" s="336">
        <v>0</v>
      </c>
      <c r="FX61" s="336">
        <v>0</v>
      </c>
      <c r="FY61" s="336">
        <v>0</v>
      </c>
      <c r="FZ61" s="336">
        <v>0</v>
      </c>
      <c r="GA61" s="336">
        <v>0</v>
      </c>
      <c r="GB61" s="336">
        <v>0</v>
      </c>
      <c r="GC61" s="336">
        <v>0</v>
      </c>
      <c r="GD61" s="336">
        <v>0</v>
      </c>
      <c r="GE61" s="336">
        <v>0</v>
      </c>
      <c r="GF61" s="336">
        <v>0</v>
      </c>
      <c r="GG61" s="336">
        <v>0</v>
      </c>
      <c r="GH61" s="336">
        <v>0</v>
      </c>
      <c r="GI61" s="336">
        <v>0</v>
      </c>
      <c r="GJ61" s="336">
        <v>0</v>
      </c>
      <c r="GK61" s="336">
        <v>0</v>
      </c>
      <c r="GL61" s="336">
        <v>0</v>
      </c>
      <c r="GM61" s="336">
        <v>0</v>
      </c>
      <c r="GN61" s="336">
        <v>0</v>
      </c>
      <c r="GO61" s="336">
        <v>0</v>
      </c>
      <c r="GP61" s="336">
        <v>0</v>
      </c>
      <c r="GQ61" s="336">
        <v>0</v>
      </c>
      <c r="GR61" s="336">
        <v>0</v>
      </c>
      <c r="GS61" s="336">
        <v>0</v>
      </c>
      <c r="GT61" s="336">
        <v>0</v>
      </c>
      <c r="GU61" s="336">
        <v>0</v>
      </c>
      <c r="GV61" s="336">
        <v>0</v>
      </c>
      <c r="GW61" s="336">
        <v>0</v>
      </c>
      <c r="GX61" s="336">
        <v>0</v>
      </c>
      <c r="GY61" s="336">
        <v>0</v>
      </c>
      <c r="GZ61" s="336">
        <v>0</v>
      </c>
      <c r="HA61" s="336">
        <v>0</v>
      </c>
      <c r="HB61" s="336">
        <v>0</v>
      </c>
      <c r="HC61" s="336">
        <v>0</v>
      </c>
      <c r="HD61" s="336">
        <v>0</v>
      </c>
      <c r="HE61" s="336">
        <v>0</v>
      </c>
      <c r="HF61" s="336">
        <v>0</v>
      </c>
      <c r="HG61" s="336">
        <v>0</v>
      </c>
      <c r="HH61" s="336">
        <v>-7485</v>
      </c>
      <c r="HI61" s="336">
        <v>0</v>
      </c>
      <c r="HJ61" s="336">
        <v>0</v>
      </c>
      <c r="HK61" s="336">
        <v>0</v>
      </c>
      <c r="HL61" s="336">
        <v>0</v>
      </c>
      <c r="HM61" s="336">
        <v>0</v>
      </c>
      <c r="HN61" s="336">
        <v>0</v>
      </c>
      <c r="HO61" s="336">
        <v>0</v>
      </c>
      <c r="HP61" s="336">
        <v>0</v>
      </c>
      <c r="HQ61" s="336">
        <v>0</v>
      </c>
      <c r="HR61" s="336">
        <v>14960358</v>
      </c>
      <c r="HS61" s="336">
        <v>0</v>
      </c>
      <c r="HT61" s="336">
        <v>0</v>
      </c>
      <c r="HU61" s="336">
        <v>0</v>
      </c>
      <c r="HV61" s="336">
        <v>0</v>
      </c>
      <c r="HW61" s="336">
        <v>0</v>
      </c>
      <c r="HX61" s="336">
        <v>0</v>
      </c>
      <c r="HY61" s="336">
        <v>15330995</v>
      </c>
      <c r="HZ61" s="336">
        <v>0</v>
      </c>
      <c r="IA61" s="336">
        <v>0</v>
      </c>
      <c r="IB61" s="336">
        <v>0</v>
      </c>
      <c r="IC61" s="336">
        <v>0</v>
      </c>
      <c r="ID61" s="336">
        <v>0</v>
      </c>
      <c r="IE61" s="336">
        <v>0</v>
      </c>
      <c r="IF61" s="336">
        <v>0</v>
      </c>
      <c r="IG61" s="336">
        <v>0</v>
      </c>
      <c r="IH61" s="336">
        <v>0</v>
      </c>
      <c r="II61" s="336">
        <v>0</v>
      </c>
      <c r="IJ61" s="336">
        <v>0</v>
      </c>
      <c r="IK61" s="336">
        <v>0</v>
      </c>
      <c r="IL61" s="336">
        <v>0</v>
      </c>
      <c r="IM61" s="336">
        <v>0</v>
      </c>
      <c r="IN61" s="336">
        <v>0</v>
      </c>
      <c r="IO61" s="336">
        <v>0</v>
      </c>
      <c r="IP61" s="336">
        <v>0</v>
      </c>
      <c r="IQ61" s="336">
        <v>1255712</v>
      </c>
      <c r="IR61" s="336">
        <v>0</v>
      </c>
      <c r="IS61" s="336">
        <v>284811</v>
      </c>
      <c r="IT61" s="336">
        <v>0</v>
      </c>
      <c r="IU61" s="336">
        <v>1329</v>
      </c>
      <c r="IV61" s="336">
        <v>0</v>
      </c>
      <c r="IW61" s="336">
        <v>0</v>
      </c>
      <c r="IX61" s="336">
        <v>0</v>
      </c>
      <c r="IY61" s="336">
        <v>0</v>
      </c>
      <c r="IZ61" s="336">
        <v>18084855</v>
      </c>
      <c r="JA61" s="336">
        <v>0</v>
      </c>
      <c r="JB61" s="336">
        <v>126818</v>
      </c>
      <c r="JC61" s="336">
        <v>0</v>
      </c>
      <c r="JD61" s="336">
        <v>0</v>
      </c>
      <c r="JE61" s="336">
        <v>0</v>
      </c>
      <c r="JF61" s="336">
        <v>0</v>
      </c>
      <c r="JG61" s="336">
        <v>0</v>
      </c>
      <c r="JH61" s="336">
        <v>0</v>
      </c>
      <c r="JI61" s="336">
        <v>582659</v>
      </c>
      <c r="JJ61" s="336">
        <v>0</v>
      </c>
      <c r="JK61" s="336">
        <v>4926714</v>
      </c>
      <c r="JL61" s="336">
        <v>0</v>
      </c>
      <c r="JM61" s="336">
        <v>0</v>
      </c>
      <c r="JN61" s="336">
        <v>0</v>
      </c>
      <c r="JO61" s="336">
        <v>0</v>
      </c>
      <c r="JP61" s="336">
        <v>0</v>
      </c>
      <c r="JQ61" s="336">
        <v>0</v>
      </c>
      <c r="JR61" s="336">
        <v>223496</v>
      </c>
      <c r="JS61" s="336">
        <v>0</v>
      </c>
      <c r="JT61" s="336">
        <v>1580552</v>
      </c>
      <c r="JU61" s="336">
        <v>0</v>
      </c>
      <c r="JV61" s="336">
        <v>0</v>
      </c>
      <c r="JW61" s="336">
        <v>0</v>
      </c>
      <c r="JX61" s="336">
        <v>0</v>
      </c>
      <c r="JY61" s="336">
        <v>0</v>
      </c>
      <c r="JZ61" s="336">
        <v>0</v>
      </c>
      <c r="KA61" s="336">
        <v>0</v>
      </c>
      <c r="KB61" s="336">
        <v>126544</v>
      </c>
      <c r="KC61" s="336">
        <v>0</v>
      </c>
      <c r="KD61" s="336">
        <v>0</v>
      </c>
      <c r="KE61" s="336">
        <v>0</v>
      </c>
      <c r="KF61" s="336">
        <v>0</v>
      </c>
      <c r="KG61" s="336">
        <v>0</v>
      </c>
      <c r="KH61" s="336">
        <v>0</v>
      </c>
      <c r="KI61" s="336">
        <v>272699</v>
      </c>
      <c r="KJ61" s="336">
        <v>15652043</v>
      </c>
      <c r="KK61" s="336">
        <v>0</v>
      </c>
      <c r="KL61" s="336">
        <v>0</v>
      </c>
      <c r="KM61" s="336">
        <v>0</v>
      </c>
      <c r="KN61" s="336">
        <v>0</v>
      </c>
      <c r="KO61" s="336">
        <v>0</v>
      </c>
      <c r="KP61" s="336">
        <v>0</v>
      </c>
      <c r="KQ61" s="336">
        <v>0</v>
      </c>
      <c r="KR61" s="336">
        <v>27926464</v>
      </c>
      <c r="KS61" s="336">
        <v>8747442</v>
      </c>
      <c r="KT61" s="336">
        <v>0</v>
      </c>
      <c r="KU61" s="336">
        <v>1369641</v>
      </c>
      <c r="KV61" s="336">
        <v>0</v>
      </c>
      <c r="KW61" s="336">
        <v>0</v>
      </c>
      <c r="KX61" s="336">
        <v>0</v>
      </c>
      <c r="KY61" s="336">
        <v>0</v>
      </c>
      <c r="KZ61" s="336">
        <v>0</v>
      </c>
      <c r="LA61" s="336">
        <v>0</v>
      </c>
      <c r="LB61" s="336">
        <v>0</v>
      </c>
      <c r="LC61" s="336">
        <v>0</v>
      </c>
      <c r="LD61" s="336">
        <v>1044100</v>
      </c>
      <c r="LE61" s="336">
        <v>0</v>
      </c>
      <c r="LF61" s="336">
        <v>0</v>
      </c>
      <c r="LG61" s="336">
        <v>0</v>
      </c>
      <c r="LH61" s="336">
        <v>0</v>
      </c>
      <c r="LI61" s="336">
        <v>0</v>
      </c>
      <c r="LJ61" s="336">
        <v>283590</v>
      </c>
      <c r="LK61" s="336">
        <v>84854</v>
      </c>
      <c r="LL61" s="336">
        <v>0</v>
      </c>
      <c r="LM61" s="336">
        <v>4317543</v>
      </c>
      <c r="LN61" s="336">
        <v>0</v>
      </c>
      <c r="LO61" s="336">
        <v>0</v>
      </c>
      <c r="LP61" s="336">
        <v>0</v>
      </c>
      <c r="LQ61" s="336">
        <v>0</v>
      </c>
      <c r="LR61" s="336">
        <v>0</v>
      </c>
      <c r="LS61" s="336">
        <v>9175662</v>
      </c>
      <c r="LT61" s="336">
        <v>27230917</v>
      </c>
      <c r="LU61" s="336">
        <v>0</v>
      </c>
      <c r="LV61" s="336">
        <v>8298</v>
      </c>
      <c r="LW61" s="336">
        <v>0</v>
      </c>
      <c r="LX61" s="336">
        <v>0</v>
      </c>
      <c r="LY61" s="336">
        <v>0</v>
      </c>
      <c r="LZ61" s="336">
        <v>0</v>
      </c>
      <c r="MA61" s="336">
        <v>0</v>
      </c>
      <c r="MB61" s="336">
        <v>15403394</v>
      </c>
      <c r="MC61" s="336">
        <v>6534540</v>
      </c>
      <c r="MD61" s="336">
        <v>0</v>
      </c>
      <c r="ME61" s="336">
        <v>1773839</v>
      </c>
      <c r="MF61" s="336">
        <v>0</v>
      </c>
      <c r="MG61" s="336">
        <v>0</v>
      </c>
      <c r="MH61" s="336">
        <v>0</v>
      </c>
      <c r="MI61" s="336">
        <v>0</v>
      </c>
      <c r="MJ61" s="336">
        <v>0</v>
      </c>
      <c r="MK61" s="336">
        <v>2316758</v>
      </c>
      <c r="ML61" s="336">
        <v>260463</v>
      </c>
      <c r="MM61" s="336">
        <v>0</v>
      </c>
      <c r="MN61" s="336">
        <v>47321</v>
      </c>
      <c r="MO61" s="336">
        <v>0</v>
      </c>
      <c r="MP61" s="336">
        <v>0</v>
      </c>
      <c r="MQ61" s="336">
        <v>0</v>
      </c>
      <c r="MR61" s="336">
        <v>0</v>
      </c>
      <c r="MS61" s="336">
        <v>0</v>
      </c>
      <c r="MT61" s="336">
        <v>0</v>
      </c>
      <c r="MU61" s="336">
        <v>0</v>
      </c>
      <c r="MV61" s="336">
        <v>0</v>
      </c>
      <c r="MW61" s="336">
        <v>0</v>
      </c>
      <c r="MX61" s="336">
        <v>0</v>
      </c>
      <c r="MY61" s="336">
        <v>0</v>
      </c>
      <c r="MZ61" s="336">
        <v>0</v>
      </c>
      <c r="NA61" s="336">
        <v>0</v>
      </c>
      <c r="NB61" s="336">
        <v>0</v>
      </c>
      <c r="NC61" s="336">
        <v>1695418</v>
      </c>
      <c r="ND61" s="336">
        <v>1352871</v>
      </c>
      <c r="NE61" s="336">
        <v>0</v>
      </c>
      <c r="NF61" s="336">
        <v>0</v>
      </c>
      <c r="NG61" s="336">
        <v>0</v>
      </c>
      <c r="NH61" s="336">
        <v>0</v>
      </c>
      <c r="NI61" s="336">
        <v>294693</v>
      </c>
      <c r="NJ61" s="336">
        <v>0</v>
      </c>
      <c r="NK61" s="336">
        <v>0</v>
      </c>
      <c r="NL61" s="336">
        <v>65313</v>
      </c>
      <c r="NM61" s="336">
        <v>846734</v>
      </c>
      <c r="NN61" s="336">
        <v>0</v>
      </c>
      <c r="NO61" s="336">
        <v>839721</v>
      </c>
      <c r="NP61" s="336">
        <v>0</v>
      </c>
      <c r="NQ61" s="336">
        <v>0</v>
      </c>
      <c r="NR61" s="336">
        <v>0</v>
      </c>
      <c r="NS61" s="336">
        <v>0</v>
      </c>
      <c r="NT61" s="336">
        <v>0</v>
      </c>
      <c r="NU61" s="336">
        <v>0</v>
      </c>
      <c r="NV61" s="336">
        <v>0</v>
      </c>
      <c r="NW61" s="336">
        <v>2111641</v>
      </c>
      <c r="NX61" s="336">
        <v>0</v>
      </c>
      <c r="NY61" s="336">
        <v>0</v>
      </c>
      <c r="NZ61" s="336">
        <v>0</v>
      </c>
      <c r="OA61" s="336">
        <v>0</v>
      </c>
      <c r="OB61" s="336">
        <v>0</v>
      </c>
      <c r="OC61" s="336">
        <v>0</v>
      </c>
      <c r="OD61" s="336">
        <v>82829</v>
      </c>
      <c r="OE61" s="336">
        <v>33484</v>
      </c>
      <c r="OF61" s="336">
        <v>0</v>
      </c>
      <c r="OG61" s="336">
        <v>379340</v>
      </c>
      <c r="OH61" s="336">
        <v>0</v>
      </c>
      <c r="OI61" s="336">
        <v>0</v>
      </c>
      <c r="OJ61" s="336">
        <v>0</v>
      </c>
      <c r="OK61" s="336">
        <v>0</v>
      </c>
      <c r="OL61" s="336">
        <v>0</v>
      </c>
      <c r="OM61" s="336">
        <v>8162</v>
      </c>
      <c r="ON61" s="336">
        <v>262422</v>
      </c>
      <c r="OO61" s="336">
        <v>0</v>
      </c>
      <c r="OP61" s="336">
        <v>0</v>
      </c>
      <c r="OQ61" s="336">
        <v>0</v>
      </c>
      <c r="OR61" s="336">
        <v>0</v>
      </c>
      <c r="OS61" s="336">
        <v>0</v>
      </c>
      <c r="OT61" s="336">
        <v>0</v>
      </c>
      <c r="OU61" s="336">
        <v>46390</v>
      </c>
      <c r="OV61" s="336">
        <v>0</v>
      </c>
      <c r="OW61" s="336">
        <v>0</v>
      </c>
      <c r="OX61" s="336">
        <v>0</v>
      </c>
      <c r="OY61" s="336">
        <v>0</v>
      </c>
      <c r="OZ61" s="336">
        <v>0</v>
      </c>
      <c r="PA61" s="336">
        <v>0</v>
      </c>
      <c r="PB61" s="336">
        <v>-63913736</v>
      </c>
      <c r="PC61" s="336">
        <v>0</v>
      </c>
      <c r="PD61" s="336">
        <v>0</v>
      </c>
      <c r="PE61" s="336">
        <v>-990037</v>
      </c>
      <c r="PF61" s="336">
        <v>-1703329</v>
      </c>
      <c r="PG61" s="336">
        <v>717417</v>
      </c>
      <c r="PH61" s="336">
        <v>-12651472</v>
      </c>
      <c r="PI61" s="336">
        <v>0</v>
      </c>
      <c r="PJ61" s="336">
        <v>7043</v>
      </c>
      <c r="PK61" s="336">
        <v>-37827</v>
      </c>
      <c r="PL61" s="336">
        <v>0</v>
      </c>
      <c r="PM61" s="336">
        <v>5999699</v>
      </c>
      <c r="PN61" s="336">
        <v>0</v>
      </c>
      <c r="PO61" s="336">
        <v>0</v>
      </c>
      <c r="PP61" s="336">
        <v>0</v>
      </c>
      <c r="PQ61" s="336">
        <v>0</v>
      </c>
      <c r="PR61" s="336">
        <v>0</v>
      </c>
      <c r="PS61" s="336">
        <v>0</v>
      </c>
      <c r="PT61" s="336">
        <v>26125652</v>
      </c>
      <c r="PU61" s="336">
        <v>0</v>
      </c>
      <c r="PV61" s="336">
        <v>0</v>
      </c>
      <c r="PW61" s="336">
        <v>0</v>
      </c>
      <c r="PX61" s="336">
        <v>-143943</v>
      </c>
      <c r="PY61" s="336">
        <v>-85400</v>
      </c>
      <c r="PZ61" s="336">
        <v>0</v>
      </c>
      <c r="QA61" s="336">
        <v>0</v>
      </c>
      <c r="QB61" s="336">
        <v>0</v>
      </c>
      <c r="QC61" s="336">
        <v>0</v>
      </c>
      <c r="QD61" s="336">
        <v>0</v>
      </c>
      <c r="QE61" s="336">
        <v>0</v>
      </c>
      <c r="QF61" s="336">
        <v>0</v>
      </c>
      <c r="QG61" s="336">
        <v>0</v>
      </c>
      <c r="QH61" s="336">
        <v>0</v>
      </c>
      <c r="QI61" s="336">
        <v>0</v>
      </c>
      <c r="QJ61" s="336">
        <v>0</v>
      </c>
      <c r="QK61" s="336">
        <v>417275</v>
      </c>
      <c r="QL61" s="336">
        <v>0</v>
      </c>
      <c r="QM61" s="336">
        <v>0</v>
      </c>
      <c r="QN61" s="336">
        <v>0</v>
      </c>
      <c r="QO61" s="336">
        <v>0</v>
      </c>
      <c r="QP61" s="336">
        <v>0</v>
      </c>
      <c r="QQ61" s="336">
        <v>0</v>
      </c>
      <c r="QR61" s="336">
        <v>0</v>
      </c>
      <c r="QS61" s="336">
        <v>0</v>
      </c>
      <c r="QT61" s="336">
        <v>2595108</v>
      </c>
      <c r="QU61" s="336">
        <v>0</v>
      </c>
      <c r="QV61" s="336">
        <v>0</v>
      </c>
      <c r="QW61" s="336">
        <v>0</v>
      </c>
      <c r="QX61" s="336">
        <v>0</v>
      </c>
      <c r="QY61" s="336">
        <v>0</v>
      </c>
      <c r="QZ61" s="336">
        <v>0</v>
      </c>
      <c r="RA61" s="336">
        <v>0</v>
      </c>
      <c r="RB61" s="336">
        <v>0</v>
      </c>
      <c r="RC61" s="336">
        <v>0</v>
      </c>
      <c r="RD61" s="336">
        <v>0</v>
      </c>
      <c r="RE61" s="336">
        <v>0</v>
      </c>
      <c r="RF61" s="336">
        <v>0</v>
      </c>
      <c r="RG61" s="336">
        <v>0</v>
      </c>
      <c r="RH61" s="336">
        <v>0</v>
      </c>
      <c r="RI61" s="336">
        <v>0</v>
      </c>
      <c r="RJ61" s="336">
        <v>0</v>
      </c>
      <c r="RK61" s="336">
        <v>0</v>
      </c>
      <c r="RL61" s="336">
        <v>0</v>
      </c>
      <c r="RM61" s="336">
        <v>0</v>
      </c>
      <c r="RN61" s="336">
        <v>0</v>
      </c>
      <c r="RO61" s="336">
        <v>-15771707</v>
      </c>
      <c r="RP61" s="336">
        <v>0</v>
      </c>
      <c r="RQ61" s="336">
        <v>0</v>
      </c>
      <c r="RR61" s="336">
        <v>0</v>
      </c>
      <c r="RS61" s="336">
        <v>0</v>
      </c>
      <c r="RT61" s="336">
        <v>0</v>
      </c>
      <c r="RU61" s="336">
        <v>0</v>
      </c>
      <c r="RV61" s="336">
        <v>0</v>
      </c>
      <c r="RW61" s="336">
        <v>0</v>
      </c>
      <c r="RX61" s="336">
        <v>0</v>
      </c>
      <c r="RY61" s="336">
        <v>0</v>
      </c>
      <c r="RZ61" s="336">
        <v>0</v>
      </c>
      <c r="SA61" s="336">
        <v>0</v>
      </c>
      <c r="SB61" s="336">
        <v>0</v>
      </c>
      <c r="SC61" s="336">
        <v>0</v>
      </c>
      <c r="SD61" s="336">
        <v>0</v>
      </c>
      <c r="SE61" s="336">
        <v>0</v>
      </c>
      <c r="SF61" s="336">
        <v>0</v>
      </c>
      <c r="SG61" s="336">
        <v>0</v>
      </c>
      <c r="SH61" s="336">
        <v>0</v>
      </c>
      <c r="SI61" s="336">
        <v>0</v>
      </c>
      <c r="SJ61" s="336">
        <v>0</v>
      </c>
      <c r="SK61" s="336">
        <v>0</v>
      </c>
      <c r="SL61" s="336">
        <v>0</v>
      </c>
      <c r="SM61" s="336">
        <v>0</v>
      </c>
      <c r="SN61" s="336">
        <v>0</v>
      </c>
      <c r="SO61" s="336">
        <v>0</v>
      </c>
      <c r="SP61" s="336">
        <v>60671</v>
      </c>
      <c r="SQ61" s="336">
        <v>0</v>
      </c>
      <c r="SR61" s="336">
        <v>0</v>
      </c>
      <c r="SS61" s="336">
        <v>0</v>
      </c>
      <c r="ST61" s="336">
        <v>0</v>
      </c>
      <c r="SU61" s="336">
        <v>0</v>
      </c>
      <c r="SV61" s="336">
        <v>0</v>
      </c>
      <c r="SW61" s="336">
        <v>0</v>
      </c>
      <c r="SX61" s="336">
        <v>0</v>
      </c>
      <c r="SY61" s="336">
        <v>64409389</v>
      </c>
      <c r="SZ61" s="336" t="s">
        <v>1420</v>
      </c>
      <c r="TA61" s="336" t="s">
        <v>1420</v>
      </c>
      <c r="TB61" s="336" t="s">
        <v>1420</v>
      </c>
      <c r="TC61" s="336">
        <v>99119</v>
      </c>
      <c r="TD61" s="336">
        <v>0</v>
      </c>
      <c r="TE61" s="336">
        <v>9106</v>
      </c>
      <c r="TF61" s="336">
        <v>17194</v>
      </c>
      <c r="TG61" s="336">
        <v>370234</v>
      </c>
      <c r="TH61" s="336">
        <v>0</v>
      </c>
      <c r="TI61" s="336">
        <v>0</v>
      </c>
      <c r="TJ61" s="336">
        <v>0</v>
      </c>
      <c r="TK61" s="336">
        <v>0</v>
      </c>
      <c r="TL61" s="336">
        <v>0</v>
      </c>
      <c r="TM61" s="336">
        <v>0</v>
      </c>
      <c r="TN61" s="336">
        <v>0</v>
      </c>
      <c r="TO61" s="336">
        <v>0</v>
      </c>
      <c r="TP61" s="336">
        <v>0</v>
      </c>
      <c r="TQ61" s="336">
        <v>0</v>
      </c>
      <c r="TR61" s="336">
        <v>0</v>
      </c>
      <c r="TS61" s="336">
        <v>0</v>
      </c>
      <c r="TT61" s="336">
        <v>0</v>
      </c>
      <c r="TU61" s="336">
        <v>0</v>
      </c>
      <c r="TV61" s="336">
        <v>0</v>
      </c>
      <c r="TW61" s="336">
        <v>0</v>
      </c>
      <c r="TX61" s="336">
        <v>0</v>
      </c>
      <c r="TY61" s="336">
        <v>0</v>
      </c>
      <c r="TZ61" s="336">
        <v>0</v>
      </c>
      <c r="UA61" s="336">
        <v>0</v>
      </c>
      <c r="UB61" s="336">
        <v>0</v>
      </c>
      <c r="UC61" s="336">
        <v>0</v>
      </c>
      <c r="UD61" s="336">
        <v>0</v>
      </c>
      <c r="UE61" s="336">
        <v>0</v>
      </c>
      <c r="UF61" s="336">
        <v>0</v>
      </c>
      <c r="UG61" s="336">
        <v>0</v>
      </c>
      <c r="UH61" s="336">
        <v>38043547</v>
      </c>
      <c r="UI61" s="336">
        <v>1044100</v>
      </c>
      <c r="UJ61" s="336">
        <v>4685987</v>
      </c>
      <c r="UK61" s="336">
        <v>36414877</v>
      </c>
      <c r="UL61" s="336">
        <v>23711773</v>
      </c>
      <c r="UM61" s="336">
        <v>2624542</v>
      </c>
      <c r="UN61" s="336">
        <v>0</v>
      </c>
      <c r="UO61" s="336">
        <v>3342982</v>
      </c>
      <c r="UP61" s="336">
        <v>1751768</v>
      </c>
      <c r="UQ61" s="336">
        <v>2111641</v>
      </c>
      <c r="UR61"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495653</v>
      </c>
      <c r="US61" s="338">
        <f>SUM(Input[[#This Row],[Oth Exp E&amp;G]],Input[[#This Row],[Oth Exp Desg]],Input[[#This Row],[Oth Exp Aux]],Input[[#This Row],[Oth Exp R Exp]],Input[[#This Row],[Oth Exp Loan]],Input[[#This Row],[Oth Exp Annuity]],Input[[#This Row],[Oth Exp Unexp]],Input[[#This Row],[Oth Exp R of Ind]],Input[[#This Row],[Oth Exp Inv in P]])</f>
        <v>316974</v>
      </c>
      <c r="UT61" s="336">
        <v>0</v>
      </c>
      <c r="UU61" s="336">
        <v>0</v>
      </c>
      <c r="UV61" s="339" t="s">
        <v>1562</v>
      </c>
      <c r="UW61" s="340">
        <v>9566657906</v>
      </c>
      <c r="UX61" s="339" t="s">
        <v>1563</v>
      </c>
      <c r="UY61" s="339" t="s">
        <v>1564</v>
      </c>
      <c r="UZ61" s="340">
        <v>9568828262</v>
      </c>
      <c r="VA61" s="339"/>
      <c r="VB61" s="341" cm="1">
        <f t="array" ref="VB61">IFERROR(_xlfn.IFS(Input[[#This Row],[Type]]="HRI",VLOOKUP(Input[[#This Row],[Institution Name]],FTSEHRI[],9,FALSE),Input[[#This Row],[Type]]="UNIV",VLOOKUP(Input[[#This Row],[Institution Name]],FTSEUNIV[],9,FALSE),OR(Input[[#This Row],[Type]]="TSTC",Input[[#This Row],[Type]]="LSC"),VLOOKUP(Input[[#This Row],[Institution Name]],FTSETSTC[],8,FALSE)),"N/A")</f>
        <v>287</v>
      </c>
      <c r="VC61" s="342" t="str" cm="1">
        <f t="array" ref="VC61">IFERROR(_xlfn.IFS(Input[[#This Row],[Type]]="HRI",VLOOKUP(Input[[#This Row],[Institution Name]],FTSEHRI[],11,FALSE),Input[[#This Row],[Type]]="UNIV",VLOOKUP(Input[[#This Row],[Institution Name]],FTSEUNIV[],11,FALSE),Input[[#This Row],[Type]]="TSTC",VLOOKUP(Input[[#This Row],[Institution Name]],FTSETSTC[],10,FALSE)),"N/A")</f>
        <v>N/A</v>
      </c>
      <c r="VD61"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58895629</v>
      </c>
      <c r="VE61"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61" s="338">
        <f>SUM(Input[[#This Row],[Fed G&amp;C E&amp;G]],Input[[#This Row],[Fed G&amp;C Desg]],Input[[#This Row],[Fed G&amp;C R Exp]],Input[[#This Row],[Fed G&amp;C Loan]],Input[[#This Row],[Fed G&amp;C Annuity]],Input[[#This Row],[Fed G&amp;C Unexp]],Input[[#This Row],[Fed G&amp;C R of Ind]],Input[[#This Row],[Fed G&amp;C Inv in P]])</f>
        <v>14960358</v>
      </c>
      <c r="VG61"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42991688</v>
      </c>
      <c r="VH61"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5174268</v>
      </c>
      <c r="VI61"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422777</v>
      </c>
      <c r="VJ61" s="338">
        <f>SUM(Input[[#This Row],[Oth Inc E&amp;G]],Input[[#This Row],[Oth Exp Desg]],Input[[#This Row],[Oth Exp R Exp]],Input[[#This Row],[Oth Exp Loan]],Input[[#This Row],[Oth Exp Annuity]],Input[[#This Row],[Oth Exp Unexp]],Input[[#This Row],[Oth Exp R of Ind]],Input[[#This Row],[Oth Exp Inv in P]])</f>
        <v>581511</v>
      </c>
      <c r="VK61" s="343">
        <f>SUM(Input[[#This Row],[Instr E&amp;G]],Input[[#This Row],[Instr Desg]],Input[[#This Row],[Instr R Exp]],Input[[#This Row],[Instr Loan]],Input[[#This Row],[Instr Annuity]],Input[[#This Row],[Instr Unexp]],Input[[#This Row],[Instr R of Ind]],Input[[#This Row],[Instr Inv in P]])</f>
        <v>38043547</v>
      </c>
      <c r="VL61" s="343">
        <f>SUM(Input[[#This Row],[Res E&amp;G]],Input[[#This Row],[Res Desg]],Input[[#This Row],[Res R Exp]],Input[[#This Row],[Res Loan]],Input[[#This Row],[Res Annuity]],Input[[#This Row],[Res Unexp]],Input[[#This Row],[Res R of Ind]],Input[[#This Row],[Res Inv in P]])</f>
        <v>1044100</v>
      </c>
      <c r="VM61" s="343">
        <f>SUM(Input[[#This Row],[Acad Sup E&amp;G]],Input[[#This Row],[Acad Sup Desg]],Input[[#This Row],[Acad Sup R Exp]],Input[[#This Row],[Acad Sup Loan]],Input[[#This Row],[Acad Sup Annuity]],Input[[#This Row],[Acad Sup Unexp]],Input[[#This Row],[Acad Sup R of Ind]],Input[[#This Row],[Acad Sup Inv in P]])</f>
        <v>23711773</v>
      </c>
      <c r="VN61" s="343">
        <f>SUM(Input[[#This Row],[Stu Svc E&amp;G]],Input[[#This Row],[Stu Svc Desg]],Input[[#This Row],[Stu Svc R Exp]],Input[[#This Row],[Stu Svc Loan]],Input[[#This Row],[Stu Svc Annuity]],Input[[#This Row],[Stu Svc Unexp]],Input[[#This Row],[Stu Svc R of Ind]],Input[[#This Row],[Stu Svc Inv in P]])</f>
        <v>2624542</v>
      </c>
      <c r="VO61" s="343">
        <f>SUM(Input[[#This Row],[Inst. Spt E&amp;G]],Input[[#This Row],[Inst. Spt Desg]],Input[[#This Row],[Inst. Spt R Exp]],Input[[#This Row],[Inst. Spt Loan]],Input[[#This Row],[Inst. Spt Annuity]],Input[[#This Row],[Inst. Spt Unexp]],Input[[#This Row],[Inst. Spt R of Ind]],Input[[#This Row],[Inst. Spt Inv in P]])</f>
        <v>0</v>
      </c>
      <c r="VP61" s="343">
        <f>SUM(Input[[#This Row],[M&amp;O Plnt E&amp;G]],Input[[#This Row],[M&amp;O Plnt Desg]],Input[[#This Row],[M&amp;O Plnt R Exp]],Input[[#This Row],[M&amp;O Plnt Loan]],Input[[#This Row],[M&amp;O Plnt Annuity]],Input[[#This Row],[M&amp;O Plnt Unexp]],Input[[#This Row],[M&amp;O Plnt R of Ind]],Input[[#This Row],[M&amp;O Plnt Inv in P]])</f>
        <v>3342982</v>
      </c>
      <c r="VQ61" s="343">
        <f>SUM(Input[[#This Row],[Schl &amp; Fell E&amp;G]],Input[[#This Row],[Schl &amp; Fell Desg]],Input[[#This Row],[Schl &amp; Fell R Exp]],Input[[#This Row],[Schl &amp; Fell Loan]],Input[[#This Row],[Schl &amp; Fell Annuity]],Input[[#This Row],[Schl &amp; Fell Unexp]],Input[[#This Row],[Schl &amp; Fell R of Ind]],Input[[#This Row],[Schl &amp; Fell Inv in P]])</f>
        <v>1751768</v>
      </c>
      <c r="VR61" s="343">
        <f>SUM(Input[[#This Row],[Cap Out fund E&amp;G]],Input[[#This Row],[Cap Out fund Desg]],Input[[#This Row],[Cap Out fund R Exp]],Input[[#This Row],[Cap Out fund Loan]],Input[[#This Row],[Cap Out fund Annuity]],Input[[#This Row],[Cap Out fund Unexp]],Input[[#This Row],[Cap Out fund R of Ind]],Input[[#This Row],[Cap Out fund Inv in P]])</f>
        <v>495653</v>
      </c>
      <c r="VS61" s="343">
        <f>SUM(Input[[#This Row],[Oth Exp E&amp;G]],Input[[#This Row],[Oth Exp Desg]],Input[[#This Row],[Oth Exp R Exp]],Input[[#This Row],[Oth Exp Loan]],Input[[#This Row],[Oth Exp Annuity]],Input[[#This Row],[Oth Exp Unexp]],Input[[#This Row],[Oth Exp R of Ind]],Input[[#This Row],[Oth Exp Inv in P]],Input[[#This Row],[Oth Exp Inv in P]])</f>
        <v>363364</v>
      </c>
    </row>
    <row r="62" spans="1:591" s="344" customFormat="1" ht="27" customHeight="1" x14ac:dyDescent="0.55000000000000004">
      <c r="A62" s="339" t="s">
        <v>64</v>
      </c>
      <c r="B62" s="334" t="s">
        <v>829</v>
      </c>
      <c r="C62" s="334" t="s">
        <v>21</v>
      </c>
      <c r="D62" s="334">
        <v>110</v>
      </c>
      <c r="E62" s="334" t="s">
        <v>1623</v>
      </c>
      <c r="F62" s="335">
        <v>10115</v>
      </c>
      <c r="G62" s="336">
        <v>187120681</v>
      </c>
      <c r="H62" s="336">
        <v>0</v>
      </c>
      <c r="I62" s="336">
        <v>0</v>
      </c>
      <c r="J62" s="336">
        <v>0</v>
      </c>
      <c r="K62" s="336">
        <v>0</v>
      </c>
      <c r="L62" s="336">
        <v>0</v>
      </c>
      <c r="M62" s="336">
        <v>0</v>
      </c>
      <c r="N62" s="336">
        <v>0</v>
      </c>
      <c r="O62" s="336">
        <v>0</v>
      </c>
      <c r="P62" s="336">
        <v>32251433</v>
      </c>
      <c r="Q62" s="336">
        <v>350000</v>
      </c>
      <c r="R62" s="336">
        <v>0</v>
      </c>
      <c r="S62" s="336">
        <v>1475055</v>
      </c>
      <c r="T62" s="336">
        <v>0</v>
      </c>
      <c r="U62" s="336">
        <v>0</v>
      </c>
      <c r="V62" s="336">
        <v>0</v>
      </c>
      <c r="W62" s="336">
        <v>0</v>
      </c>
      <c r="X62" s="336">
        <v>0</v>
      </c>
      <c r="Y62" s="336">
        <v>0</v>
      </c>
      <c r="Z62" s="336">
        <v>0</v>
      </c>
      <c r="AA62" s="336">
        <v>0</v>
      </c>
      <c r="AB62" s="336">
        <v>0</v>
      </c>
      <c r="AC62" s="336">
        <v>0</v>
      </c>
      <c r="AD62" s="336">
        <v>0</v>
      </c>
      <c r="AE62" s="336">
        <v>0</v>
      </c>
      <c r="AF62" s="336">
        <v>0</v>
      </c>
      <c r="AG62" s="336">
        <v>0</v>
      </c>
      <c r="AH62" s="336">
        <v>0</v>
      </c>
      <c r="AI62" s="336">
        <v>0</v>
      </c>
      <c r="AJ62" s="336">
        <v>0</v>
      </c>
      <c r="AK62" s="336">
        <v>0</v>
      </c>
      <c r="AL62" s="336">
        <v>0</v>
      </c>
      <c r="AM62" s="336">
        <v>0</v>
      </c>
      <c r="AN62" s="336">
        <v>0</v>
      </c>
      <c r="AO62" s="336">
        <v>0</v>
      </c>
      <c r="AP62" s="336">
        <v>0</v>
      </c>
      <c r="AQ62" s="336">
        <v>-12575513</v>
      </c>
      <c r="AR62" s="336">
        <v>0</v>
      </c>
      <c r="AS62" s="336">
        <v>0</v>
      </c>
      <c r="AT62" s="336">
        <v>0</v>
      </c>
      <c r="AU62" s="336">
        <v>0</v>
      </c>
      <c r="AV62" s="336">
        <v>0</v>
      </c>
      <c r="AW62" s="336">
        <v>0</v>
      </c>
      <c r="AX62" s="336">
        <v>0</v>
      </c>
      <c r="AY62" s="336">
        <v>0</v>
      </c>
      <c r="AZ62" s="336">
        <v>0</v>
      </c>
      <c r="BA62" s="336">
        <v>0</v>
      </c>
      <c r="BB62" s="336">
        <v>0</v>
      </c>
      <c r="BC62" s="336">
        <v>0</v>
      </c>
      <c r="BD62" s="336">
        <v>0</v>
      </c>
      <c r="BE62" s="336">
        <v>0</v>
      </c>
      <c r="BF62" s="336">
        <v>0</v>
      </c>
      <c r="BG62" s="336">
        <v>0</v>
      </c>
      <c r="BH62" s="336">
        <v>0</v>
      </c>
      <c r="BI62" s="336">
        <v>0</v>
      </c>
      <c r="BJ62" s="336">
        <v>0</v>
      </c>
      <c r="BK62" s="336">
        <v>0</v>
      </c>
      <c r="BL62" s="336">
        <v>0</v>
      </c>
      <c r="BM62" s="336">
        <v>0</v>
      </c>
      <c r="BN62" s="336">
        <v>0</v>
      </c>
      <c r="BO62" s="336">
        <v>0</v>
      </c>
      <c r="BP62" s="336">
        <v>0</v>
      </c>
      <c r="BQ62" s="336">
        <v>0</v>
      </c>
      <c r="BR62" s="336">
        <v>0</v>
      </c>
      <c r="BS62" s="336">
        <v>0</v>
      </c>
      <c r="BT62" s="336">
        <v>0</v>
      </c>
      <c r="BU62" s="336">
        <v>0</v>
      </c>
      <c r="BV62" s="336">
        <v>0</v>
      </c>
      <c r="BW62" s="336">
        <v>0</v>
      </c>
      <c r="BX62" s="336">
        <v>0</v>
      </c>
      <c r="BY62" s="336">
        <v>0</v>
      </c>
      <c r="BZ62" s="336">
        <v>0</v>
      </c>
      <c r="CA62" s="336">
        <v>49331376</v>
      </c>
      <c r="CB62" s="336">
        <v>180456154</v>
      </c>
      <c r="CC62" s="336">
        <v>0</v>
      </c>
      <c r="CD62" s="336">
        <v>0</v>
      </c>
      <c r="CE62" s="336">
        <v>0</v>
      </c>
      <c r="CF62" s="336">
        <v>0</v>
      </c>
      <c r="CG62" s="336">
        <v>0</v>
      </c>
      <c r="CH62" s="336">
        <v>0</v>
      </c>
      <c r="CI62" s="336">
        <v>0</v>
      </c>
      <c r="CJ62" s="336">
        <v>0</v>
      </c>
      <c r="CK62" s="336">
        <v>0</v>
      </c>
      <c r="CL62" s="336">
        <v>0</v>
      </c>
      <c r="CM62" s="336">
        <v>0</v>
      </c>
      <c r="CN62" s="336">
        <v>0</v>
      </c>
      <c r="CO62" s="336">
        <v>0</v>
      </c>
      <c r="CP62" s="336">
        <v>0</v>
      </c>
      <c r="CQ62" s="336">
        <v>0</v>
      </c>
      <c r="CR62" s="336">
        <v>0</v>
      </c>
      <c r="CS62" s="336">
        <v>0</v>
      </c>
      <c r="CT62" s="336">
        <v>0</v>
      </c>
      <c r="CU62" s="336">
        <v>0</v>
      </c>
      <c r="CV62" s="336">
        <v>0</v>
      </c>
      <c r="CW62" s="336">
        <v>0</v>
      </c>
      <c r="CX62" s="336">
        <v>0</v>
      </c>
      <c r="CY62" s="336">
        <v>0</v>
      </c>
      <c r="CZ62" s="336">
        <v>0</v>
      </c>
      <c r="DA62" s="336">
        <v>0</v>
      </c>
      <c r="DB62" s="336">
        <v>-3904061</v>
      </c>
      <c r="DC62" s="336">
        <v>-20118907</v>
      </c>
      <c r="DD62" s="336">
        <v>0</v>
      </c>
      <c r="DE62" s="336">
        <v>0</v>
      </c>
      <c r="DF62" s="336">
        <v>0</v>
      </c>
      <c r="DG62" s="336">
        <v>0</v>
      </c>
      <c r="DH62" s="336">
        <v>0</v>
      </c>
      <c r="DI62" s="336">
        <v>0</v>
      </c>
      <c r="DJ62" s="336">
        <v>0</v>
      </c>
      <c r="DK62" s="336">
        <v>0</v>
      </c>
      <c r="DL62" s="336">
        <v>0</v>
      </c>
      <c r="DM62" s="336">
        <v>0</v>
      </c>
      <c r="DN62" s="336">
        <v>0</v>
      </c>
      <c r="DO62" s="336">
        <v>0</v>
      </c>
      <c r="DP62" s="336">
        <v>0</v>
      </c>
      <c r="DQ62" s="336">
        <v>0</v>
      </c>
      <c r="DR62" s="336">
        <v>0</v>
      </c>
      <c r="DS62" s="336">
        <v>0</v>
      </c>
      <c r="DT62" s="336">
        <v>-14220809</v>
      </c>
      <c r="DU62" s="336">
        <v>-46295024</v>
      </c>
      <c r="DV62" s="336">
        <v>0</v>
      </c>
      <c r="DW62" s="336">
        <v>0</v>
      </c>
      <c r="DX62" s="336">
        <v>0</v>
      </c>
      <c r="DY62" s="336">
        <v>0</v>
      </c>
      <c r="DZ62" s="336">
        <v>0</v>
      </c>
      <c r="EA62" s="336">
        <v>0</v>
      </c>
      <c r="EB62" s="336">
        <v>0</v>
      </c>
      <c r="EC62" s="336">
        <v>0</v>
      </c>
      <c r="ED62" s="336">
        <v>0</v>
      </c>
      <c r="EE62" s="336">
        <v>0</v>
      </c>
      <c r="EF62" s="336">
        <v>0</v>
      </c>
      <c r="EG62" s="336">
        <v>0</v>
      </c>
      <c r="EH62" s="336">
        <v>0</v>
      </c>
      <c r="EI62" s="336">
        <v>0</v>
      </c>
      <c r="EJ62" s="336">
        <v>0</v>
      </c>
      <c r="EK62" s="336">
        <v>0</v>
      </c>
      <c r="EL62" s="336">
        <v>0</v>
      </c>
      <c r="EM62" s="336">
        <v>0</v>
      </c>
      <c r="EN62" s="336">
        <v>0</v>
      </c>
      <c r="EO62" s="336">
        <v>0</v>
      </c>
      <c r="EP62" s="336">
        <v>0</v>
      </c>
      <c r="EQ62" s="336">
        <v>0</v>
      </c>
      <c r="ER62" s="336">
        <v>0</v>
      </c>
      <c r="ES62" s="336">
        <v>0</v>
      </c>
      <c r="ET62" s="336">
        <v>0</v>
      </c>
      <c r="EU62" s="336">
        <v>0</v>
      </c>
      <c r="EV62" s="336">
        <v>0</v>
      </c>
      <c r="EW62" s="336">
        <v>0</v>
      </c>
      <c r="EX62" s="336">
        <v>0</v>
      </c>
      <c r="EY62" s="336">
        <v>0</v>
      </c>
      <c r="EZ62" s="336">
        <v>0</v>
      </c>
      <c r="FA62" s="336">
        <v>0</v>
      </c>
      <c r="FB62" s="336">
        <v>0</v>
      </c>
      <c r="FC62" s="336">
        <v>0</v>
      </c>
      <c r="FD62" s="336">
        <v>0</v>
      </c>
      <c r="FE62" s="336">
        <v>0</v>
      </c>
      <c r="FF62" s="336">
        <v>0</v>
      </c>
      <c r="FG62" s="336">
        <v>0</v>
      </c>
      <c r="FH62" s="336">
        <v>0</v>
      </c>
      <c r="FI62" s="336">
        <v>0</v>
      </c>
      <c r="FJ62" s="336">
        <v>0</v>
      </c>
      <c r="FK62" s="336">
        <v>0</v>
      </c>
      <c r="FL62" s="336">
        <v>0</v>
      </c>
      <c r="FM62" s="336">
        <v>5548414</v>
      </c>
      <c r="FN62" s="336">
        <v>110230707</v>
      </c>
      <c r="FO62" s="336">
        <v>37842664</v>
      </c>
      <c r="FP62" s="336">
        <v>0</v>
      </c>
      <c r="FQ62" s="336">
        <v>0</v>
      </c>
      <c r="FR62" s="336">
        <v>0</v>
      </c>
      <c r="FS62" s="336">
        <v>0</v>
      </c>
      <c r="FT62" s="336">
        <v>0</v>
      </c>
      <c r="FU62" s="336">
        <v>0</v>
      </c>
      <c r="FV62" s="336">
        <v>0</v>
      </c>
      <c r="FW62" s="336">
        <v>0</v>
      </c>
      <c r="FX62" s="336">
        <v>0</v>
      </c>
      <c r="FY62" s="336">
        <v>0</v>
      </c>
      <c r="FZ62" s="336">
        <v>0</v>
      </c>
      <c r="GA62" s="336">
        <v>0</v>
      </c>
      <c r="GB62" s="336">
        <v>0</v>
      </c>
      <c r="GC62" s="336">
        <v>0</v>
      </c>
      <c r="GD62" s="336">
        <v>0</v>
      </c>
      <c r="GE62" s="336">
        <v>0</v>
      </c>
      <c r="GF62" s="336">
        <v>0</v>
      </c>
      <c r="GG62" s="336">
        <v>0</v>
      </c>
      <c r="GH62" s="336">
        <v>0</v>
      </c>
      <c r="GI62" s="336">
        <v>0</v>
      </c>
      <c r="GJ62" s="336">
        <v>0</v>
      </c>
      <c r="GK62" s="336">
        <v>0</v>
      </c>
      <c r="GL62" s="336">
        <v>0</v>
      </c>
      <c r="GM62" s="336">
        <v>0</v>
      </c>
      <c r="GN62" s="336">
        <v>0</v>
      </c>
      <c r="GO62" s="336">
        <v>0</v>
      </c>
      <c r="GP62" s="336">
        <v>-2837845</v>
      </c>
      <c r="GQ62" s="336">
        <v>0</v>
      </c>
      <c r="GR62" s="336">
        <v>0</v>
      </c>
      <c r="GS62" s="336">
        <v>0</v>
      </c>
      <c r="GT62" s="336">
        <v>0</v>
      </c>
      <c r="GU62" s="336">
        <v>0</v>
      </c>
      <c r="GV62" s="336">
        <v>0</v>
      </c>
      <c r="GW62" s="336">
        <v>0</v>
      </c>
      <c r="GX62" s="336">
        <v>0</v>
      </c>
      <c r="GY62" s="336">
        <v>0</v>
      </c>
      <c r="GZ62" s="336">
        <v>0</v>
      </c>
      <c r="HA62" s="336">
        <v>0</v>
      </c>
      <c r="HB62" s="336">
        <v>0</v>
      </c>
      <c r="HC62" s="336">
        <v>0</v>
      </c>
      <c r="HD62" s="336">
        <v>0</v>
      </c>
      <c r="HE62" s="336">
        <v>0</v>
      </c>
      <c r="HF62" s="336">
        <v>-2038546</v>
      </c>
      <c r="HG62" s="336">
        <v>-40568606</v>
      </c>
      <c r="HH62" s="336">
        <v>-11005040</v>
      </c>
      <c r="HI62" s="336">
        <v>0</v>
      </c>
      <c r="HJ62" s="336">
        <v>0</v>
      </c>
      <c r="HK62" s="336">
        <v>0</v>
      </c>
      <c r="HL62" s="336">
        <v>0</v>
      </c>
      <c r="HM62" s="336">
        <v>0</v>
      </c>
      <c r="HN62" s="336">
        <v>0</v>
      </c>
      <c r="HO62" s="336">
        <v>181588</v>
      </c>
      <c r="HP62" s="336">
        <v>15103820</v>
      </c>
      <c r="HQ62" s="336">
        <v>0</v>
      </c>
      <c r="HR62" s="336">
        <v>148998244</v>
      </c>
      <c r="HS62" s="336">
        <v>0</v>
      </c>
      <c r="HT62" s="336">
        <v>0</v>
      </c>
      <c r="HU62" s="336">
        <v>0</v>
      </c>
      <c r="HV62" s="336">
        <v>0</v>
      </c>
      <c r="HW62" s="336">
        <v>0</v>
      </c>
      <c r="HX62" s="336">
        <v>0</v>
      </c>
      <c r="HY62" s="336">
        <v>0</v>
      </c>
      <c r="HZ62" s="336">
        <v>0</v>
      </c>
      <c r="IA62" s="336">
        <v>0</v>
      </c>
      <c r="IB62" s="336">
        <v>0</v>
      </c>
      <c r="IC62" s="336">
        <v>0</v>
      </c>
      <c r="ID62" s="336">
        <v>0</v>
      </c>
      <c r="IE62" s="336">
        <v>0</v>
      </c>
      <c r="IF62" s="336">
        <v>0</v>
      </c>
      <c r="IG62" s="336">
        <v>0</v>
      </c>
      <c r="IH62" s="336">
        <v>0</v>
      </c>
      <c r="II62" s="336">
        <v>0</v>
      </c>
      <c r="IJ62" s="336">
        <v>0</v>
      </c>
      <c r="IK62" s="336">
        <v>0</v>
      </c>
      <c r="IL62" s="336">
        <v>0</v>
      </c>
      <c r="IM62" s="336">
        <v>0</v>
      </c>
      <c r="IN62" s="336">
        <v>0</v>
      </c>
      <c r="IO62" s="336">
        <v>0</v>
      </c>
      <c r="IP62" s="336">
        <v>2557626</v>
      </c>
      <c r="IQ62" s="336">
        <v>22630206</v>
      </c>
      <c r="IR62" s="336">
        <v>3666313</v>
      </c>
      <c r="IS62" s="336">
        <v>7229921</v>
      </c>
      <c r="IT62" s="336">
        <v>1445</v>
      </c>
      <c r="IU62" s="336">
        <v>994</v>
      </c>
      <c r="IV62" s="336">
        <v>791546</v>
      </c>
      <c r="IW62" s="336">
        <v>0</v>
      </c>
      <c r="IX62" s="336">
        <v>0</v>
      </c>
      <c r="IY62" s="336">
        <v>0</v>
      </c>
      <c r="IZ62" s="336">
        <v>751562</v>
      </c>
      <c r="JA62" s="336">
        <v>0</v>
      </c>
      <c r="JB62" s="336">
        <v>3614302</v>
      </c>
      <c r="JC62" s="336">
        <v>0</v>
      </c>
      <c r="JD62" s="336">
        <v>0</v>
      </c>
      <c r="JE62" s="336">
        <v>0</v>
      </c>
      <c r="JF62" s="336">
        <v>0</v>
      </c>
      <c r="JG62" s="336">
        <v>0</v>
      </c>
      <c r="JH62" s="336">
        <v>0</v>
      </c>
      <c r="JI62" s="336">
        <v>1047809</v>
      </c>
      <c r="JJ62" s="336">
        <v>0</v>
      </c>
      <c r="JK62" s="336">
        <v>20904462</v>
      </c>
      <c r="JL62" s="336">
        <v>0</v>
      </c>
      <c r="JM62" s="336">
        <v>0</v>
      </c>
      <c r="JN62" s="336">
        <v>0</v>
      </c>
      <c r="JO62" s="336">
        <v>0</v>
      </c>
      <c r="JP62" s="336">
        <v>0</v>
      </c>
      <c r="JQ62" s="336">
        <v>0</v>
      </c>
      <c r="JR62" s="336">
        <v>12728109</v>
      </c>
      <c r="JS62" s="336">
        <v>0</v>
      </c>
      <c r="JT62" s="336">
        <v>1344164</v>
      </c>
      <c r="JU62" s="336">
        <v>0</v>
      </c>
      <c r="JV62" s="336">
        <v>0</v>
      </c>
      <c r="JW62" s="336">
        <v>0</v>
      </c>
      <c r="JX62" s="336">
        <v>0</v>
      </c>
      <c r="JY62" s="336">
        <v>0</v>
      </c>
      <c r="JZ62" s="336">
        <v>0</v>
      </c>
      <c r="KA62" s="336">
        <v>0</v>
      </c>
      <c r="KB62" s="336">
        <v>68105926</v>
      </c>
      <c r="KC62" s="336">
        <v>0</v>
      </c>
      <c r="KD62" s="336">
        <v>0</v>
      </c>
      <c r="KE62" s="336">
        <v>0</v>
      </c>
      <c r="KF62" s="336">
        <v>0</v>
      </c>
      <c r="KG62" s="336">
        <v>0</v>
      </c>
      <c r="KH62" s="336">
        <v>0</v>
      </c>
      <c r="KI62" s="336">
        <v>0</v>
      </c>
      <c r="KJ62" s="336">
        <v>4314745</v>
      </c>
      <c r="KK62" s="336">
        <v>0</v>
      </c>
      <c r="KL62" s="336">
        <v>1582644</v>
      </c>
      <c r="KM62" s="336">
        <v>418755</v>
      </c>
      <c r="KN62" s="336">
        <v>0</v>
      </c>
      <c r="KO62" s="336">
        <v>0</v>
      </c>
      <c r="KP62" s="336">
        <v>0</v>
      </c>
      <c r="KQ62" s="336">
        <v>-422923</v>
      </c>
      <c r="KR62" s="336">
        <v>106531101</v>
      </c>
      <c r="KS62" s="336">
        <v>27597281</v>
      </c>
      <c r="KT62" s="336">
        <v>0</v>
      </c>
      <c r="KU62" s="336">
        <v>3703507</v>
      </c>
      <c r="KV62" s="336">
        <v>0</v>
      </c>
      <c r="KW62" s="336">
        <v>0</v>
      </c>
      <c r="KX62" s="336">
        <v>0</v>
      </c>
      <c r="KY62" s="336">
        <v>0</v>
      </c>
      <c r="KZ62" s="336">
        <v>0</v>
      </c>
      <c r="LA62" s="336">
        <v>63999913</v>
      </c>
      <c r="LB62" s="336">
        <v>17970113</v>
      </c>
      <c r="LC62" s="336">
        <v>0</v>
      </c>
      <c r="LD62" s="336">
        <v>64337469</v>
      </c>
      <c r="LE62" s="336">
        <v>0</v>
      </c>
      <c r="LF62" s="336">
        <v>0</v>
      </c>
      <c r="LG62" s="336">
        <v>0</v>
      </c>
      <c r="LH62" s="336">
        <v>0</v>
      </c>
      <c r="LI62" s="336">
        <v>0</v>
      </c>
      <c r="LJ62" s="336">
        <v>5893562</v>
      </c>
      <c r="LK62" s="336">
        <v>1257600</v>
      </c>
      <c r="LL62" s="336">
        <v>0</v>
      </c>
      <c r="LM62" s="336">
        <v>6501153</v>
      </c>
      <c r="LN62" s="336">
        <v>0</v>
      </c>
      <c r="LO62" s="336">
        <v>0</v>
      </c>
      <c r="LP62" s="336">
        <v>0</v>
      </c>
      <c r="LQ62" s="336">
        <v>0</v>
      </c>
      <c r="LR62" s="336">
        <v>0</v>
      </c>
      <c r="LS62" s="336">
        <v>0</v>
      </c>
      <c r="LT62" s="336">
        <v>0</v>
      </c>
      <c r="LU62" s="336">
        <v>0</v>
      </c>
      <c r="LV62" s="336">
        <v>0</v>
      </c>
      <c r="LW62" s="336">
        <v>0</v>
      </c>
      <c r="LX62" s="336">
        <v>0</v>
      </c>
      <c r="LY62" s="336">
        <v>0</v>
      </c>
      <c r="LZ62" s="336">
        <v>0</v>
      </c>
      <c r="MA62" s="336">
        <v>0</v>
      </c>
      <c r="MB62" s="336">
        <v>30681702</v>
      </c>
      <c r="MC62" s="336">
        <v>59847043</v>
      </c>
      <c r="MD62" s="336">
        <v>0</v>
      </c>
      <c r="ME62" s="336">
        <v>7665774</v>
      </c>
      <c r="MF62" s="336">
        <v>0</v>
      </c>
      <c r="MG62" s="336">
        <v>0</v>
      </c>
      <c r="MH62" s="336">
        <v>0</v>
      </c>
      <c r="MI62" s="336">
        <v>0</v>
      </c>
      <c r="MJ62" s="336">
        <v>0</v>
      </c>
      <c r="MK62" s="336">
        <v>6537917</v>
      </c>
      <c r="ML62" s="336">
        <v>30453180</v>
      </c>
      <c r="MM62" s="336">
        <v>0</v>
      </c>
      <c r="MN62" s="336">
        <v>2074466</v>
      </c>
      <c r="MO62" s="336">
        <v>606991</v>
      </c>
      <c r="MP62" s="336">
        <v>0</v>
      </c>
      <c r="MQ62" s="336">
        <v>0</v>
      </c>
      <c r="MR62" s="336">
        <v>0</v>
      </c>
      <c r="MS62" s="336">
        <v>0</v>
      </c>
      <c r="MT62" s="336">
        <v>16532022</v>
      </c>
      <c r="MU62" s="336">
        <v>32241669</v>
      </c>
      <c r="MV62" s="336">
        <v>0</v>
      </c>
      <c r="MW62" s="336">
        <v>2007115</v>
      </c>
      <c r="MX62" s="336">
        <v>0</v>
      </c>
      <c r="MY62" s="336">
        <v>0</v>
      </c>
      <c r="MZ62" s="336">
        <v>0</v>
      </c>
      <c r="NA62" s="336">
        <v>0</v>
      </c>
      <c r="NB62" s="336">
        <v>0</v>
      </c>
      <c r="NC62" s="336">
        <v>17124639</v>
      </c>
      <c r="ND62" s="336">
        <v>34767619</v>
      </c>
      <c r="NE62" s="336">
        <v>0</v>
      </c>
      <c r="NF62" s="336">
        <v>70503</v>
      </c>
      <c r="NG62" s="336">
        <v>0</v>
      </c>
      <c r="NH62" s="336">
        <v>0</v>
      </c>
      <c r="NI62" s="336">
        <v>5572487</v>
      </c>
      <c r="NJ62" s="336">
        <v>0</v>
      </c>
      <c r="NK62" s="336">
        <v>0</v>
      </c>
      <c r="NL62" s="336">
        <v>10589835</v>
      </c>
      <c r="NM62" s="336">
        <v>20251372</v>
      </c>
      <c r="NN62" s="336">
        <v>0</v>
      </c>
      <c r="NO62" s="336">
        <v>24411362</v>
      </c>
      <c r="NP62" s="336">
        <v>0</v>
      </c>
      <c r="NQ62" s="336">
        <v>0</v>
      </c>
      <c r="NR62" s="336">
        <v>0</v>
      </c>
      <c r="NS62" s="336">
        <v>0</v>
      </c>
      <c r="NT62" s="336">
        <v>0</v>
      </c>
      <c r="NU62" s="336">
        <v>0</v>
      </c>
      <c r="NV62" s="336">
        <v>814390</v>
      </c>
      <c r="NW62" s="336">
        <v>70648836</v>
      </c>
      <c r="NX62" s="336">
        <v>2688867</v>
      </c>
      <c r="NY62" s="336">
        <v>0</v>
      </c>
      <c r="NZ62" s="336">
        <v>0</v>
      </c>
      <c r="OA62" s="336">
        <v>0</v>
      </c>
      <c r="OB62" s="336">
        <v>0</v>
      </c>
      <c r="OC62" s="336">
        <v>0</v>
      </c>
      <c r="OD62" s="336">
        <v>390364</v>
      </c>
      <c r="OE62" s="336">
        <v>8914683</v>
      </c>
      <c r="OF62" s="336">
        <v>1850328</v>
      </c>
      <c r="OG62" s="336">
        <v>2496534</v>
      </c>
      <c r="OH62" s="336">
        <v>0</v>
      </c>
      <c r="OI62" s="336">
        <v>0</v>
      </c>
      <c r="OJ62" s="336">
        <v>0</v>
      </c>
      <c r="OK62" s="336">
        <v>0</v>
      </c>
      <c r="OL62" s="336">
        <v>0</v>
      </c>
      <c r="OM62" s="336">
        <v>3134</v>
      </c>
      <c r="ON62" s="336">
        <v>373750</v>
      </c>
      <c r="OO62" s="336">
        <v>677325</v>
      </c>
      <c r="OP62" s="336">
        <v>5924</v>
      </c>
      <c r="OQ62" s="336">
        <v>-34074</v>
      </c>
      <c r="OR62" s="336">
        <v>0</v>
      </c>
      <c r="OS62" s="336">
        <v>0</v>
      </c>
      <c r="OT62" s="336">
        <v>0</v>
      </c>
      <c r="OU62" s="336">
        <v>0</v>
      </c>
      <c r="OV62" s="336">
        <v>0</v>
      </c>
      <c r="OW62" s="336">
        <v>0</v>
      </c>
      <c r="OX62" s="336">
        <v>0</v>
      </c>
      <c r="OY62" s="336">
        <v>0</v>
      </c>
      <c r="OZ62" s="336">
        <v>0</v>
      </c>
      <c r="PA62" s="336">
        <v>0</v>
      </c>
      <c r="PB62" s="336">
        <v>-87496803</v>
      </c>
      <c r="PC62" s="336">
        <v>0</v>
      </c>
      <c r="PD62" s="336">
        <v>0</v>
      </c>
      <c r="PE62" s="336">
        <v>27849106</v>
      </c>
      <c r="PF62" s="336">
        <v>31529706</v>
      </c>
      <c r="PG62" s="336">
        <v>1586627</v>
      </c>
      <c r="PH62" s="336">
        <v>-83738889</v>
      </c>
      <c r="PI62" s="336">
        <v>-1199317</v>
      </c>
      <c r="PJ62" s="336">
        <v>14385803</v>
      </c>
      <c r="PK62" s="336">
        <v>7481276</v>
      </c>
      <c r="PL62" s="336">
        <v>0</v>
      </c>
      <c r="PM62" s="336">
        <v>21436675</v>
      </c>
      <c r="PN62" s="336">
        <v>0</v>
      </c>
      <c r="PO62" s="336">
        <v>0</v>
      </c>
      <c r="PP62" s="336">
        <v>0</v>
      </c>
      <c r="PQ62" s="336">
        <v>0</v>
      </c>
      <c r="PR62" s="336">
        <v>0</v>
      </c>
      <c r="PS62" s="336">
        <v>0</v>
      </c>
      <c r="PT62" s="336">
        <v>41583888</v>
      </c>
      <c r="PU62" s="336">
        <v>0</v>
      </c>
      <c r="PV62" s="336">
        <v>0</v>
      </c>
      <c r="PW62" s="336">
        <v>-21210141</v>
      </c>
      <c r="PX62" s="336">
        <v>-5717092</v>
      </c>
      <c r="PY62" s="336">
        <v>-19384594</v>
      </c>
      <c r="PZ62" s="336">
        <v>-58075</v>
      </c>
      <c r="QA62" s="336">
        <v>0</v>
      </c>
      <c r="QB62" s="336">
        <v>0</v>
      </c>
      <c r="QC62" s="336">
        <v>0</v>
      </c>
      <c r="QD62" s="336">
        <v>0</v>
      </c>
      <c r="QE62" s="336">
        <v>0</v>
      </c>
      <c r="QF62" s="336">
        <v>0</v>
      </c>
      <c r="QG62" s="336">
        <v>30281301</v>
      </c>
      <c r="QH62" s="336">
        <v>6830325</v>
      </c>
      <c r="QI62" s="336">
        <v>1534342</v>
      </c>
      <c r="QJ62" s="336">
        <v>0</v>
      </c>
      <c r="QK62" s="336">
        <v>10996346</v>
      </c>
      <c r="QL62" s="336">
        <v>0</v>
      </c>
      <c r="QM62" s="336">
        <v>0</v>
      </c>
      <c r="QN62" s="336">
        <v>0</v>
      </c>
      <c r="QO62" s="336">
        <v>0</v>
      </c>
      <c r="QP62" s="336">
        <v>0</v>
      </c>
      <c r="QQ62" s="336">
        <v>0</v>
      </c>
      <c r="QR62" s="336">
        <v>0</v>
      </c>
      <c r="QS62" s="336">
        <v>0</v>
      </c>
      <c r="QT62" s="336">
        <v>3016197</v>
      </c>
      <c r="QU62" s="336">
        <v>0</v>
      </c>
      <c r="QV62" s="336">
        <v>0</v>
      </c>
      <c r="QW62" s="336">
        <v>0</v>
      </c>
      <c r="QX62" s="336">
        <v>0</v>
      </c>
      <c r="QY62" s="336">
        <v>0</v>
      </c>
      <c r="QZ62" s="336">
        <v>0</v>
      </c>
      <c r="RA62" s="336">
        <v>0</v>
      </c>
      <c r="RB62" s="336">
        <v>0</v>
      </c>
      <c r="RC62" s="336">
        <v>0</v>
      </c>
      <c r="RD62" s="336">
        <v>0</v>
      </c>
      <c r="RE62" s="336">
        <v>0</v>
      </c>
      <c r="RF62" s="336">
        <v>0</v>
      </c>
      <c r="RG62" s="336">
        <v>0</v>
      </c>
      <c r="RH62" s="336">
        <v>0</v>
      </c>
      <c r="RI62" s="336">
        <v>0</v>
      </c>
      <c r="RJ62" s="336">
        <v>0</v>
      </c>
      <c r="RK62" s="336">
        <v>0</v>
      </c>
      <c r="RL62" s="336">
        <v>0</v>
      </c>
      <c r="RM62" s="336">
        <v>0</v>
      </c>
      <c r="RN62" s="336">
        <v>0</v>
      </c>
      <c r="RO62" s="336">
        <v>-79834035</v>
      </c>
      <c r="RP62" s="336">
        <v>0</v>
      </c>
      <c r="RQ62" s="336">
        <v>0</v>
      </c>
      <c r="RR62" s="336">
        <v>0</v>
      </c>
      <c r="RS62" s="336">
        <v>0</v>
      </c>
      <c r="RT62" s="336">
        <v>0</v>
      </c>
      <c r="RU62" s="336">
        <v>0</v>
      </c>
      <c r="RV62" s="336">
        <v>0</v>
      </c>
      <c r="RW62" s="336">
        <v>0</v>
      </c>
      <c r="RX62" s="336">
        <v>0</v>
      </c>
      <c r="RY62" s="336">
        <v>0</v>
      </c>
      <c r="RZ62" s="336">
        <v>0</v>
      </c>
      <c r="SA62" s="336">
        <v>0</v>
      </c>
      <c r="SB62" s="336">
        <v>0</v>
      </c>
      <c r="SC62" s="336">
        <v>0</v>
      </c>
      <c r="SD62" s="336">
        <v>0</v>
      </c>
      <c r="SE62" s="336">
        <v>0</v>
      </c>
      <c r="SF62" s="336">
        <v>0</v>
      </c>
      <c r="SG62" s="336">
        <v>0</v>
      </c>
      <c r="SH62" s="336">
        <v>0</v>
      </c>
      <c r="SI62" s="336">
        <v>0</v>
      </c>
      <c r="SJ62" s="336">
        <v>0</v>
      </c>
      <c r="SK62" s="336">
        <v>0</v>
      </c>
      <c r="SL62" s="336">
        <v>0</v>
      </c>
      <c r="SM62" s="336">
        <v>0</v>
      </c>
      <c r="SN62" s="336">
        <v>0</v>
      </c>
      <c r="SO62" s="336">
        <v>0</v>
      </c>
      <c r="SP62" s="336">
        <v>1111590</v>
      </c>
      <c r="SQ62" s="336">
        <v>0</v>
      </c>
      <c r="SR62" s="336">
        <v>0</v>
      </c>
      <c r="SS62" s="336">
        <v>0</v>
      </c>
      <c r="ST62" s="336">
        <v>0</v>
      </c>
      <c r="SU62" s="336">
        <v>0</v>
      </c>
      <c r="SV62" s="336">
        <v>0</v>
      </c>
      <c r="SW62" s="336">
        <v>0</v>
      </c>
      <c r="SX62" s="336">
        <v>0</v>
      </c>
      <c r="SY62" s="336">
        <v>101148712</v>
      </c>
      <c r="SZ62" s="336" t="s">
        <v>1420</v>
      </c>
      <c r="TA62" s="336" t="s">
        <v>1420</v>
      </c>
      <c r="TB62" s="336" t="s">
        <v>1420</v>
      </c>
      <c r="TC62" s="336">
        <v>336063</v>
      </c>
      <c r="TD62" s="336">
        <v>6030184</v>
      </c>
      <c r="TE62" s="336">
        <v>62452</v>
      </c>
      <c r="TF62" s="336">
        <v>0</v>
      </c>
      <c r="TG62" s="336">
        <v>4095797</v>
      </c>
      <c r="TH62" s="336">
        <v>18300</v>
      </c>
      <c r="TI62" s="336">
        <v>1116379</v>
      </c>
      <c r="TJ62" s="336">
        <v>142406</v>
      </c>
      <c r="TK62" s="336">
        <v>0</v>
      </c>
      <c r="TL62" s="336">
        <v>1850328</v>
      </c>
      <c r="TM62" s="336">
        <v>0</v>
      </c>
      <c r="TN62" s="336">
        <v>173793</v>
      </c>
      <c r="TO62" s="336">
        <v>1628536</v>
      </c>
      <c r="TP62" s="336">
        <v>1219829</v>
      </c>
      <c r="TQ62" s="336">
        <v>0</v>
      </c>
      <c r="TR62" s="336">
        <v>0</v>
      </c>
      <c r="TS62" s="336">
        <v>0</v>
      </c>
      <c r="TT62" s="336">
        <v>0</v>
      </c>
      <c r="TU62" s="336">
        <v>0</v>
      </c>
      <c r="TV62" s="336">
        <v>0</v>
      </c>
      <c r="TW62" s="336">
        <v>0</v>
      </c>
      <c r="TX62" s="336">
        <v>854360</v>
      </c>
      <c r="TY62" s="336">
        <v>0</v>
      </c>
      <c r="TZ62" s="336">
        <v>0</v>
      </c>
      <c r="UA62" s="336">
        <v>0</v>
      </c>
      <c r="UB62" s="336">
        <v>0</v>
      </c>
      <c r="UC62" s="336">
        <v>0</v>
      </c>
      <c r="UD62" s="336">
        <v>0</v>
      </c>
      <c r="UE62" s="336">
        <v>0</v>
      </c>
      <c r="UF62" s="336">
        <v>0</v>
      </c>
      <c r="UG62" s="336">
        <v>0</v>
      </c>
      <c r="UH62" s="336">
        <v>137831889</v>
      </c>
      <c r="UI62" s="336">
        <v>146307495</v>
      </c>
      <c r="UJ62" s="336">
        <v>13652315</v>
      </c>
      <c r="UK62" s="336">
        <v>0</v>
      </c>
      <c r="UL62" s="336">
        <v>98194519</v>
      </c>
      <c r="UM62" s="336">
        <v>39672554</v>
      </c>
      <c r="UN62" s="336">
        <v>50780806</v>
      </c>
      <c r="UO62" s="336">
        <v>57535248</v>
      </c>
      <c r="UP62" s="336">
        <v>55252569</v>
      </c>
      <c r="UQ62" s="336">
        <v>74152093</v>
      </c>
      <c r="UR62"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13651909</v>
      </c>
      <c r="US62" s="338">
        <f>SUM(Input[[#This Row],[Oth Exp E&amp;G]],Input[[#This Row],[Oth Exp Desg]],Input[[#This Row],[Oth Exp Aux]],Input[[#This Row],[Oth Exp R Exp]],Input[[#This Row],[Oth Exp Loan]],Input[[#This Row],[Oth Exp Annuity]],Input[[#This Row],[Oth Exp Unexp]],Input[[#This Row],[Oth Exp R of Ind]],Input[[#This Row],[Oth Exp Inv in P]])</f>
        <v>1026059</v>
      </c>
      <c r="UT62" s="336">
        <v>18159618</v>
      </c>
      <c r="UU62" s="336">
        <v>49642314</v>
      </c>
      <c r="UV62" s="339" t="s">
        <v>1425</v>
      </c>
      <c r="UW62" s="340">
        <v>2104584216</v>
      </c>
      <c r="UX62" s="339" t="s">
        <v>1426</v>
      </c>
      <c r="UY62" s="339" t="s">
        <v>1427</v>
      </c>
      <c r="UZ62" s="340">
        <v>2104584345</v>
      </c>
      <c r="VA62" s="339"/>
      <c r="VB62" s="341" cm="1">
        <f t="array" ref="VB62">IFERROR(_xlfn.IFS(Input[[#This Row],[Type]]="HRI",VLOOKUP(Input[[#This Row],[Institution Name]],FTSEHRI[],9,FALSE),Input[[#This Row],[Type]]="UNIV",VLOOKUP(Input[[#This Row],[Institution Name]],FTSEUNIV[],9,FALSE),OR(Input[[#This Row],[Type]]="TSTC",Input[[#This Row],[Type]]="LSC"),VLOOKUP(Input[[#This Row],[Institution Name]],FTSETSTC[],8,FALSE)),"N/A")</f>
        <v>28223.53</v>
      </c>
      <c r="VC62" s="342" t="str" cm="1">
        <f t="array" ref="VC62">IFERROR(_xlfn.IFS(Input[[#This Row],[Type]]="HRI",VLOOKUP(Input[[#This Row],[Institution Name]],FTSEHRI[],11,FALSE),Input[[#This Row],[Type]]="UNIV",VLOOKUP(Input[[#This Row],[Institution Name]],FTSEUNIV[],11,FALSE),Input[[#This Row],[Type]]="TSTC",VLOOKUP(Input[[#This Row],[Institution Name]],FTSETSTC[],10,FALSE)),"N/A")</f>
        <v>N/A</v>
      </c>
      <c r="VD62"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221197169</v>
      </c>
      <c r="VE62"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62" s="338">
        <f>SUM(Input[[#This Row],[Fed G&amp;C E&amp;G]],Input[[#This Row],[Fed G&amp;C Desg]],Input[[#This Row],[Fed G&amp;C R Exp]],Input[[#This Row],[Fed G&amp;C Loan]],Input[[#This Row],[Fed G&amp;C Annuity]],Input[[#This Row],[Fed G&amp;C Unexp]],Input[[#This Row],[Fed G&amp;C R of Ind]],Input[[#This Row],[Fed G&amp;C Inv in P]])</f>
        <v>164283652</v>
      </c>
      <c r="VG62"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79495367</v>
      </c>
      <c r="VH62"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145248729</v>
      </c>
      <c r="VI62"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73171969</v>
      </c>
      <c r="VJ62" s="338">
        <f>SUM(Input[[#This Row],[Oth Inc E&amp;G]],Input[[#This Row],[Oth Exp Desg]],Input[[#This Row],[Oth Exp R Exp]],Input[[#This Row],[Oth Exp Loan]],Input[[#This Row],[Oth Exp Annuity]],Input[[#This Row],[Oth Exp Unexp]],Input[[#This Row],[Oth Exp R of Ind]],Input[[#This Row],[Oth Exp Inv in P]])</f>
        <v>345600</v>
      </c>
      <c r="VK62" s="343">
        <f>SUM(Input[[#This Row],[Instr E&amp;G]],Input[[#This Row],[Instr Desg]],Input[[#This Row],[Instr R Exp]],Input[[#This Row],[Instr Loan]],Input[[#This Row],[Instr Annuity]],Input[[#This Row],[Instr Unexp]],Input[[#This Row],[Instr R of Ind]],Input[[#This Row],[Instr Inv in P]])</f>
        <v>137831889</v>
      </c>
      <c r="VL62" s="343">
        <f>SUM(Input[[#This Row],[Res E&amp;G]],Input[[#This Row],[Res Desg]],Input[[#This Row],[Res R Exp]],Input[[#This Row],[Res Loan]],Input[[#This Row],[Res Annuity]],Input[[#This Row],[Res Unexp]],Input[[#This Row],[Res R of Ind]],Input[[#This Row],[Res Inv in P]])</f>
        <v>146307495</v>
      </c>
      <c r="VM62" s="343">
        <f>SUM(Input[[#This Row],[Acad Sup E&amp;G]],Input[[#This Row],[Acad Sup Desg]],Input[[#This Row],[Acad Sup R Exp]],Input[[#This Row],[Acad Sup Loan]],Input[[#This Row],[Acad Sup Annuity]],Input[[#This Row],[Acad Sup Unexp]],Input[[#This Row],[Acad Sup R of Ind]],Input[[#This Row],[Acad Sup Inv in P]])</f>
        <v>98194519</v>
      </c>
      <c r="VN62" s="343">
        <f>SUM(Input[[#This Row],[Stu Svc E&amp;G]],Input[[#This Row],[Stu Svc Desg]],Input[[#This Row],[Stu Svc R Exp]],Input[[#This Row],[Stu Svc Loan]],Input[[#This Row],[Stu Svc Annuity]],Input[[#This Row],[Stu Svc Unexp]],Input[[#This Row],[Stu Svc R of Ind]],Input[[#This Row],[Stu Svc Inv in P]])</f>
        <v>39672554</v>
      </c>
      <c r="VO62" s="343">
        <f>SUM(Input[[#This Row],[Inst. Spt E&amp;G]],Input[[#This Row],[Inst. Spt Desg]],Input[[#This Row],[Inst. Spt R Exp]],Input[[#This Row],[Inst. Spt Loan]],Input[[#This Row],[Inst. Spt Annuity]],Input[[#This Row],[Inst. Spt Unexp]],Input[[#This Row],[Inst. Spt R of Ind]],Input[[#This Row],[Inst. Spt Inv in P]])</f>
        <v>50780806</v>
      </c>
      <c r="VP62" s="343">
        <f>SUM(Input[[#This Row],[M&amp;O Plnt E&amp;G]],Input[[#This Row],[M&amp;O Plnt Desg]],Input[[#This Row],[M&amp;O Plnt R Exp]],Input[[#This Row],[M&amp;O Plnt Loan]],Input[[#This Row],[M&amp;O Plnt Annuity]],Input[[#This Row],[M&amp;O Plnt Unexp]],Input[[#This Row],[M&amp;O Plnt R of Ind]],Input[[#This Row],[M&amp;O Plnt Inv in P]])</f>
        <v>57535248</v>
      </c>
      <c r="VQ62" s="343">
        <f>SUM(Input[[#This Row],[Schl &amp; Fell E&amp;G]],Input[[#This Row],[Schl &amp; Fell Desg]],Input[[#This Row],[Schl &amp; Fell R Exp]],Input[[#This Row],[Schl &amp; Fell Loan]],Input[[#This Row],[Schl &amp; Fell Annuity]],Input[[#This Row],[Schl &amp; Fell Unexp]],Input[[#This Row],[Schl &amp; Fell R of Ind]],Input[[#This Row],[Schl &amp; Fell Inv in P]])</f>
        <v>55252569</v>
      </c>
      <c r="VR62" s="343">
        <f>SUM(Input[[#This Row],[Cap Out fund E&amp;G]],Input[[#This Row],[Cap Out fund Desg]],Input[[#This Row],[Cap Out fund R Exp]],Input[[#This Row],[Cap Out fund Loan]],Input[[#This Row],[Cap Out fund Annuity]],Input[[#This Row],[Cap Out fund Unexp]],Input[[#This Row],[Cap Out fund R of Ind]],Input[[#This Row],[Cap Out fund Inv in P]])</f>
        <v>11801581</v>
      </c>
      <c r="VS62" s="343">
        <f>SUM(Input[[#This Row],[Oth Exp E&amp;G]],Input[[#This Row],[Oth Exp Desg]],Input[[#This Row],[Oth Exp R Exp]],Input[[#This Row],[Oth Exp Loan]],Input[[#This Row],[Oth Exp Annuity]],Input[[#This Row],[Oth Exp Unexp]],Input[[#This Row],[Oth Exp R of Ind]],Input[[#This Row],[Oth Exp Inv in P]],Input[[#This Row],[Oth Exp Inv in P]])</f>
        <v>348734</v>
      </c>
    </row>
    <row r="63" spans="1:591" s="344" customFormat="1" ht="27" customHeight="1" x14ac:dyDescent="0.55000000000000004">
      <c r="A63" s="339" t="s">
        <v>65</v>
      </c>
      <c r="B63" s="334" t="s">
        <v>829</v>
      </c>
      <c r="C63" s="334" t="s">
        <v>21</v>
      </c>
      <c r="D63" s="334">
        <v>120</v>
      </c>
      <c r="E63" s="334" t="s">
        <v>1623</v>
      </c>
      <c r="F63" s="335">
        <v>11163</v>
      </c>
      <c r="G63" s="336">
        <v>58054750</v>
      </c>
      <c r="H63" s="336">
        <v>0</v>
      </c>
      <c r="I63" s="336">
        <v>0</v>
      </c>
      <c r="J63" s="336">
        <v>0</v>
      </c>
      <c r="K63" s="336">
        <v>0</v>
      </c>
      <c r="L63" s="336">
        <v>0</v>
      </c>
      <c r="M63" s="336">
        <v>0</v>
      </c>
      <c r="N63" s="336">
        <v>0</v>
      </c>
      <c r="O63" s="336">
        <v>0</v>
      </c>
      <c r="P63" s="336">
        <v>5528640</v>
      </c>
      <c r="Q63" s="336">
        <v>10862174</v>
      </c>
      <c r="R63" s="336">
        <v>0</v>
      </c>
      <c r="S63" s="336">
        <v>103212</v>
      </c>
      <c r="T63" s="336">
        <v>0</v>
      </c>
      <c r="U63" s="336">
        <v>0</v>
      </c>
      <c r="V63" s="336">
        <v>0</v>
      </c>
      <c r="W63" s="336">
        <v>0</v>
      </c>
      <c r="X63" s="336">
        <v>0</v>
      </c>
      <c r="Y63" s="336">
        <v>0</v>
      </c>
      <c r="Z63" s="336">
        <v>0</v>
      </c>
      <c r="AA63" s="336">
        <v>0</v>
      </c>
      <c r="AB63" s="336">
        <v>0</v>
      </c>
      <c r="AC63" s="336">
        <v>0</v>
      </c>
      <c r="AD63" s="336">
        <v>0</v>
      </c>
      <c r="AE63" s="336">
        <v>0</v>
      </c>
      <c r="AF63" s="336">
        <v>0</v>
      </c>
      <c r="AG63" s="336">
        <v>0</v>
      </c>
      <c r="AH63" s="336">
        <v>0</v>
      </c>
      <c r="AI63" s="336">
        <v>0</v>
      </c>
      <c r="AJ63" s="336">
        <v>0</v>
      </c>
      <c r="AK63" s="336">
        <v>0</v>
      </c>
      <c r="AL63" s="336">
        <v>0</v>
      </c>
      <c r="AM63" s="336">
        <v>0</v>
      </c>
      <c r="AN63" s="336">
        <v>0</v>
      </c>
      <c r="AO63" s="336">
        <v>0</v>
      </c>
      <c r="AP63" s="336">
        <v>0</v>
      </c>
      <c r="AQ63" s="336">
        <v>-4388339</v>
      </c>
      <c r="AR63" s="336">
        <v>0</v>
      </c>
      <c r="AS63" s="336">
        <v>0</v>
      </c>
      <c r="AT63" s="336">
        <v>0</v>
      </c>
      <c r="AU63" s="336">
        <v>0</v>
      </c>
      <c r="AV63" s="336">
        <v>0</v>
      </c>
      <c r="AW63" s="336">
        <v>0</v>
      </c>
      <c r="AX63" s="336">
        <v>0</v>
      </c>
      <c r="AY63" s="336">
        <v>0</v>
      </c>
      <c r="AZ63" s="336">
        <v>0</v>
      </c>
      <c r="BA63" s="336">
        <v>0</v>
      </c>
      <c r="BB63" s="336">
        <v>0</v>
      </c>
      <c r="BC63" s="336">
        <v>0</v>
      </c>
      <c r="BD63" s="336">
        <v>0</v>
      </c>
      <c r="BE63" s="336">
        <v>0</v>
      </c>
      <c r="BF63" s="336">
        <v>0</v>
      </c>
      <c r="BG63" s="336">
        <v>0</v>
      </c>
      <c r="BH63" s="336">
        <v>0</v>
      </c>
      <c r="BI63" s="336">
        <v>0</v>
      </c>
      <c r="BJ63" s="336">
        <v>0</v>
      </c>
      <c r="BK63" s="336">
        <v>0</v>
      </c>
      <c r="BL63" s="336">
        <v>0</v>
      </c>
      <c r="BM63" s="336">
        <v>0</v>
      </c>
      <c r="BN63" s="336">
        <v>0</v>
      </c>
      <c r="BO63" s="336">
        <v>0</v>
      </c>
      <c r="BP63" s="336">
        <v>0</v>
      </c>
      <c r="BQ63" s="336">
        <v>0</v>
      </c>
      <c r="BR63" s="336">
        <v>0</v>
      </c>
      <c r="BS63" s="336">
        <v>0</v>
      </c>
      <c r="BT63" s="336">
        <v>0</v>
      </c>
      <c r="BU63" s="336">
        <v>0</v>
      </c>
      <c r="BV63" s="336">
        <v>0</v>
      </c>
      <c r="BW63" s="336">
        <v>0</v>
      </c>
      <c r="BX63" s="336">
        <v>0</v>
      </c>
      <c r="BY63" s="336">
        <v>0</v>
      </c>
      <c r="BZ63" s="336">
        <v>0</v>
      </c>
      <c r="CA63" s="336">
        <v>12616375</v>
      </c>
      <c r="CB63" s="336">
        <v>73275106</v>
      </c>
      <c r="CC63" s="336">
        <v>0</v>
      </c>
      <c r="CD63" s="336">
        <v>0</v>
      </c>
      <c r="CE63" s="336">
        <v>0</v>
      </c>
      <c r="CF63" s="336">
        <v>0</v>
      </c>
      <c r="CG63" s="336">
        <v>0</v>
      </c>
      <c r="CH63" s="336">
        <v>0</v>
      </c>
      <c r="CI63" s="336">
        <v>0</v>
      </c>
      <c r="CJ63" s="336">
        <v>0</v>
      </c>
      <c r="CK63" s="336">
        <v>0</v>
      </c>
      <c r="CL63" s="336">
        <v>0</v>
      </c>
      <c r="CM63" s="336">
        <v>0</v>
      </c>
      <c r="CN63" s="336">
        <v>0</v>
      </c>
      <c r="CO63" s="336">
        <v>0</v>
      </c>
      <c r="CP63" s="336">
        <v>0</v>
      </c>
      <c r="CQ63" s="336">
        <v>0</v>
      </c>
      <c r="CR63" s="336">
        <v>0</v>
      </c>
      <c r="CS63" s="336">
        <v>0</v>
      </c>
      <c r="CT63" s="336">
        <v>0</v>
      </c>
      <c r="CU63" s="336">
        <v>0</v>
      </c>
      <c r="CV63" s="336">
        <v>0</v>
      </c>
      <c r="CW63" s="336">
        <v>0</v>
      </c>
      <c r="CX63" s="336">
        <v>0</v>
      </c>
      <c r="CY63" s="336">
        <v>0</v>
      </c>
      <c r="CZ63" s="336">
        <v>0</v>
      </c>
      <c r="DA63" s="336">
        <v>0</v>
      </c>
      <c r="DB63" s="336">
        <v>-870198</v>
      </c>
      <c r="DC63" s="336">
        <v>-4576991</v>
      </c>
      <c r="DD63" s="336">
        <v>0</v>
      </c>
      <c r="DE63" s="336">
        <v>0</v>
      </c>
      <c r="DF63" s="336">
        <v>0</v>
      </c>
      <c r="DG63" s="336">
        <v>0</v>
      </c>
      <c r="DH63" s="336">
        <v>0</v>
      </c>
      <c r="DI63" s="336">
        <v>0</v>
      </c>
      <c r="DJ63" s="336">
        <v>0</v>
      </c>
      <c r="DK63" s="336">
        <v>0</v>
      </c>
      <c r="DL63" s="336">
        <v>0</v>
      </c>
      <c r="DM63" s="336">
        <v>0</v>
      </c>
      <c r="DN63" s="336">
        <v>0</v>
      </c>
      <c r="DO63" s="336">
        <v>0</v>
      </c>
      <c r="DP63" s="336">
        <v>0</v>
      </c>
      <c r="DQ63" s="336">
        <v>0</v>
      </c>
      <c r="DR63" s="336">
        <v>0</v>
      </c>
      <c r="DS63" s="336">
        <v>0</v>
      </c>
      <c r="DT63" s="336">
        <v>-5409819</v>
      </c>
      <c r="DU63" s="336">
        <v>-21155549</v>
      </c>
      <c r="DV63" s="336">
        <v>0</v>
      </c>
      <c r="DW63" s="336">
        <v>0</v>
      </c>
      <c r="DX63" s="336">
        <v>0</v>
      </c>
      <c r="DY63" s="336">
        <v>0</v>
      </c>
      <c r="DZ63" s="336">
        <v>0</v>
      </c>
      <c r="EA63" s="336">
        <v>0</v>
      </c>
      <c r="EB63" s="336">
        <v>0</v>
      </c>
      <c r="EC63" s="336">
        <v>0</v>
      </c>
      <c r="ED63" s="336">
        <v>0</v>
      </c>
      <c r="EE63" s="336">
        <v>0</v>
      </c>
      <c r="EF63" s="336">
        <v>0</v>
      </c>
      <c r="EG63" s="336">
        <v>0</v>
      </c>
      <c r="EH63" s="336">
        <v>0</v>
      </c>
      <c r="EI63" s="336">
        <v>0</v>
      </c>
      <c r="EJ63" s="336">
        <v>0</v>
      </c>
      <c r="EK63" s="336">
        <v>0</v>
      </c>
      <c r="EL63" s="336">
        <v>0</v>
      </c>
      <c r="EM63" s="336">
        <v>0</v>
      </c>
      <c r="EN63" s="336">
        <v>0</v>
      </c>
      <c r="EO63" s="336">
        <v>0</v>
      </c>
      <c r="EP63" s="336">
        <v>0</v>
      </c>
      <c r="EQ63" s="336">
        <v>0</v>
      </c>
      <c r="ER63" s="336">
        <v>0</v>
      </c>
      <c r="ES63" s="336">
        <v>0</v>
      </c>
      <c r="ET63" s="336">
        <v>0</v>
      </c>
      <c r="EU63" s="336">
        <v>0</v>
      </c>
      <c r="EV63" s="336">
        <v>0</v>
      </c>
      <c r="EW63" s="336">
        <v>0</v>
      </c>
      <c r="EX63" s="336">
        <v>0</v>
      </c>
      <c r="EY63" s="336">
        <v>0</v>
      </c>
      <c r="EZ63" s="336">
        <v>0</v>
      </c>
      <c r="FA63" s="336">
        <v>0</v>
      </c>
      <c r="FB63" s="336">
        <v>0</v>
      </c>
      <c r="FC63" s="336">
        <v>0</v>
      </c>
      <c r="FD63" s="336">
        <v>0</v>
      </c>
      <c r="FE63" s="336">
        <v>0</v>
      </c>
      <c r="FF63" s="336">
        <v>0</v>
      </c>
      <c r="FG63" s="336">
        <v>0</v>
      </c>
      <c r="FH63" s="336">
        <v>0</v>
      </c>
      <c r="FI63" s="336">
        <v>0</v>
      </c>
      <c r="FJ63" s="336">
        <v>0</v>
      </c>
      <c r="FK63" s="336">
        <v>0</v>
      </c>
      <c r="FL63" s="336">
        <v>0</v>
      </c>
      <c r="FM63" s="336">
        <v>0</v>
      </c>
      <c r="FN63" s="336">
        <v>0</v>
      </c>
      <c r="FO63" s="336">
        <v>8244340</v>
      </c>
      <c r="FP63" s="336">
        <v>0</v>
      </c>
      <c r="FQ63" s="336">
        <v>0</v>
      </c>
      <c r="FR63" s="336">
        <v>0</v>
      </c>
      <c r="FS63" s="336">
        <v>0</v>
      </c>
      <c r="FT63" s="336">
        <v>0</v>
      </c>
      <c r="FU63" s="336">
        <v>0</v>
      </c>
      <c r="FV63" s="336">
        <v>0</v>
      </c>
      <c r="FW63" s="336">
        <v>0</v>
      </c>
      <c r="FX63" s="336">
        <v>0</v>
      </c>
      <c r="FY63" s="336">
        <v>0</v>
      </c>
      <c r="FZ63" s="336">
        <v>0</v>
      </c>
      <c r="GA63" s="336">
        <v>0</v>
      </c>
      <c r="GB63" s="336">
        <v>0</v>
      </c>
      <c r="GC63" s="336">
        <v>0</v>
      </c>
      <c r="GD63" s="336">
        <v>0</v>
      </c>
      <c r="GE63" s="336">
        <v>0</v>
      </c>
      <c r="GF63" s="336">
        <v>0</v>
      </c>
      <c r="GG63" s="336">
        <v>0</v>
      </c>
      <c r="GH63" s="336">
        <v>0</v>
      </c>
      <c r="GI63" s="336">
        <v>0</v>
      </c>
      <c r="GJ63" s="336">
        <v>0</v>
      </c>
      <c r="GK63" s="336">
        <v>0</v>
      </c>
      <c r="GL63" s="336">
        <v>0</v>
      </c>
      <c r="GM63" s="336">
        <v>0</v>
      </c>
      <c r="GN63" s="336">
        <v>0</v>
      </c>
      <c r="GO63" s="336">
        <v>0</v>
      </c>
      <c r="GP63" s="336">
        <v>-46504</v>
      </c>
      <c r="GQ63" s="336">
        <v>0</v>
      </c>
      <c r="GR63" s="336">
        <v>0</v>
      </c>
      <c r="GS63" s="336">
        <v>0</v>
      </c>
      <c r="GT63" s="336">
        <v>0</v>
      </c>
      <c r="GU63" s="336">
        <v>0</v>
      </c>
      <c r="GV63" s="336">
        <v>0</v>
      </c>
      <c r="GW63" s="336">
        <v>0</v>
      </c>
      <c r="GX63" s="336">
        <v>0</v>
      </c>
      <c r="GY63" s="336">
        <v>-3795991</v>
      </c>
      <c r="GZ63" s="336">
        <v>0</v>
      </c>
      <c r="HA63" s="336">
        <v>0</v>
      </c>
      <c r="HB63" s="336">
        <v>0</v>
      </c>
      <c r="HC63" s="336">
        <v>0</v>
      </c>
      <c r="HD63" s="336">
        <v>0</v>
      </c>
      <c r="HE63" s="336">
        <v>0</v>
      </c>
      <c r="HF63" s="336">
        <v>0</v>
      </c>
      <c r="HG63" s="336">
        <v>0</v>
      </c>
      <c r="HH63" s="336">
        <v>0</v>
      </c>
      <c r="HI63" s="336">
        <v>0</v>
      </c>
      <c r="HJ63" s="336">
        <v>0</v>
      </c>
      <c r="HK63" s="336">
        <v>0</v>
      </c>
      <c r="HL63" s="336">
        <v>0</v>
      </c>
      <c r="HM63" s="336">
        <v>0</v>
      </c>
      <c r="HN63" s="336">
        <v>0</v>
      </c>
      <c r="HO63" s="336">
        <v>0</v>
      </c>
      <c r="HP63" s="336">
        <v>316410</v>
      </c>
      <c r="HQ63" s="336">
        <v>0</v>
      </c>
      <c r="HR63" s="336">
        <v>21841933</v>
      </c>
      <c r="HS63" s="336">
        <v>0</v>
      </c>
      <c r="HT63" s="336">
        <v>0</v>
      </c>
      <c r="HU63" s="336">
        <v>0</v>
      </c>
      <c r="HV63" s="336">
        <v>0</v>
      </c>
      <c r="HW63" s="336">
        <v>0</v>
      </c>
      <c r="HX63" s="336">
        <v>0</v>
      </c>
      <c r="HY63" s="336">
        <v>0</v>
      </c>
      <c r="HZ63" s="336">
        <v>0</v>
      </c>
      <c r="IA63" s="336">
        <v>0</v>
      </c>
      <c r="IB63" s="336">
        <v>0</v>
      </c>
      <c r="IC63" s="336">
        <v>0</v>
      </c>
      <c r="ID63" s="336">
        <v>0</v>
      </c>
      <c r="IE63" s="336">
        <v>0</v>
      </c>
      <c r="IF63" s="336">
        <v>0</v>
      </c>
      <c r="IG63" s="336">
        <v>0</v>
      </c>
      <c r="IH63" s="336">
        <v>0</v>
      </c>
      <c r="II63" s="336">
        <v>0</v>
      </c>
      <c r="IJ63" s="336">
        <v>0</v>
      </c>
      <c r="IK63" s="336">
        <v>0</v>
      </c>
      <c r="IL63" s="336">
        <v>0</v>
      </c>
      <c r="IM63" s="336">
        <v>0</v>
      </c>
      <c r="IN63" s="336">
        <v>0</v>
      </c>
      <c r="IO63" s="336">
        <v>0</v>
      </c>
      <c r="IP63" s="336">
        <v>1096479</v>
      </c>
      <c r="IQ63" s="336">
        <v>2377356</v>
      </c>
      <c r="IR63" s="336">
        <v>0</v>
      </c>
      <c r="IS63" s="336">
        <v>3810433</v>
      </c>
      <c r="IT63" s="336">
        <v>0</v>
      </c>
      <c r="IU63" s="336">
        <v>59983</v>
      </c>
      <c r="IV63" s="336">
        <v>0</v>
      </c>
      <c r="IW63" s="336">
        <v>0</v>
      </c>
      <c r="IX63" s="336">
        <v>0</v>
      </c>
      <c r="IY63" s="336">
        <v>0</v>
      </c>
      <c r="IZ63" s="336">
        <v>0</v>
      </c>
      <c r="JA63" s="336">
        <v>0</v>
      </c>
      <c r="JB63" s="336">
        <v>0</v>
      </c>
      <c r="JC63" s="336">
        <v>0</v>
      </c>
      <c r="JD63" s="336">
        <v>0</v>
      </c>
      <c r="JE63" s="336">
        <v>0</v>
      </c>
      <c r="JF63" s="336">
        <v>0</v>
      </c>
      <c r="JG63" s="336">
        <v>0</v>
      </c>
      <c r="JH63" s="336">
        <v>0</v>
      </c>
      <c r="JI63" s="336">
        <v>705338</v>
      </c>
      <c r="JJ63" s="336">
        <v>302889</v>
      </c>
      <c r="JK63" s="336">
        <v>1881346</v>
      </c>
      <c r="JL63" s="336">
        <v>0</v>
      </c>
      <c r="JM63" s="336">
        <v>0</v>
      </c>
      <c r="JN63" s="336">
        <v>0</v>
      </c>
      <c r="JO63" s="336">
        <v>0</v>
      </c>
      <c r="JP63" s="336">
        <v>0</v>
      </c>
      <c r="JQ63" s="336">
        <v>2811531</v>
      </c>
      <c r="JR63" s="336">
        <v>7056957</v>
      </c>
      <c r="JS63" s="336">
        <v>0</v>
      </c>
      <c r="JT63" s="336">
        <v>1701679</v>
      </c>
      <c r="JU63" s="336">
        <v>0</v>
      </c>
      <c r="JV63" s="336">
        <v>0</v>
      </c>
      <c r="JW63" s="336">
        <v>0</v>
      </c>
      <c r="JX63" s="336">
        <v>0</v>
      </c>
      <c r="JY63" s="336">
        <v>0</v>
      </c>
      <c r="JZ63" s="336">
        <v>0</v>
      </c>
      <c r="KA63" s="336">
        <v>0</v>
      </c>
      <c r="KB63" s="336">
        <v>17928302</v>
      </c>
      <c r="KC63" s="336">
        <v>0</v>
      </c>
      <c r="KD63" s="336">
        <v>0</v>
      </c>
      <c r="KE63" s="336">
        <v>0</v>
      </c>
      <c r="KF63" s="336">
        <v>0</v>
      </c>
      <c r="KG63" s="336">
        <v>0</v>
      </c>
      <c r="KH63" s="336">
        <v>0</v>
      </c>
      <c r="KI63" s="336">
        <v>0</v>
      </c>
      <c r="KJ63" s="336">
        <v>322398</v>
      </c>
      <c r="KK63" s="336">
        <v>0</v>
      </c>
      <c r="KL63" s="336">
        <v>13034</v>
      </c>
      <c r="KM63" s="336">
        <v>0</v>
      </c>
      <c r="KN63" s="336">
        <v>0</v>
      </c>
      <c r="KO63" s="336">
        <v>0</v>
      </c>
      <c r="KP63" s="336">
        <v>0</v>
      </c>
      <c r="KQ63" s="336">
        <v>0</v>
      </c>
      <c r="KR63" s="336">
        <v>34557085</v>
      </c>
      <c r="KS63" s="336">
        <v>36881225</v>
      </c>
      <c r="KT63" s="336">
        <v>0</v>
      </c>
      <c r="KU63" s="336">
        <v>998227</v>
      </c>
      <c r="KV63" s="336">
        <v>0</v>
      </c>
      <c r="KW63" s="336">
        <v>0</v>
      </c>
      <c r="KX63" s="336">
        <v>0</v>
      </c>
      <c r="KY63" s="336">
        <v>0</v>
      </c>
      <c r="KZ63" s="336">
        <v>0</v>
      </c>
      <c r="LA63" s="336">
        <v>136232</v>
      </c>
      <c r="LB63" s="336">
        <v>2203526</v>
      </c>
      <c r="LC63" s="336">
        <v>0</v>
      </c>
      <c r="LD63" s="336">
        <v>2506769</v>
      </c>
      <c r="LE63" s="336">
        <v>0</v>
      </c>
      <c r="LF63" s="336">
        <v>0</v>
      </c>
      <c r="LG63" s="336">
        <v>0</v>
      </c>
      <c r="LH63" s="336">
        <v>0</v>
      </c>
      <c r="LI63" s="336">
        <v>0</v>
      </c>
      <c r="LJ63" s="336">
        <v>0</v>
      </c>
      <c r="LK63" s="336">
        <v>512541</v>
      </c>
      <c r="LL63" s="336">
        <v>0</v>
      </c>
      <c r="LM63" s="336">
        <v>485039</v>
      </c>
      <c r="LN63" s="336">
        <v>0</v>
      </c>
      <c r="LO63" s="336">
        <v>0</v>
      </c>
      <c r="LP63" s="336">
        <v>0</v>
      </c>
      <c r="LQ63" s="336">
        <v>0</v>
      </c>
      <c r="LR63" s="336">
        <v>0</v>
      </c>
      <c r="LS63" s="336">
        <v>0</v>
      </c>
      <c r="LT63" s="336">
        <v>0</v>
      </c>
      <c r="LU63" s="336">
        <v>0</v>
      </c>
      <c r="LV63" s="336">
        <v>0</v>
      </c>
      <c r="LW63" s="336">
        <v>0</v>
      </c>
      <c r="LX63" s="336">
        <v>0</v>
      </c>
      <c r="LY63" s="336">
        <v>0</v>
      </c>
      <c r="LZ63" s="336">
        <v>0</v>
      </c>
      <c r="MA63" s="336">
        <v>0</v>
      </c>
      <c r="MB63" s="336">
        <v>6499968</v>
      </c>
      <c r="MC63" s="336">
        <v>10759972</v>
      </c>
      <c r="MD63" s="336">
        <v>0</v>
      </c>
      <c r="ME63" s="336">
        <v>537863</v>
      </c>
      <c r="MF63" s="336">
        <v>0</v>
      </c>
      <c r="MG63" s="336">
        <v>0</v>
      </c>
      <c r="MH63" s="336">
        <v>0</v>
      </c>
      <c r="MI63" s="336">
        <v>0</v>
      </c>
      <c r="MJ63" s="336">
        <v>0</v>
      </c>
      <c r="MK63" s="336">
        <v>3051794</v>
      </c>
      <c r="ML63" s="336">
        <v>12574770</v>
      </c>
      <c r="MM63" s="336">
        <v>0</v>
      </c>
      <c r="MN63" s="336">
        <v>90363</v>
      </c>
      <c r="MO63" s="336">
        <v>0</v>
      </c>
      <c r="MP63" s="336">
        <v>0</v>
      </c>
      <c r="MQ63" s="336">
        <v>0</v>
      </c>
      <c r="MR63" s="336">
        <v>0</v>
      </c>
      <c r="MS63" s="336">
        <v>0</v>
      </c>
      <c r="MT63" s="336">
        <v>4408571</v>
      </c>
      <c r="MU63" s="336">
        <v>12184527</v>
      </c>
      <c r="MV63" s="336">
        <v>0</v>
      </c>
      <c r="MW63" s="336">
        <v>287380</v>
      </c>
      <c r="MX63" s="336">
        <v>0</v>
      </c>
      <c r="MY63" s="336">
        <v>0</v>
      </c>
      <c r="MZ63" s="336">
        <v>0</v>
      </c>
      <c r="NA63" s="336">
        <v>0</v>
      </c>
      <c r="NB63" s="336">
        <v>0</v>
      </c>
      <c r="NC63" s="336">
        <v>3562202</v>
      </c>
      <c r="ND63" s="336">
        <v>9064550</v>
      </c>
      <c r="NE63" s="336">
        <v>0</v>
      </c>
      <c r="NF63" s="336">
        <v>51949</v>
      </c>
      <c r="NG63" s="336">
        <v>0</v>
      </c>
      <c r="NH63" s="336">
        <v>0</v>
      </c>
      <c r="NI63" s="336">
        <v>2948205</v>
      </c>
      <c r="NJ63" s="336">
        <v>0</v>
      </c>
      <c r="NK63" s="336">
        <v>0</v>
      </c>
      <c r="NL63" s="336">
        <v>676399</v>
      </c>
      <c r="NM63" s="336">
        <v>5623992</v>
      </c>
      <c r="NN63" s="336">
        <v>0</v>
      </c>
      <c r="NO63" s="336">
        <v>7728159</v>
      </c>
      <c r="NP63" s="336">
        <v>0</v>
      </c>
      <c r="NQ63" s="336">
        <v>0</v>
      </c>
      <c r="NR63" s="336">
        <v>0</v>
      </c>
      <c r="NS63" s="336">
        <v>0</v>
      </c>
      <c r="NT63" s="336">
        <v>0</v>
      </c>
      <c r="NU63" s="336">
        <v>0</v>
      </c>
      <c r="NV63" s="336">
        <v>48449</v>
      </c>
      <c r="NW63" s="336">
        <v>18858206</v>
      </c>
      <c r="NX63" s="336">
        <v>47333</v>
      </c>
      <c r="NY63" s="336">
        <v>0</v>
      </c>
      <c r="NZ63" s="336">
        <v>0</v>
      </c>
      <c r="OA63" s="336">
        <v>0</v>
      </c>
      <c r="OB63" s="336">
        <v>0</v>
      </c>
      <c r="OC63" s="336">
        <v>0</v>
      </c>
      <c r="OD63" s="336">
        <v>696675</v>
      </c>
      <c r="OE63" s="336">
        <v>683984</v>
      </c>
      <c r="OF63" s="336">
        <v>114254</v>
      </c>
      <c r="OG63" s="336">
        <v>151520</v>
      </c>
      <c r="OH63" s="336">
        <v>0</v>
      </c>
      <c r="OI63" s="336">
        <v>0</v>
      </c>
      <c r="OJ63" s="336">
        <v>0</v>
      </c>
      <c r="OK63" s="336">
        <v>0</v>
      </c>
      <c r="OL63" s="336">
        <v>0</v>
      </c>
      <c r="OM63" s="336">
        <v>0</v>
      </c>
      <c r="ON63" s="336">
        <v>0</v>
      </c>
      <c r="OO63" s="336">
        <v>0</v>
      </c>
      <c r="OP63" s="336">
        <v>0</v>
      </c>
      <c r="OQ63" s="336">
        <v>0</v>
      </c>
      <c r="OR63" s="336">
        <v>0</v>
      </c>
      <c r="OS63" s="336">
        <v>0</v>
      </c>
      <c r="OT63" s="336">
        <v>0</v>
      </c>
      <c r="OU63" s="336">
        <v>0</v>
      </c>
      <c r="OV63" s="336">
        <v>0</v>
      </c>
      <c r="OW63" s="336">
        <v>0</v>
      </c>
      <c r="OX63" s="336">
        <v>0</v>
      </c>
      <c r="OY63" s="336">
        <v>0</v>
      </c>
      <c r="OZ63" s="336">
        <v>0</v>
      </c>
      <c r="PA63" s="336">
        <v>0</v>
      </c>
      <c r="PB63" s="336">
        <v>-38207945</v>
      </c>
      <c r="PC63" s="336">
        <v>0</v>
      </c>
      <c r="PD63" s="336">
        <v>0</v>
      </c>
      <c r="PE63" s="336">
        <v>3138137</v>
      </c>
      <c r="PF63" s="336">
        <v>12335627</v>
      </c>
      <c r="PG63" s="336">
        <v>1031483</v>
      </c>
      <c r="PH63" s="336">
        <v>-14024729</v>
      </c>
      <c r="PI63" s="336">
        <v>220498</v>
      </c>
      <c r="PJ63" s="336">
        <v>84717</v>
      </c>
      <c r="PK63" s="336">
        <v>116616208</v>
      </c>
      <c r="PL63" s="336">
        <v>0</v>
      </c>
      <c r="PM63" s="336">
        <v>877332</v>
      </c>
      <c r="PN63" s="336">
        <v>0</v>
      </c>
      <c r="PO63" s="336">
        <v>0</v>
      </c>
      <c r="PP63" s="336">
        <v>0</v>
      </c>
      <c r="PQ63" s="336">
        <v>0</v>
      </c>
      <c r="PR63" s="336">
        <v>0</v>
      </c>
      <c r="PS63" s="336">
        <v>0</v>
      </c>
      <c r="PT63" s="336">
        <v>-56495968</v>
      </c>
      <c r="PU63" s="336">
        <v>0</v>
      </c>
      <c r="PV63" s="336">
        <v>0</v>
      </c>
      <c r="PW63" s="336">
        <v>-13781828</v>
      </c>
      <c r="PX63" s="336">
        <v>-1704203</v>
      </c>
      <c r="PY63" s="336">
        <v>-4326069</v>
      </c>
      <c r="PZ63" s="336">
        <v>0</v>
      </c>
      <c r="QA63" s="336">
        <v>0</v>
      </c>
      <c r="QB63" s="336">
        <v>0</v>
      </c>
      <c r="QC63" s="336">
        <v>-364135</v>
      </c>
      <c r="QD63" s="336">
        <v>0</v>
      </c>
      <c r="QE63" s="336">
        <v>0</v>
      </c>
      <c r="QF63" s="336">
        <v>0</v>
      </c>
      <c r="QG63" s="336">
        <v>-76419</v>
      </c>
      <c r="QH63" s="336">
        <v>0</v>
      </c>
      <c r="QI63" s="336">
        <v>0</v>
      </c>
      <c r="QJ63" s="336">
        <v>0</v>
      </c>
      <c r="QK63" s="336">
        <v>5947194</v>
      </c>
      <c r="QL63" s="336">
        <v>0</v>
      </c>
      <c r="QM63" s="336">
        <v>0</v>
      </c>
      <c r="QN63" s="336">
        <v>-219106</v>
      </c>
      <c r="QO63" s="336">
        <v>0</v>
      </c>
      <c r="QP63" s="336">
        <v>0</v>
      </c>
      <c r="QQ63" s="336">
        <v>0</v>
      </c>
      <c r="QR63" s="336">
        <v>378457</v>
      </c>
      <c r="QS63" s="336">
        <v>0</v>
      </c>
      <c r="QT63" s="336">
        <v>2295338</v>
      </c>
      <c r="QU63" s="336">
        <v>0</v>
      </c>
      <c r="QV63" s="336">
        <v>0</v>
      </c>
      <c r="QW63" s="336">
        <v>0</v>
      </c>
      <c r="QX63" s="336">
        <v>0</v>
      </c>
      <c r="QY63" s="336">
        <v>0</v>
      </c>
      <c r="QZ63" s="336">
        <v>0</v>
      </c>
      <c r="RA63" s="336">
        <v>0</v>
      </c>
      <c r="RB63" s="336">
        <v>0</v>
      </c>
      <c r="RC63" s="336">
        <v>0</v>
      </c>
      <c r="RD63" s="336">
        <v>0</v>
      </c>
      <c r="RE63" s="336">
        <v>0</v>
      </c>
      <c r="RF63" s="336">
        <v>0</v>
      </c>
      <c r="RG63" s="336">
        <v>0</v>
      </c>
      <c r="RH63" s="336">
        <v>0</v>
      </c>
      <c r="RI63" s="336">
        <v>0</v>
      </c>
      <c r="RJ63" s="336">
        <v>0</v>
      </c>
      <c r="RK63" s="336">
        <v>0</v>
      </c>
      <c r="RL63" s="336">
        <v>0</v>
      </c>
      <c r="RM63" s="336">
        <v>0</v>
      </c>
      <c r="RN63" s="336">
        <v>0</v>
      </c>
      <c r="RO63" s="336">
        <v>-17387233</v>
      </c>
      <c r="RP63" s="336">
        <v>0</v>
      </c>
      <c r="RQ63" s="336">
        <v>0</v>
      </c>
      <c r="RR63" s="336">
        <v>0</v>
      </c>
      <c r="RS63" s="336">
        <v>0</v>
      </c>
      <c r="RT63" s="336">
        <v>0</v>
      </c>
      <c r="RU63" s="336">
        <v>0</v>
      </c>
      <c r="RV63" s="336">
        <v>0</v>
      </c>
      <c r="RW63" s="336">
        <v>0</v>
      </c>
      <c r="RX63" s="336">
        <v>0</v>
      </c>
      <c r="RY63" s="336">
        <v>0</v>
      </c>
      <c r="RZ63" s="336">
        <v>0</v>
      </c>
      <c r="SA63" s="336">
        <v>0</v>
      </c>
      <c r="SB63" s="336">
        <v>0</v>
      </c>
      <c r="SC63" s="336">
        <v>0</v>
      </c>
      <c r="SD63" s="336">
        <v>0</v>
      </c>
      <c r="SE63" s="336">
        <v>0</v>
      </c>
      <c r="SF63" s="336">
        <v>0</v>
      </c>
      <c r="SG63" s="336">
        <v>0</v>
      </c>
      <c r="SH63" s="336">
        <v>0</v>
      </c>
      <c r="SI63" s="336">
        <v>0</v>
      </c>
      <c r="SJ63" s="336">
        <v>0</v>
      </c>
      <c r="SK63" s="336">
        <v>0</v>
      </c>
      <c r="SL63" s="336">
        <v>0</v>
      </c>
      <c r="SM63" s="336">
        <v>0</v>
      </c>
      <c r="SN63" s="336">
        <v>0</v>
      </c>
      <c r="SO63" s="336">
        <v>0</v>
      </c>
      <c r="SP63" s="336">
        <v>0</v>
      </c>
      <c r="SQ63" s="336">
        <v>0</v>
      </c>
      <c r="SR63" s="336">
        <v>0</v>
      </c>
      <c r="SS63" s="336">
        <v>0</v>
      </c>
      <c r="ST63" s="336">
        <v>0</v>
      </c>
      <c r="SU63" s="336">
        <v>0</v>
      </c>
      <c r="SV63" s="336">
        <v>0</v>
      </c>
      <c r="SW63" s="336">
        <v>0</v>
      </c>
      <c r="SX63" s="336">
        <v>0</v>
      </c>
      <c r="SY63" s="336">
        <v>39854379</v>
      </c>
      <c r="SZ63" s="336" t="s">
        <v>1420</v>
      </c>
      <c r="TA63" s="336" t="s">
        <v>1420</v>
      </c>
      <c r="TB63" s="336" t="s">
        <v>1420</v>
      </c>
      <c r="TC63" s="336">
        <v>1021797</v>
      </c>
      <c r="TD63" s="336">
        <v>188580</v>
      </c>
      <c r="TE63" s="336">
        <v>0</v>
      </c>
      <c r="TF63" s="336">
        <v>0</v>
      </c>
      <c r="TG63" s="336">
        <v>142633</v>
      </c>
      <c r="TH63" s="336">
        <v>111285</v>
      </c>
      <c r="TI63" s="336">
        <v>0</v>
      </c>
      <c r="TJ63" s="336">
        <v>67884</v>
      </c>
      <c r="TK63" s="336">
        <v>0</v>
      </c>
      <c r="TL63" s="336">
        <v>114254</v>
      </c>
      <c r="TM63" s="336">
        <v>0</v>
      </c>
      <c r="TN63" s="336">
        <v>0</v>
      </c>
      <c r="TO63" s="336">
        <v>131669</v>
      </c>
      <c r="TP63" s="336">
        <v>0</v>
      </c>
      <c r="TQ63" s="336">
        <v>0</v>
      </c>
      <c r="TR63" s="336">
        <v>0</v>
      </c>
      <c r="TS63" s="336">
        <v>0</v>
      </c>
      <c r="TT63" s="336">
        <v>0</v>
      </c>
      <c r="TU63" s="336">
        <v>0</v>
      </c>
      <c r="TV63" s="336">
        <v>0</v>
      </c>
      <c r="TW63" s="336">
        <v>0</v>
      </c>
      <c r="TX63" s="336">
        <v>0</v>
      </c>
      <c r="TY63" s="336">
        <v>0</v>
      </c>
      <c r="TZ63" s="336">
        <v>0</v>
      </c>
      <c r="UA63" s="336">
        <v>0</v>
      </c>
      <c r="UB63" s="336">
        <v>0</v>
      </c>
      <c r="UC63" s="336">
        <v>0</v>
      </c>
      <c r="UD63" s="336">
        <v>0</v>
      </c>
      <c r="UE63" s="336">
        <v>0</v>
      </c>
      <c r="UF63" s="336">
        <v>0</v>
      </c>
      <c r="UG63" s="336">
        <v>0</v>
      </c>
      <c r="UH63" s="336">
        <v>72436537</v>
      </c>
      <c r="UI63" s="336">
        <v>4846527</v>
      </c>
      <c r="UJ63" s="336">
        <v>997580</v>
      </c>
      <c r="UK63" s="336">
        <v>0</v>
      </c>
      <c r="UL63" s="336">
        <v>17797803</v>
      </c>
      <c r="UM63" s="336">
        <v>15716927</v>
      </c>
      <c r="UN63" s="336">
        <v>16880478</v>
      </c>
      <c r="UO63" s="336">
        <v>15626906</v>
      </c>
      <c r="UP63" s="336">
        <v>14028550</v>
      </c>
      <c r="UQ63" s="336">
        <v>18953988</v>
      </c>
      <c r="UR63"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1646433</v>
      </c>
      <c r="US63" s="338">
        <f>SUM(Input[[#This Row],[Oth Exp E&amp;G]],Input[[#This Row],[Oth Exp Desg]],Input[[#This Row],[Oth Exp Aux]],Input[[#This Row],[Oth Exp R Exp]],Input[[#This Row],[Oth Exp Loan]],Input[[#This Row],[Oth Exp Annuity]],Input[[#This Row],[Oth Exp Unexp]],Input[[#This Row],[Oth Exp R of Ind]],Input[[#This Row],[Oth Exp Inv in P]])</f>
        <v>0</v>
      </c>
      <c r="UT63" s="336">
        <v>0</v>
      </c>
      <c r="UU63" s="336">
        <v>0</v>
      </c>
      <c r="UV63" s="339" t="s">
        <v>1428</v>
      </c>
      <c r="UW63" s="340"/>
      <c r="UX63" s="339" t="s">
        <v>1429</v>
      </c>
      <c r="UY63" s="339" t="s">
        <v>1430</v>
      </c>
      <c r="UZ63" s="340"/>
      <c r="VA63" s="339" t="s">
        <v>1431</v>
      </c>
      <c r="VB63" s="341" cm="1">
        <f t="array" ref="VB63">IFERROR(_xlfn.IFS(Input[[#This Row],[Type]]="HRI",VLOOKUP(Input[[#This Row],[Institution Name]],FTSEHRI[],9,FALSE),Input[[#This Row],[Type]]="UNIV",VLOOKUP(Input[[#This Row],[Institution Name]],FTSEUNIV[],9,FALSE),OR(Input[[#This Row],[Type]]="TSTC",Input[[#This Row],[Type]]="LSC"),VLOOKUP(Input[[#This Row],[Institution Name]],FTSETSTC[],8,FALSE)),"N/A")</f>
        <v>8111.83</v>
      </c>
      <c r="VC63" s="342" t="str" cm="1">
        <f t="array" ref="VC63">IFERROR(_xlfn.IFS(Input[[#This Row],[Type]]="HRI",VLOOKUP(Input[[#This Row],[Institution Name]],FTSEHRI[],11,FALSE),Input[[#This Row],[Type]]="UNIV",VLOOKUP(Input[[#This Row],[Institution Name]],FTSEUNIV[],11,FALSE),Input[[#This Row],[Type]]="TSTC",VLOOKUP(Input[[#This Row],[Institution Name]],FTSETSTC[],10,FALSE)),"N/A")</f>
        <v>N/A</v>
      </c>
      <c r="VD63"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74548776</v>
      </c>
      <c r="VE63"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63" s="338">
        <f>SUM(Input[[#This Row],[Fed G&amp;C E&amp;G]],Input[[#This Row],[Fed G&amp;C Desg]],Input[[#This Row],[Fed G&amp;C R Exp]],Input[[#This Row],[Fed G&amp;C Loan]],Input[[#This Row],[Fed G&amp;C Annuity]],Input[[#This Row],[Fed G&amp;C Unexp]],Input[[#This Row],[Fed G&amp;C R of Ind]],Input[[#This Row],[Fed G&amp;C Inv in P]])</f>
        <v>22158343</v>
      </c>
      <c r="VG63"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21836534</v>
      </c>
      <c r="VH63"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53878924</v>
      </c>
      <c r="VI63"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J63" s="338">
        <f>SUM(Input[[#This Row],[Oth Inc E&amp;G]],Input[[#This Row],[Oth Exp Desg]],Input[[#This Row],[Oth Exp R Exp]],Input[[#This Row],[Oth Exp Loan]],Input[[#This Row],[Oth Exp Annuity]],Input[[#This Row],[Oth Exp Unexp]],Input[[#This Row],[Oth Exp R of Ind]],Input[[#This Row],[Oth Exp Inv in P]])</f>
        <v>0</v>
      </c>
      <c r="VK63" s="343">
        <f>SUM(Input[[#This Row],[Instr E&amp;G]],Input[[#This Row],[Instr Desg]],Input[[#This Row],[Instr R Exp]],Input[[#This Row],[Instr Loan]],Input[[#This Row],[Instr Annuity]],Input[[#This Row],[Instr Unexp]],Input[[#This Row],[Instr R of Ind]],Input[[#This Row],[Instr Inv in P]])</f>
        <v>72436537</v>
      </c>
      <c r="VL63" s="343">
        <f>SUM(Input[[#This Row],[Res E&amp;G]],Input[[#This Row],[Res Desg]],Input[[#This Row],[Res R Exp]],Input[[#This Row],[Res Loan]],Input[[#This Row],[Res Annuity]],Input[[#This Row],[Res Unexp]],Input[[#This Row],[Res R of Ind]],Input[[#This Row],[Res Inv in P]])</f>
        <v>4846527</v>
      </c>
      <c r="VM63" s="343">
        <f>SUM(Input[[#This Row],[Acad Sup E&amp;G]],Input[[#This Row],[Acad Sup Desg]],Input[[#This Row],[Acad Sup R Exp]],Input[[#This Row],[Acad Sup Loan]],Input[[#This Row],[Acad Sup Annuity]],Input[[#This Row],[Acad Sup Unexp]],Input[[#This Row],[Acad Sup R of Ind]],Input[[#This Row],[Acad Sup Inv in P]])</f>
        <v>17797803</v>
      </c>
      <c r="VN63" s="343">
        <f>SUM(Input[[#This Row],[Stu Svc E&amp;G]],Input[[#This Row],[Stu Svc Desg]],Input[[#This Row],[Stu Svc R Exp]],Input[[#This Row],[Stu Svc Loan]],Input[[#This Row],[Stu Svc Annuity]],Input[[#This Row],[Stu Svc Unexp]],Input[[#This Row],[Stu Svc R of Ind]],Input[[#This Row],[Stu Svc Inv in P]])</f>
        <v>15716927</v>
      </c>
      <c r="VO63" s="343">
        <f>SUM(Input[[#This Row],[Inst. Spt E&amp;G]],Input[[#This Row],[Inst. Spt Desg]],Input[[#This Row],[Inst. Spt R Exp]],Input[[#This Row],[Inst. Spt Loan]],Input[[#This Row],[Inst. Spt Annuity]],Input[[#This Row],[Inst. Spt Unexp]],Input[[#This Row],[Inst. Spt R of Ind]],Input[[#This Row],[Inst. Spt Inv in P]])</f>
        <v>16880478</v>
      </c>
      <c r="VP63" s="343">
        <f>SUM(Input[[#This Row],[M&amp;O Plnt E&amp;G]],Input[[#This Row],[M&amp;O Plnt Desg]],Input[[#This Row],[M&amp;O Plnt R Exp]],Input[[#This Row],[M&amp;O Plnt Loan]],Input[[#This Row],[M&amp;O Plnt Annuity]],Input[[#This Row],[M&amp;O Plnt Unexp]],Input[[#This Row],[M&amp;O Plnt R of Ind]],Input[[#This Row],[M&amp;O Plnt Inv in P]])</f>
        <v>15626906</v>
      </c>
      <c r="VQ63" s="343">
        <f>SUM(Input[[#This Row],[Schl &amp; Fell E&amp;G]],Input[[#This Row],[Schl &amp; Fell Desg]],Input[[#This Row],[Schl &amp; Fell R Exp]],Input[[#This Row],[Schl &amp; Fell Loan]],Input[[#This Row],[Schl &amp; Fell Annuity]],Input[[#This Row],[Schl &amp; Fell Unexp]],Input[[#This Row],[Schl &amp; Fell R of Ind]],Input[[#This Row],[Schl &amp; Fell Inv in P]])</f>
        <v>14028550</v>
      </c>
      <c r="VR63" s="343">
        <f>SUM(Input[[#This Row],[Cap Out fund E&amp;G]],Input[[#This Row],[Cap Out fund Desg]],Input[[#This Row],[Cap Out fund R Exp]],Input[[#This Row],[Cap Out fund Loan]],Input[[#This Row],[Cap Out fund Annuity]],Input[[#This Row],[Cap Out fund Unexp]],Input[[#This Row],[Cap Out fund R of Ind]],Input[[#This Row],[Cap Out fund Inv in P]])</f>
        <v>1532179</v>
      </c>
      <c r="VS63" s="343">
        <f>SUM(Input[[#This Row],[Oth Exp E&amp;G]],Input[[#This Row],[Oth Exp Desg]],Input[[#This Row],[Oth Exp R Exp]],Input[[#This Row],[Oth Exp Loan]],Input[[#This Row],[Oth Exp Annuity]],Input[[#This Row],[Oth Exp Unexp]],Input[[#This Row],[Oth Exp R of Ind]],Input[[#This Row],[Oth Exp Inv in P]],Input[[#This Row],[Oth Exp Inv in P]])</f>
        <v>0</v>
      </c>
    </row>
    <row r="64" spans="1:591" s="344" customFormat="1" ht="27" customHeight="1" x14ac:dyDescent="0.55000000000000004">
      <c r="A64" s="339" t="s">
        <v>41</v>
      </c>
      <c r="B64" s="334" t="s">
        <v>829</v>
      </c>
      <c r="C64" s="334" t="s">
        <v>14</v>
      </c>
      <c r="D64" s="334">
        <v>410</v>
      </c>
      <c r="E64" s="334" t="s">
        <v>1623</v>
      </c>
      <c r="F64" s="335">
        <v>11618</v>
      </c>
      <c r="G64" s="336">
        <v>271513880</v>
      </c>
      <c r="H64" s="336">
        <v>0</v>
      </c>
      <c r="I64" s="336">
        <v>0</v>
      </c>
      <c r="J64" s="336">
        <v>0</v>
      </c>
      <c r="K64" s="336">
        <v>0</v>
      </c>
      <c r="L64" s="336">
        <v>0</v>
      </c>
      <c r="M64" s="336">
        <v>0</v>
      </c>
      <c r="N64" s="336">
        <v>0</v>
      </c>
      <c r="O64" s="336">
        <v>0</v>
      </c>
      <c r="P64" s="336">
        <v>6140278</v>
      </c>
      <c r="Q64" s="336">
        <v>1863020</v>
      </c>
      <c r="R64" s="336">
        <v>0</v>
      </c>
      <c r="S64" s="336">
        <v>9976550</v>
      </c>
      <c r="T64" s="336">
        <v>0</v>
      </c>
      <c r="U64" s="336">
        <v>0</v>
      </c>
      <c r="V64" s="336">
        <v>0</v>
      </c>
      <c r="W64" s="336">
        <v>0</v>
      </c>
      <c r="X64" s="336">
        <v>0</v>
      </c>
      <c r="Y64" s="336">
        <v>0</v>
      </c>
      <c r="Z64" s="336">
        <v>0</v>
      </c>
      <c r="AA64" s="336">
        <v>0</v>
      </c>
      <c r="AB64" s="336">
        <v>0</v>
      </c>
      <c r="AC64" s="336">
        <v>0</v>
      </c>
      <c r="AD64" s="336">
        <v>0</v>
      </c>
      <c r="AE64" s="336">
        <v>0</v>
      </c>
      <c r="AF64" s="336">
        <v>0</v>
      </c>
      <c r="AG64" s="336">
        <v>0</v>
      </c>
      <c r="AH64" s="336">
        <v>0</v>
      </c>
      <c r="AI64" s="336">
        <v>0</v>
      </c>
      <c r="AJ64" s="336">
        <v>0</v>
      </c>
      <c r="AK64" s="336">
        <v>0</v>
      </c>
      <c r="AL64" s="336">
        <v>0</v>
      </c>
      <c r="AM64" s="336">
        <v>0</v>
      </c>
      <c r="AN64" s="336">
        <v>0</v>
      </c>
      <c r="AO64" s="336">
        <v>0</v>
      </c>
      <c r="AP64" s="336">
        <v>0</v>
      </c>
      <c r="AQ64" s="336">
        <v>-6933252</v>
      </c>
      <c r="AR64" s="336">
        <v>-36587</v>
      </c>
      <c r="AS64" s="336">
        <v>0</v>
      </c>
      <c r="AT64" s="336">
        <v>0</v>
      </c>
      <c r="AU64" s="336">
        <v>0</v>
      </c>
      <c r="AV64" s="336">
        <v>0</v>
      </c>
      <c r="AW64" s="336">
        <v>0</v>
      </c>
      <c r="AX64" s="336">
        <v>0</v>
      </c>
      <c r="AY64" s="336">
        <v>0</v>
      </c>
      <c r="AZ64" s="336">
        <v>0</v>
      </c>
      <c r="BA64" s="336">
        <v>0</v>
      </c>
      <c r="BB64" s="336">
        <v>0</v>
      </c>
      <c r="BC64" s="336">
        <v>0</v>
      </c>
      <c r="BD64" s="336">
        <v>0</v>
      </c>
      <c r="BE64" s="336">
        <v>0</v>
      </c>
      <c r="BF64" s="336">
        <v>0</v>
      </c>
      <c r="BG64" s="336">
        <v>0</v>
      </c>
      <c r="BH64" s="336">
        <v>0</v>
      </c>
      <c r="BI64" s="336">
        <v>0</v>
      </c>
      <c r="BJ64" s="336">
        <v>0</v>
      </c>
      <c r="BK64" s="336">
        <v>0</v>
      </c>
      <c r="BL64" s="336">
        <v>0</v>
      </c>
      <c r="BM64" s="336">
        <v>0</v>
      </c>
      <c r="BN64" s="336">
        <v>0</v>
      </c>
      <c r="BO64" s="336">
        <v>0</v>
      </c>
      <c r="BP64" s="336">
        <v>0</v>
      </c>
      <c r="BQ64" s="336">
        <v>0</v>
      </c>
      <c r="BR64" s="336">
        <v>0</v>
      </c>
      <c r="BS64" s="336">
        <v>0</v>
      </c>
      <c r="BT64" s="336">
        <v>0</v>
      </c>
      <c r="BU64" s="336">
        <v>0</v>
      </c>
      <c r="BV64" s="336">
        <v>0</v>
      </c>
      <c r="BW64" s="336">
        <v>0</v>
      </c>
      <c r="BX64" s="336">
        <v>0</v>
      </c>
      <c r="BY64" s="336">
        <v>0</v>
      </c>
      <c r="BZ64" s="336">
        <v>0</v>
      </c>
      <c r="CA64" s="336">
        <v>26128327</v>
      </c>
      <c r="CB64" s="336">
        <v>31908608</v>
      </c>
      <c r="CC64" s="336">
        <v>0</v>
      </c>
      <c r="CD64" s="336">
        <v>0</v>
      </c>
      <c r="CE64" s="336">
        <v>0</v>
      </c>
      <c r="CF64" s="336">
        <v>0</v>
      </c>
      <c r="CG64" s="336">
        <v>0</v>
      </c>
      <c r="CH64" s="336">
        <v>0</v>
      </c>
      <c r="CI64" s="336">
        <v>0</v>
      </c>
      <c r="CJ64" s="336">
        <v>0</v>
      </c>
      <c r="CK64" s="336">
        <v>0</v>
      </c>
      <c r="CL64" s="336">
        <v>0</v>
      </c>
      <c r="CM64" s="336">
        <v>0</v>
      </c>
      <c r="CN64" s="336">
        <v>0</v>
      </c>
      <c r="CO64" s="336">
        <v>0</v>
      </c>
      <c r="CP64" s="336">
        <v>0</v>
      </c>
      <c r="CQ64" s="336">
        <v>0</v>
      </c>
      <c r="CR64" s="336">
        <v>0</v>
      </c>
      <c r="CS64" s="336">
        <v>0</v>
      </c>
      <c r="CT64" s="336">
        <v>0</v>
      </c>
      <c r="CU64" s="336">
        <v>0</v>
      </c>
      <c r="CV64" s="336">
        <v>0</v>
      </c>
      <c r="CW64" s="336">
        <v>0</v>
      </c>
      <c r="CX64" s="336">
        <v>0</v>
      </c>
      <c r="CY64" s="336">
        <v>0</v>
      </c>
      <c r="CZ64" s="336">
        <v>0</v>
      </c>
      <c r="DA64" s="336">
        <v>0</v>
      </c>
      <c r="DB64" s="336">
        <v>-242992</v>
      </c>
      <c r="DC64" s="336">
        <v>-381493</v>
      </c>
      <c r="DD64" s="336">
        <v>0</v>
      </c>
      <c r="DE64" s="336">
        <v>0</v>
      </c>
      <c r="DF64" s="336">
        <v>0</v>
      </c>
      <c r="DG64" s="336">
        <v>0</v>
      </c>
      <c r="DH64" s="336">
        <v>0</v>
      </c>
      <c r="DI64" s="336">
        <v>0</v>
      </c>
      <c r="DJ64" s="336">
        <v>0</v>
      </c>
      <c r="DK64" s="336">
        <v>0</v>
      </c>
      <c r="DL64" s="336">
        <v>0</v>
      </c>
      <c r="DM64" s="336">
        <v>0</v>
      </c>
      <c r="DN64" s="336">
        <v>0</v>
      </c>
      <c r="DO64" s="336">
        <v>0</v>
      </c>
      <c r="DP64" s="336">
        <v>0</v>
      </c>
      <c r="DQ64" s="336">
        <v>0</v>
      </c>
      <c r="DR64" s="336">
        <v>0</v>
      </c>
      <c r="DS64" s="336">
        <v>0</v>
      </c>
      <c r="DT64" s="336">
        <v>-567819</v>
      </c>
      <c r="DU64" s="336">
        <v>-850894</v>
      </c>
      <c r="DV64" s="336">
        <v>0</v>
      </c>
      <c r="DW64" s="336">
        <v>0</v>
      </c>
      <c r="DX64" s="336">
        <v>0</v>
      </c>
      <c r="DY64" s="336">
        <v>0</v>
      </c>
      <c r="DZ64" s="336">
        <v>0</v>
      </c>
      <c r="EA64" s="336">
        <v>0</v>
      </c>
      <c r="EB64" s="336">
        <v>0</v>
      </c>
      <c r="EC64" s="336">
        <v>0</v>
      </c>
      <c r="ED64" s="336">
        <v>0</v>
      </c>
      <c r="EE64" s="336">
        <v>0</v>
      </c>
      <c r="EF64" s="336">
        <v>0</v>
      </c>
      <c r="EG64" s="336">
        <v>0</v>
      </c>
      <c r="EH64" s="336">
        <v>0</v>
      </c>
      <c r="EI64" s="336">
        <v>0</v>
      </c>
      <c r="EJ64" s="336">
        <v>0</v>
      </c>
      <c r="EK64" s="336">
        <v>0</v>
      </c>
      <c r="EL64" s="336">
        <v>0</v>
      </c>
      <c r="EM64" s="336">
        <v>0</v>
      </c>
      <c r="EN64" s="336">
        <v>0</v>
      </c>
      <c r="EO64" s="336">
        <v>0</v>
      </c>
      <c r="EP64" s="336">
        <v>0</v>
      </c>
      <c r="EQ64" s="336">
        <v>0</v>
      </c>
      <c r="ER64" s="336">
        <v>0</v>
      </c>
      <c r="ES64" s="336">
        <v>0</v>
      </c>
      <c r="ET64" s="336">
        <v>0</v>
      </c>
      <c r="EU64" s="336">
        <v>0</v>
      </c>
      <c r="EV64" s="336">
        <v>0</v>
      </c>
      <c r="EW64" s="336">
        <v>0</v>
      </c>
      <c r="EX64" s="336">
        <v>0</v>
      </c>
      <c r="EY64" s="336">
        <v>0</v>
      </c>
      <c r="EZ64" s="336">
        <v>0</v>
      </c>
      <c r="FA64" s="336">
        <v>0</v>
      </c>
      <c r="FB64" s="336">
        <v>0</v>
      </c>
      <c r="FC64" s="336">
        <v>0</v>
      </c>
      <c r="FD64" s="336">
        <v>0</v>
      </c>
      <c r="FE64" s="336">
        <v>0</v>
      </c>
      <c r="FF64" s="336">
        <v>0</v>
      </c>
      <c r="FG64" s="336">
        <v>0</v>
      </c>
      <c r="FH64" s="336">
        <v>0</v>
      </c>
      <c r="FI64" s="336">
        <v>0</v>
      </c>
      <c r="FJ64" s="336">
        <v>0</v>
      </c>
      <c r="FK64" s="336">
        <v>0</v>
      </c>
      <c r="FL64" s="336">
        <v>0</v>
      </c>
      <c r="FM64" s="336">
        <v>158975</v>
      </c>
      <c r="FN64" s="336">
        <v>12955333</v>
      </c>
      <c r="FO64" s="336">
        <v>2311345</v>
      </c>
      <c r="FP64" s="336">
        <v>0</v>
      </c>
      <c r="FQ64" s="336">
        <v>0</v>
      </c>
      <c r="FR64" s="336">
        <v>0</v>
      </c>
      <c r="FS64" s="336">
        <v>0</v>
      </c>
      <c r="FT64" s="336">
        <v>0</v>
      </c>
      <c r="FU64" s="336">
        <v>0</v>
      </c>
      <c r="FV64" s="336">
        <v>0</v>
      </c>
      <c r="FW64" s="336">
        <v>0</v>
      </c>
      <c r="FX64" s="336">
        <v>0</v>
      </c>
      <c r="FY64" s="336">
        <v>0</v>
      </c>
      <c r="FZ64" s="336">
        <v>0</v>
      </c>
      <c r="GA64" s="336">
        <v>0</v>
      </c>
      <c r="GB64" s="336">
        <v>0</v>
      </c>
      <c r="GC64" s="336">
        <v>0</v>
      </c>
      <c r="GD64" s="336">
        <v>0</v>
      </c>
      <c r="GE64" s="336">
        <v>0</v>
      </c>
      <c r="GF64" s="336">
        <v>0</v>
      </c>
      <c r="GG64" s="336">
        <v>0</v>
      </c>
      <c r="GH64" s="336">
        <v>0</v>
      </c>
      <c r="GI64" s="336">
        <v>0</v>
      </c>
      <c r="GJ64" s="336">
        <v>0</v>
      </c>
      <c r="GK64" s="336">
        <v>0</v>
      </c>
      <c r="GL64" s="336">
        <v>0</v>
      </c>
      <c r="GM64" s="336">
        <v>0</v>
      </c>
      <c r="GN64" s="336">
        <v>0</v>
      </c>
      <c r="GO64" s="336">
        <v>-190868</v>
      </c>
      <c r="GP64" s="336">
        <v>-21452</v>
      </c>
      <c r="GQ64" s="336">
        <v>0</v>
      </c>
      <c r="GR64" s="336">
        <v>0</v>
      </c>
      <c r="GS64" s="336">
        <v>0</v>
      </c>
      <c r="GT64" s="336">
        <v>0</v>
      </c>
      <c r="GU64" s="336">
        <v>0</v>
      </c>
      <c r="GV64" s="336">
        <v>0</v>
      </c>
      <c r="GW64" s="336">
        <v>0</v>
      </c>
      <c r="GX64" s="336">
        <v>0</v>
      </c>
      <c r="GY64" s="336">
        <v>0</v>
      </c>
      <c r="GZ64" s="336">
        <v>0</v>
      </c>
      <c r="HA64" s="336">
        <v>0</v>
      </c>
      <c r="HB64" s="336">
        <v>0</v>
      </c>
      <c r="HC64" s="336">
        <v>0</v>
      </c>
      <c r="HD64" s="336">
        <v>0</v>
      </c>
      <c r="HE64" s="336">
        <v>0</v>
      </c>
      <c r="HF64" s="336">
        <v>0</v>
      </c>
      <c r="HG64" s="336">
        <v>0</v>
      </c>
      <c r="HH64" s="336">
        <v>-47533</v>
      </c>
      <c r="HI64" s="336">
        <v>0</v>
      </c>
      <c r="HJ64" s="336">
        <v>0</v>
      </c>
      <c r="HK64" s="336">
        <v>0</v>
      </c>
      <c r="HL64" s="336">
        <v>0</v>
      </c>
      <c r="HM64" s="336">
        <v>0</v>
      </c>
      <c r="HN64" s="336">
        <v>0</v>
      </c>
      <c r="HO64" s="336">
        <v>0</v>
      </c>
      <c r="HP64" s="336">
        <v>75567751</v>
      </c>
      <c r="HQ64" s="336">
        <v>0</v>
      </c>
      <c r="HR64" s="336">
        <v>234276285</v>
      </c>
      <c r="HS64" s="336">
        <v>0</v>
      </c>
      <c r="HT64" s="336">
        <v>0</v>
      </c>
      <c r="HU64" s="336">
        <v>0</v>
      </c>
      <c r="HV64" s="336">
        <v>0</v>
      </c>
      <c r="HW64" s="336">
        <v>0</v>
      </c>
      <c r="HX64" s="336">
        <v>0</v>
      </c>
      <c r="HY64" s="336">
        <v>565391359</v>
      </c>
      <c r="HZ64" s="336">
        <v>0</v>
      </c>
      <c r="IA64" s="336">
        <v>0</v>
      </c>
      <c r="IB64" s="336">
        <v>0</v>
      </c>
      <c r="IC64" s="336">
        <v>0</v>
      </c>
      <c r="ID64" s="336">
        <v>0</v>
      </c>
      <c r="IE64" s="336">
        <v>0</v>
      </c>
      <c r="IF64" s="336">
        <v>0</v>
      </c>
      <c r="IG64" s="336">
        <v>125309676</v>
      </c>
      <c r="IH64" s="336">
        <v>38300141</v>
      </c>
      <c r="II64" s="336">
        <v>0</v>
      </c>
      <c r="IJ64" s="336">
        <v>0</v>
      </c>
      <c r="IK64" s="336">
        <v>0</v>
      </c>
      <c r="IL64" s="336">
        <v>0</v>
      </c>
      <c r="IM64" s="336">
        <v>0</v>
      </c>
      <c r="IN64" s="336">
        <v>0</v>
      </c>
      <c r="IO64" s="336">
        <v>0</v>
      </c>
      <c r="IP64" s="336">
        <v>5950507</v>
      </c>
      <c r="IQ64" s="336">
        <v>70057285</v>
      </c>
      <c r="IR64" s="336">
        <v>13709</v>
      </c>
      <c r="IS64" s="336">
        <v>31850631</v>
      </c>
      <c r="IT64" s="336">
        <v>201057</v>
      </c>
      <c r="IU64" s="336">
        <v>403460</v>
      </c>
      <c r="IV64" s="336">
        <v>964802</v>
      </c>
      <c r="IW64" s="336">
        <v>0</v>
      </c>
      <c r="IX64" s="336">
        <v>0</v>
      </c>
      <c r="IY64" s="336">
        <v>0</v>
      </c>
      <c r="IZ64" s="336">
        <v>812394771</v>
      </c>
      <c r="JA64" s="336">
        <v>0</v>
      </c>
      <c r="JB64" s="336">
        <v>21439866</v>
      </c>
      <c r="JC64" s="336">
        <v>0</v>
      </c>
      <c r="JD64" s="336">
        <v>0</v>
      </c>
      <c r="JE64" s="336">
        <v>0</v>
      </c>
      <c r="JF64" s="336">
        <v>0</v>
      </c>
      <c r="JG64" s="336">
        <v>0</v>
      </c>
      <c r="JH64" s="336">
        <v>0</v>
      </c>
      <c r="JI64" s="336">
        <v>8997971</v>
      </c>
      <c r="JJ64" s="336">
        <v>0</v>
      </c>
      <c r="JK64" s="336">
        <v>97678186</v>
      </c>
      <c r="JL64" s="336">
        <v>0</v>
      </c>
      <c r="JM64" s="336">
        <v>0</v>
      </c>
      <c r="JN64" s="336">
        <v>0</v>
      </c>
      <c r="JO64" s="336">
        <v>0</v>
      </c>
      <c r="JP64" s="336">
        <v>0</v>
      </c>
      <c r="JQ64" s="336">
        <v>12660074</v>
      </c>
      <c r="JR64" s="336">
        <v>17477555</v>
      </c>
      <c r="JS64" s="336">
        <v>0</v>
      </c>
      <c r="JT64" s="336">
        <v>40625832</v>
      </c>
      <c r="JU64" s="336">
        <v>0</v>
      </c>
      <c r="JV64" s="336">
        <v>0</v>
      </c>
      <c r="JW64" s="336">
        <v>0</v>
      </c>
      <c r="JX64" s="336">
        <v>0</v>
      </c>
      <c r="JY64" s="336">
        <v>0</v>
      </c>
      <c r="JZ64" s="336">
        <v>0</v>
      </c>
      <c r="KA64" s="336">
        <v>0</v>
      </c>
      <c r="KB64" s="336">
        <v>23030638</v>
      </c>
      <c r="KC64" s="336">
        <v>0</v>
      </c>
      <c r="KD64" s="336">
        <v>0</v>
      </c>
      <c r="KE64" s="336">
        <v>0</v>
      </c>
      <c r="KF64" s="336">
        <v>0</v>
      </c>
      <c r="KG64" s="336">
        <v>0</v>
      </c>
      <c r="KH64" s="336">
        <v>0</v>
      </c>
      <c r="KI64" s="336">
        <v>1570573</v>
      </c>
      <c r="KJ64" s="336">
        <v>68485422</v>
      </c>
      <c r="KK64" s="336">
        <v>0</v>
      </c>
      <c r="KL64" s="336">
        <v>807052</v>
      </c>
      <c r="KM64" s="336">
        <v>196873</v>
      </c>
      <c r="KN64" s="336">
        <v>0</v>
      </c>
      <c r="KO64" s="336">
        <v>0</v>
      </c>
      <c r="KP64" s="336">
        <v>0</v>
      </c>
      <c r="KQ64" s="336">
        <v>-74440</v>
      </c>
      <c r="KR64" s="336">
        <v>124831819</v>
      </c>
      <c r="KS64" s="336">
        <v>933829274</v>
      </c>
      <c r="KT64" s="336">
        <v>0</v>
      </c>
      <c r="KU64" s="336">
        <v>14174630</v>
      </c>
      <c r="KV64" s="336">
        <v>0</v>
      </c>
      <c r="KW64" s="336">
        <v>0</v>
      </c>
      <c r="KX64" s="336">
        <v>0</v>
      </c>
      <c r="KY64" s="336">
        <v>0</v>
      </c>
      <c r="KZ64" s="336">
        <v>0</v>
      </c>
      <c r="LA64" s="336">
        <v>34212270</v>
      </c>
      <c r="LB64" s="336">
        <v>42679816</v>
      </c>
      <c r="LC64" s="336">
        <v>0</v>
      </c>
      <c r="LD64" s="336">
        <v>233636509</v>
      </c>
      <c r="LE64" s="336">
        <v>0</v>
      </c>
      <c r="LF64" s="336">
        <v>0</v>
      </c>
      <c r="LG64" s="336">
        <v>0</v>
      </c>
      <c r="LH64" s="336">
        <v>0</v>
      </c>
      <c r="LI64" s="336">
        <v>0</v>
      </c>
      <c r="LJ64" s="336">
        <v>7302843</v>
      </c>
      <c r="LK64" s="336">
        <v>2871749</v>
      </c>
      <c r="LL64" s="336">
        <v>0</v>
      </c>
      <c r="LM64" s="336">
        <v>77559524</v>
      </c>
      <c r="LN64" s="336">
        <v>0</v>
      </c>
      <c r="LO64" s="336">
        <v>0</v>
      </c>
      <c r="LP64" s="336">
        <v>0</v>
      </c>
      <c r="LQ64" s="336">
        <v>0</v>
      </c>
      <c r="LR64" s="336">
        <v>0</v>
      </c>
      <c r="LS64" s="336">
        <v>145206897</v>
      </c>
      <c r="LT64" s="336">
        <v>464298364</v>
      </c>
      <c r="LU64" s="336">
        <v>0</v>
      </c>
      <c r="LV64" s="336">
        <v>84299565</v>
      </c>
      <c r="LW64" s="336">
        <v>0</v>
      </c>
      <c r="LX64" s="336">
        <v>0</v>
      </c>
      <c r="LY64" s="336">
        <v>0</v>
      </c>
      <c r="LZ64" s="336">
        <v>0</v>
      </c>
      <c r="MA64" s="336">
        <v>0</v>
      </c>
      <c r="MB64" s="336">
        <v>37868156</v>
      </c>
      <c r="MC64" s="336">
        <v>31381785</v>
      </c>
      <c r="MD64" s="336">
        <v>0</v>
      </c>
      <c r="ME64" s="336">
        <v>5619257</v>
      </c>
      <c r="MF64" s="336">
        <v>0</v>
      </c>
      <c r="MG64" s="336">
        <v>0</v>
      </c>
      <c r="MH64" s="336">
        <v>0</v>
      </c>
      <c r="MI64" s="336">
        <v>0</v>
      </c>
      <c r="MJ64" s="336">
        <v>0</v>
      </c>
      <c r="MK64" s="336">
        <v>3721320</v>
      </c>
      <c r="ML64" s="336">
        <v>8181276</v>
      </c>
      <c r="MM64" s="336">
        <v>0</v>
      </c>
      <c r="MN64" s="336">
        <v>2441731</v>
      </c>
      <c r="MO64" s="336">
        <v>39443</v>
      </c>
      <c r="MP64" s="336">
        <v>0</v>
      </c>
      <c r="MQ64" s="336">
        <v>0</v>
      </c>
      <c r="MR64" s="336">
        <v>0</v>
      </c>
      <c r="MS64" s="336">
        <v>0</v>
      </c>
      <c r="MT64" s="336">
        <v>52173208</v>
      </c>
      <c r="MU64" s="336">
        <v>52701953</v>
      </c>
      <c r="MV64" s="336">
        <v>0</v>
      </c>
      <c r="MW64" s="336">
        <v>2754521</v>
      </c>
      <c r="MX64" s="336">
        <v>0</v>
      </c>
      <c r="MY64" s="336">
        <v>0</v>
      </c>
      <c r="MZ64" s="336">
        <v>0</v>
      </c>
      <c r="NA64" s="336">
        <v>0</v>
      </c>
      <c r="NB64" s="336">
        <v>0</v>
      </c>
      <c r="NC64" s="336">
        <v>27896981</v>
      </c>
      <c r="ND64" s="336">
        <v>12567868</v>
      </c>
      <c r="NE64" s="336">
        <v>0</v>
      </c>
      <c r="NF64" s="336">
        <v>3788</v>
      </c>
      <c r="NG64" s="336">
        <v>0</v>
      </c>
      <c r="NH64" s="336">
        <v>0</v>
      </c>
      <c r="NI64" s="336">
        <v>8493960</v>
      </c>
      <c r="NJ64" s="336">
        <v>0</v>
      </c>
      <c r="NK64" s="336">
        <v>0</v>
      </c>
      <c r="NL64" s="336">
        <v>112644</v>
      </c>
      <c r="NM64" s="336">
        <v>5239892</v>
      </c>
      <c r="NN64" s="336">
        <v>0</v>
      </c>
      <c r="NO64" s="336">
        <v>8579442</v>
      </c>
      <c r="NP64" s="336">
        <v>0</v>
      </c>
      <c r="NQ64" s="336">
        <v>0</v>
      </c>
      <c r="NR64" s="336">
        <v>0</v>
      </c>
      <c r="NS64" s="336">
        <v>0</v>
      </c>
      <c r="NT64" s="336">
        <v>0</v>
      </c>
      <c r="NU64" s="336">
        <v>0</v>
      </c>
      <c r="NV64" s="336">
        <v>0</v>
      </c>
      <c r="NW64" s="336">
        <v>17934441</v>
      </c>
      <c r="NX64" s="336">
        <v>0</v>
      </c>
      <c r="NY64" s="336">
        <v>0</v>
      </c>
      <c r="NZ64" s="336">
        <v>0</v>
      </c>
      <c r="OA64" s="336">
        <v>0</v>
      </c>
      <c r="OB64" s="336">
        <v>0</v>
      </c>
      <c r="OC64" s="336">
        <v>0</v>
      </c>
      <c r="OD64" s="336">
        <v>466255</v>
      </c>
      <c r="OE64" s="336">
        <v>15562140</v>
      </c>
      <c r="OF64" s="336">
        <v>75255586</v>
      </c>
      <c r="OG64" s="336">
        <v>4268715</v>
      </c>
      <c r="OH64" s="336">
        <v>0</v>
      </c>
      <c r="OI64" s="336">
        <v>0</v>
      </c>
      <c r="OJ64" s="336">
        <v>0</v>
      </c>
      <c r="OK64" s="336">
        <v>0</v>
      </c>
      <c r="OL64" s="336">
        <v>0</v>
      </c>
      <c r="OM64" s="336">
        <v>9973</v>
      </c>
      <c r="ON64" s="336">
        <v>3034803</v>
      </c>
      <c r="OO64" s="336">
        <v>367722</v>
      </c>
      <c r="OP64" s="336">
        <v>10742</v>
      </c>
      <c r="OQ64" s="336">
        <v>0</v>
      </c>
      <c r="OR64" s="336">
        <v>0</v>
      </c>
      <c r="OS64" s="336">
        <v>0</v>
      </c>
      <c r="OT64" s="336">
        <v>0</v>
      </c>
      <c r="OU64" s="336">
        <v>0</v>
      </c>
      <c r="OV64" s="336">
        <v>0</v>
      </c>
      <c r="OW64" s="336">
        <v>0</v>
      </c>
      <c r="OX64" s="336">
        <v>0</v>
      </c>
      <c r="OY64" s="336">
        <v>0</v>
      </c>
      <c r="OZ64" s="336">
        <v>0</v>
      </c>
      <c r="PA64" s="336">
        <v>0</v>
      </c>
      <c r="PB64" s="336">
        <v>-117436434</v>
      </c>
      <c r="PC64" s="336">
        <v>0</v>
      </c>
      <c r="PD64" s="336">
        <v>0</v>
      </c>
      <c r="PE64" s="336">
        <v>6692442</v>
      </c>
      <c r="PF64" s="336">
        <v>-75713899</v>
      </c>
      <c r="PG64" s="336">
        <v>80230868</v>
      </c>
      <c r="PH64" s="336">
        <v>2359171</v>
      </c>
      <c r="PI64" s="336">
        <v>-34758</v>
      </c>
      <c r="PJ64" s="336">
        <v>4944970</v>
      </c>
      <c r="PK64" s="336">
        <v>54807352</v>
      </c>
      <c r="PL64" s="336">
        <v>0</v>
      </c>
      <c r="PM64" s="336">
        <v>32994038</v>
      </c>
      <c r="PN64" s="336">
        <v>0</v>
      </c>
      <c r="PO64" s="336">
        <v>0</v>
      </c>
      <c r="PP64" s="336">
        <v>0</v>
      </c>
      <c r="PQ64" s="336">
        <v>0</v>
      </c>
      <c r="PR64" s="336">
        <v>0</v>
      </c>
      <c r="PS64" s="336">
        <v>0</v>
      </c>
      <c r="PT64" s="336">
        <v>17815865</v>
      </c>
      <c r="PU64" s="336">
        <v>0</v>
      </c>
      <c r="PV64" s="336">
        <v>0</v>
      </c>
      <c r="PW64" s="336">
        <v>-24469099</v>
      </c>
      <c r="PX64" s="336">
        <v>-11785146</v>
      </c>
      <c r="PY64" s="336">
        <v>-6066999</v>
      </c>
      <c r="PZ64" s="336">
        <v>0</v>
      </c>
      <c r="QA64" s="336">
        <v>0</v>
      </c>
      <c r="QB64" s="336">
        <v>0</v>
      </c>
      <c r="QC64" s="336">
        <v>0</v>
      </c>
      <c r="QD64" s="336">
        <v>0</v>
      </c>
      <c r="QE64" s="336">
        <v>0</v>
      </c>
      <c r="QF64" s="336">
        <v>0</v>
      </c>
      <c r="QG64" s="336">
        <v>47811331</v>
      </c>
      <c r="QH64" s="336">
        <v>0</v>
      </c>
      <c r="QI64" s="336">
        <v>131293</v>
      </c>
      <c r="QJ64" s="336">
        <v>0</v>
      </c>
      <c r="QK64" s="336">
        <v>50487443</v>
      </c>
      <c r="QL64" s="336">
        <v>0</v>
      </c>
      <c r="QM64" s="336">
        <v>0</v>
      </c>
      <c r="QN64" s="336">
        <v>0</v>
      </c>
      <c r="QO64" s="336">
        <v>0</v>
      </c>
      <c r="QP64" s="336">
        <v>0</v>
      </c>
      <c r="QQ64" s="336">
        <v>0</v>
      </c>
      <c r="QR64" s="336">
        <v>0</v>
      </c>
      <c r="QS64" s="336">
        <v>0</v>
      </c>
      <c r="QT64" s="336">
        <v>27944445</v>
      </c>
      <c r="QU64" s="336">
        <v>0</v>
      </c>
      <c r="QV64" s="336">
        <v>0</v>
      </c>
      <c r="QW64" s="336">
        <v>0</v>
      </c>
      <c r="QX64" s="336">
        <v>0</v>
      </c>
      <c r="QY64" s="336">
        <v>0</v>
      </c>
      <c r="QZ64" s="336">
        <v>0</v>
      </c>
      <c r="RA64" s="336">
        <v>0</v>
      </c>
      <c r="RB64" s="336">
        <v>0</v>
      </c>
      <c r="RC64" s="336">
        <v>0</v>
      </c>
      <c r="RD64" s="336">
        <v>0</v>
      </c>
      <c r="RE64" s="336">
        <v>0</v>
      </c>
      <c r="RF64" s="336">
        <v>0</v>
      </c>
      <c r="RG64" s="336">
        <v>0</v>
      </c>
      <c r="RH64" s="336">
        <v>0</v>
      </c>
      <c r="RI64" s="336">
        <v>0</v>
      </c>
      <c r="RJ64" s="336">
        <v>0</v>
      </c>
      <c r="RK64" s="336">
        <v>0</v>
      </c>
      <c r="RL64" s="336">
        <v>0</v>
      </c>
      <c r="RM64" s="336">
        <v>0</v>
      </c>
      <c r="RN64" s="336">
        <v>0</v>
      </c>
      <c r="RO64" s="336">
        <v>-107604134</v>
      </c>
      <c r="RP64" s="336">
        <v>0</v>
      </c>
      <c r="RQ64" s="336">
        <v>0</v>
      </c>
      <c r="RR64" s="336">
        <v>0</v>
      </c>
      <c r="RS64" s="336">
        <v>0</v>
      </c>
      <c r="RT64" s="336">
        <v>0</v>
      </c>
      <c r="RU64" s="336">
        <v>0</v>
      </c>
      <c r="RV64" s="336">
        <v>0</v>
      </c>
      <c r="RW64" s="336">
        <v>0</v>
      </c>
      <c r="RX64" s="336">
        <v>0</v>
      </c>
      <c r="RY64" s="336">
        <v>0</v>
      </c>
      <c r="RZ64" s="336">
        <v>0</v>
      </c>
      <c r="SA64" s="336">
        <v>0</v>
      </c>
      <c r="SB64" s="336">
        <v>0</v>
      </c>
      <c r="SC64" s="336">
        <v>0</v>
      </c>
      <c r="SD64" s="336">
        <v>0</v>
      </c>
      <c r="SE64" s="336">
        <v>0</v>
      </c>
      <c r="SF64" s="336">
        <v>0</v>
      </c>
      <c r="SG64" s="336">
        <v>0</v>
      </c>
      <c r="SH64" s="336">
        <v>0</v>
      </c>
      <c r="SI64" s="336">
        <v>0</v>
      </c>
      <c r="SJ64" s="336">
        <v>0</v>
      </c>
      <c r="SK64" s="336">
        <v>0</v>
      </c>
      <c r="SL64" s="336">
        <v>0</v>
      </c>
      <c r="SM64" s="336">
        <v>0</v>
      </c>
      <c r="SN64" s="336">
        <v>0</v>
      </c>
      <c r="SO64" s="336">
        <v>0</v>
      </c>
      <c r="SP64" s="336">
        <v>0</v>
      </c>
      <c r="SQ64" s="336">
        <v>0</v>
      </c>
      <c r="SR64" s="336">
        <v>0</v>
      </c>
      <c r="SS64" s="336">
        <v>0</v>
      </c>
      <c r="ST64" s="336">
        <v>0</v>
      </c>
      <c r="SU64" s="336">
        <v>0</v>
      </c>
      <c r="SV64" s="336">
        <v>0</v>
      </c>
      <c r="SW64" s="336">
        <v>0</v>
      </c>
      <c r="SX64" s="336">
        <v>0</v>
      </c>
      <c r="SY64" s="336">
        <v>212989130</v>
      </c>
      <c r="SZ64" s="336" t="s">
        <v>1420</v>
      </c>
      <c r="TA64" s="336" t="s">
        <v>1420</v>
      </c>
      <c r="TB64" s="336" t="s">
        <v>1420</v>
      </c>
      <c r="TC64" s="336">
        <v>4997320</v>
      </c>
      <c r="TD64" s="336">
        <v>7795517</v>
      </c>
      <c r="TE64" s="336">
        <v>654579</v>
      </c>
      <c r="TF64" s="336">
        <v>2927432</v>
      </c>
      <c r="TG64" s="336">
        <v>1620927</v>
      </c>
      <c r="TH64" s="336">
        <v>136930</v>
      </c>
      <c r="TI64" s="336">
        <v>2100266</v>
      </c>
      <c r="TJ64" s="336">
        <v>64139</v>
      </c>
      <c r="TK64" s="336">
        <v>0</v>
      </c>
      <c r="TL64" s="336">
        <v>75255586</v>
      </c>
      <c r="TM64" s="336">
        <v>0</v>
      </c>
      <c r="TN64" s="336">
        <v>713652</v>
      </c>
      <c r="TO64" s="336">
        <v>7040025</v>
      </c>
      <c r="TP64" s="336">
        <v>1653010</v>
      </c>
      <c r="TQ64" s="336">
        <v>0</v>
      </c>
      <c r="TR64" s="336">
        <v>0</v>
      </c>
      <c r="TS64" s="336">
        <v>0</v>
      </c>
      <c r="TT64" s="336">
        <v>0</v>
      </c>
      <c r="TU64" s="336">
        <v>0</v>
      </c>
      <c r="TV64" s="336">
        <v>0</v>
      </c>
      <c r="TW64" s="336">
        <v>12033</v>
      </c>
      <c r="TX64" s="336">
        <v>750846</v>
      </c>
      <c r="TY64" s="336">
        <v>117048</v>
      </c>
      <c r="TZ64" s="336">
        <v>0</v>
      </c>
      <c r="UA64" s="336">
        <v>0</v>
      </c>
      <c r="UB64" s="336">
        <v>0</v>
      </c>
      <c r="UC64" s="336">
        <v>0</v>
      </c>
      <c r="UD64" s="336">
        <v>0</v>
      </c>
      <c r="UE64" s="336">
        <v>0</v>
      </c>
      <c r="UF64" s="336">
        <v>352202143</v>
      </c>
      <c r="UG64" s="336">
        <v>188592326</v>
      </c>
      <c r="UH64" s="336">
        <v>1072835723</v>
      </c>
      <c r="UI64" s="336">
        <v>310528595</v>
      </c>
      <c r="UJ64" s="336">
        <v>87734116</v>
      </c>
      <c r="UK64" s="336">
        <v>693804826</v>
      </c>
      <c r="UL64" s="336">
        <v>74869198</v>
      </c>
      <c r="UM64" s="336">
        <v>14383770</v>
      </c>
      <c r="UN64" s="336">
        <v>107629682</v>
      </c>
      <c r="UO64" s="336">
        <v>48962597</v>
      </c>
      <c r="UP64" s="336">
        <v>13931978</v>
      </c>
      <c r="UQ64" s="336">
        <v>17934441</v>
      </c>
      <c r="UR64"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95552696</v>
      </c>
      <c r="US64" s="338">
        <f>SUM(Input[[#This Row],[Oth Exp E&amp;G]],Input[[#This Row],[Oth Exp Desg]],Input[[#This Row],[Oth Exp Aux]],Input[[#This Row],[Oth Exp R Exp]],Input[[#This Row],[Oth Exp Loan]],Input[[#This Row],[Oth Exp Annuity]],Input[[#This Row],[Oth Exp Unexp]],Input[[#This Row],[Oth Exp R of Ind]],Input[[#This Row],[Oth Exp Inv in P]])</f>
        <v>3423240</v>
      </c>
      <c r="UT64" s="336">
        <v>36977810</v>
      </c>
      <c r="UU64" s="336">
        <v>98430067</v>
      </c>
      <c r="UV64" s="339" t="s">
        <v>1795</v>
      </c>
      <c r="UW64" s="340">
        <v>7005004915</v>
      </c>
      <c r="UX64" s="339" t="s">
        <v>1796</v>
      </c>
      <c r="UY64" s="339" t="s">
        <v>1527</v>
      </c>
      <c r="UZ64" s="340">
        <v>7135004929</v>
      </c>
      <c r="VA64" s="339" t="s">
        <v>1797</v>
      </c>
      <c r="VB64" s="341" cm="1">
        <f t="array" ref="VB64">IFERROR(_xlfn.IFS(Input[[#This Row],[Type]]="HRI",VLOOKUP(Input[[#This Row],[Institution Name]],FTSEHRI[],9,FALSE),Input[[#This Row],[Type]]="UNIV",VLOOKUP(Input[[#This Row],[Institution Name]],FTSEUNIV[],9,FALSE),OR(Input[[#This Row],[Type]]="TSTC",Input[[#This Row],[Type]]="LSC"),VLOOKUP(Input[[#This Row],[Institution Name]],FTSETSTC[],8,FALSE)),"N/A")</f>
        <v>4722.68</v>
      </c>
      <c r="VC64" s="342" t="str" cm="1">
        <f t="array" ref="VC64">IFERROR(_xlfn.IFS(Input[[#This Row],[Type]]="HRI",VLOOKUP(Input[[#This Row],[Institution Name]],FTSEHRI[],11,FALSE),Input[[#This Row],[Type]]="UNIV",VLOOKUP(Input[[#This Row],[Institution Name]],FTSEUNIV[],11,FALSE),Input[[#This Row],[Type]]="TSTC",VLOOKUP(Input[[#This Row],[Institution Name]],FTSETSTC[],10,FALSE)),"N/A")</f>
        <v>N/A</v>
      </c>
      <c r="VD64"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289493728</v>
      </c>
      <c r="VE64"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64" s="338">
        <f>SUM(Input[[#This Row],[Fed G&amp;C E&amp;G]],Input[[#This Row],[Fed G&amp;C Desg]],Input[[#This Row],[Fed G&amp;C R Exp]],Input[[#This Row],[Fed G&amp;C Loan]],Input[[#This Row],[Fed G&amp;C Annuity]],Input[[#This Row],[Fed G&amp;C Unexp]],Input[[#This Row],[Fed G&amp;C R of Ind]],Input[[#This Row],[Fed G&amp;C Inv in P]])</f>
        <v>309844036</v>
      </c>
      <c r="VG64"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1191687477</v>
      </c>
      <c r="VH64"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55993737</v>
      </c>
      <c r="VI64"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12923440</v>
      </c>
      <c r="VJ64" s="338">
        <f>SUM(Input[[#This Row],[Oth Inc E&amp;G]],Input[[#This Row],[Oth Exp Desg]],Input[[#This Row],[Oth Exp R Exp]],Input[[#This Row],[Oth Exp Loan]],Input[[#This Row],[Oth Exp Annuity]],Input[[#This Row],[Oth Exp Unexp]],Input[[#This Row],[Oth Exp R of Ind]],Input[[#This Row],[Oth Exp Inv in P]])</f>
        <v>4616118</v>
      </c>
      <c r="VK64" s="343">
        <f>SUM(Input[[#This Row],[Instr E&amp;G]],Input[[#This Row],[Instr Desg]],Input[[#This Row],[Instr R Exp]],Input[[#This Row],[Instr Loan]],Input[[#This Row],[Instr Annuity]],Input[[#This Row],[Instr Unexp]],Input[[#This Row],[Instr R of Ind]],Input[[#This Row],[Instr Inv in P]])</f>
        <v>1072835723</v>
      </c>
      <c r="VL64" s="343">
        <f>SUM(Input[[#This Row],[Res E&amp;G]],Input[[#This Row],[Res Desg]],Input[[#This Row],[Res R Exp]],Input[[#This Row],[Res Loan]],Input[[#This Row],[Res Annuity]],Input[[#This Row],[Res Unexp]],Input[[#This Row],[Res R of Ind]],Input[[#This Row],[Res Inv in P]])</f>
        <v>310528595</v>
      </c>
      <c r="VM64" s="343">
        <f>SUM(Input[[#This Row],[Acad Sup E&amp;G]],Input[[#This Row],[Acad Sup Desg]],Input[[#This Row],[Acad Sup R Exp]],Input[[#This Row],[Acad Sup Loan]],Input[[#This Row],[Acad Sup Annuity]],Input[[#This Row],[Acad Sup Unexp]],Input[[#This Row],[Acad Sup R of Ind]],Input[[#This Row],[Acad Sup Inv in P]])</f>
        <v>74869198</v>
      </c>
      <c r="VN64" s="343">
        <f>SUM(Input[[#This Row],[Stu Svc E&amp;G]],Input[[#This Row],[Stu Svc Desg]],Input[[#This Row],[Stu Svc R Exp]],Input[[#This Row],[Stu Svc Loan]],Input[[#This Row],[Stu Svc Annuity]],Input[[#This Row],[Stu Svc Unexp]],Input[[#This Row],[Stu Svc R of Ind]],Input[[#This Row],[Stu Svc Inv in P]])</f>
        <v>14383770</v>
      </c>
      <c r="VO64" s="343">
        <f>SUM(Input[[#This Row],[Inst. Spt E&amp;G]],Input[[#This Row],[Inst. Spt Desg]],Input[[#This Row],[Inst. Spt R Exp]],Input[[#This Row],[Inst. Spt Loan]],Input[[#This Row],[Inst. Spt Annuity]],Input[[#This Row],[Inst. Spt Unexp]],Input[[#This Row],[Inst. Spt R of Ind]],Input[[#This Row],[Inst. Spt Inv in P]])</f>
        <v>107629682</v>
      </c>
      <c r="VP64" s="343">
        <f>SUM(Input[[#This Row],[M&amp;O Plnt E&amp;G]],Input[[#This Row],[M&amp;O Plnt Desg]],Input[[#This Row],[M&amp;O Plnt R Exp]],Input[[#This Row],[M&amp;O Plnt Loan]],Input[[#This Row],[M&amp;O Plnt Annuity]],Input[[#This Row],[M&amp;O Plnt Unexp]],Input[[#This Row],[M&amp;O Plnt R of Ind]],Input[[#This Row],[M&amp;O Plnt Inv in P]])</f>
        <v>48962597</v>
      </c>
      <c r="VQ64" s="343">
        <f>SUM(Input[[#This Row],[Schl &amp; Fell E&amp;G]],Input[[#This Row],[Schl &amp; Fell Desg]],Input[[#This Row],[Schl &amp; Fell R Exp]],Input[[#This Row],[Schl &amp; Fell Loan]],Input[[#This Row],[Schl &amp; Fell Annuity]],Input[[#This Row],[Schl &amp; Fell Unexp]],Input[[#This Row],[Schl &amp; Fell R of Ind]],Input[[#This Row],[Schl &amp; Fell Inv in P]])</f>
        <v>13931978</v>
      </c>
      <c r="VR64" s="343">
        <f>SUM(Input[[#This Row],[Cap Out fund E&amp;G]],Input[[#This Row],[Cap Out fund Desg]],Input[[#This Row],[Cap Out fund R Exp]],Input[[#This Row],[Cap Out fund Loan]],Input[[#This Row],[Cap Out fund Annuity]],Input[[#This Row],[Cap Out fund Unexp]],Input[[#This Row],[Cap Out fund R of Ind]],Input[[#This Row],[Cap Out fund Inv in P]])</f>
        <v>20297110</v>
      </c>
      <c r="VS64" s="343">
        <f>SUM(Input[[#This Row],[Oth Exp E&amp;G]],Input[[#This Row],[Oth Exp Desg]],Input[[#This Row],[Oth Exp R Exp]],Input[[#This Row],[Oth Exp Loan]],Input[[#This Row],[Oth Exp Annuity]],Input[[#This Row],[Oth Exp Unexp]],Input[[#This Row],[Oth Exp R of Ind]],Input[[#This Row],[Oth Exp Inv in P]],Input[[#This Row],[Oth Exp Inv in P]])</f>
        <v>3055518</v>
      </c>
    </row>
    <row r="65" spans="1:591" s="344" customFormat="1" ht="27" customHeight="1" x14ac:dyDescent="0.55000000000000004">
      <c r="A65" s="339" t="s">
        <v>42</v>
      </c>
      <c r="B65" s="334" t="s">
        <v>829</v>
      </c>
      <c r="C65" s="334" t="s">
        <v>14</v>
      </c>
      <c r="D65" s="334">
        <v>420</v>
      </c>
      <c r="E65" s="334" t="s">
        <v>1622</v>
      </c>
      <c r="F65" s="335">
        <v>40</v>
      </c>
      <c r="G65" s="336">
        <v>207960269</v>
      </c>
      <c r="H65" s="336">
        <v>0</v>
      </c>
      <c r="I65" s="336">
        <v>0</v>
      </c>
      <c r="J65" s="336">
        <v>0</v>
      </c>
      <c r="K65" s="336">
        <v>0</v>
      </c>
      <c r="L65" s="336">
        <v>0</v>
      </c>
      <c r="M65" s="336">
        <v>0</v>
      </c>
      <c r="N65" s="336">
        <v>0</v>
      </c>
      <c r="O65" s="336">
        <v>0</v>
      </c>
      <c r="P65" s="336">
        <v>5036246</v>
      </c>
      <c r="Q65" s="336">
        <v>4999885</v>
      </c>
      <c r="R65" s="336">
        <v>0</v>
      </c>
      <c r="S65" s="336">
        <v>13511752</v>
      </c>
      <c r="T65" s="336">
        <v>0</v>
      </c>
      <c r="U65" s="336">
        <v>0</v>
      </c>
      <c r="V65" s="336">
        <v>0</v>
      </c>
      <c r="W65" s="336">
        <v>0</v>
      </c>
      <c r="X65" s="336">
        <v>0</v>
      </c>
      <c r="Y65" s="336">
        <v>0</v>
      </c>
      <c r="Z65" s="336">
        <v>0</v>
      </c>
      <c r="AA65" s="336">
        <v>0</v>
      </c>
      <c r="AB65" s="336">
        <v>0</v>
      </c>
      <c r="AC65" s="336">
        <v>0</v>
      </c>
      <c r="AD65" s="336">
        <v>0</v>
      </c>
      <c r="AE65" s="336">
        <v>0</v>
      </c>
      <c r="AF65" s="336">
        <v>0</v>
      </c>
      <c r="AG65" s="336">
        <v>0</v>
      </c>
      <c r="AH65" s="336">
        <v>0</v>
      </c>
      <c r="AI65" s="336">
        <v>0</v>
      </c>
      <c r="AJ65" s="336">
        <v>0</v>
      </c>
      <c r="AK65" s="336">
        <v>0</v>
      </c>
      <c r="AL65" s="336">
        <v>0</v>
      </c>
      <c r="AM65" s="336">
        <v>0</v>
      </c>
      <c r="AN65" s="336">
        <v>0</v>
      </c>
      <c r="AO65" s="336">
        <v>0</v>
      </c>
      <c r="AP65" s="336">
        <v>0</v>
      </c>
      <c r="AQ65" s="336">
        <v>-3355215</v>
      </c>
      <c r="AR65" s="336">
        <v>0</v>
      </c>
      <c r="AS65" s="336">
        <v>0</v>
      </c>
      <c r="AT65" s="336">
        <v>0</v>
      </c>
      <c r="AU65" s="336">
        <v>0</v>
      </c>
      <c r="AV65" s="336">
        <v>0</v>
      </c>
      <c r="AW65" s="336">
        <v>0</v>
      </c>
      <c r="AX65" s="336">
        <v>0</v>
      </c>
      <c r="AY65" s="336">
        <v>0</v>
      </c>
      <c r="AZ65" s="336">
        <v>0</v>
      </c>
      <c r="BA65" s="336">
        <v>0</v>
      </c>
      <c r="BB65" s="336">
        <v>0</v>
      </c>
      <c r="BC65" s="336">
        <v>0</v>
      </c>
      <c r="BD65" s="336">
        <v>0</v>
      </c>
      <c r="BE65" s="336">
        <v>0</v>
      </c>
      <c r="BF65" s="336">
        <v>0</v>
      </c>
      <c r="BG65" s="336">
        <v>0</v>
      </c>
      <c r="BH65" s="336">
        <v>0</v>
      </c>
      <c r="BI65" s="336">
        <v>0</v>
      </c>
      <c r="BJ65" s="336">
        <v>0</v>
      </c>
      <c r="BK65" s="336">
        <v>0</v>
      </c>
      <c r="BL65" s="336">
        <v>0</v>
      </c>
      <c r="BM65" s="336">
        <v>0</v>
      </c>
      <c r="BN65" s="336">
        <v>0</v>
      </c>
      <c r="BO65" s="336">
        <v>0</v>
      </c>
      <c r="BP65" s="336">
        <v>0</v>
      </c>
      <c r="BQ65" s="336">
        <v>0</v>
      </c>
      <c r="BR65" s="336">
        <v>0</v>
      </c>
      <c r="BS65" s="336">
        <v>0</v>
      </c>
      <c r="BT65" s="336">
        <v>0</v>
      </c>
      <c r="BU65" s="336">
        <v>0</v>
      </c>
      <c r="BV65" s="336">
        <v>0</v>
      </c>
      <c r="BW65" s="336">
        <v>0</v>
      </c>
      <c r="BX65" s="336">
        <v>0</v>
      </c>
      <c r="BY65" s="336">
        <v>0</v>
      </c>
      <c r="BZ65" s="336">
        <v>0</v>
      </c>
      <c r="CA65" s="336">
        <v>18536839</v>
      </c>
      <c r="CB65" s="336">
        <v>45618434</v>
      </c>
      <c r="CC65" s="336">
        <v>0</v>
      </c>
      <c r="CD65" s="336">
        <v>0</v>
      </c>
      <c r="CE65" s="336">
        <v>0</v>
      </c>
      <c r="CF65" s="336">
        <v>0</v>
      </c>
      <c r="CG65" s="336">
        <v>0</v>
      </c>
      <c r="CH65" s="336">
        <v>0</v>
      </c>
      <c r="CI65" s="336">
        <v>0</v>
      </c>
      <c r="CJ65" s="336">
        <v>0</v>
      </c>
      <c r="CK65" s="336">
        <v>0</v>
      </c>
      <c r="CL65" s="336">
        <v>0</v>
      </c>
      <c r="CM65" s="336">
        <v>0</v>
      </c>
      <c r="CN65" s="336">
        <v>0</v>
      </c>
      <c r="CO65" s="336">
        <v>0</v>
      </c>
      <c r="CP65" s="336">
        <v>0</v>
      </c>
      <c r="CQ65" s="336">
        <v>0</v>
      </c>
      <c r="CR65" s="336">
        <v>0</v>
      </c>
      <c r="CS65" s="336">
        <v>0</v>
      </c>
      <c r="CT65" s="336">
        <v>0</v>
      </c>
      <c r="CU65" s="336">
        <v>0</v>
      </c>
      <c r="CV65" s="336">
        <v>0</v>
      </c>
      <c r="CW65" s="336">
        <v>0</v>
      </c>
      <c r="CX65" s="336">
        <v>0</v>
      </c>
      <c r="CY65" s="336">
        <v>0</v>
      </c>
      <c r="CZ65" s="336">
        <v>0</v>
      </c>
      <c r="DA65" s="336">
        <v>0</v>
      </c>
      <c r="DB65" s="336">
        <v>-2121298</v>
      </c>
      <c r="DC65" s="336">
        <v>0</v>
      </c>
      <c r="DD65" s="336">
        <v>0</v>
      </c>
      <c r="DE65" s="336">
        <v>0</v>
      </c>
      <c r="DF65" s="336">
        <v>0</v>
      </c>
      <c r="DG65" s="336">
        <v>0</v>
      </c>
      <c r="DH65" s="336">
        <v>0</v>
      </c>
      <c r="DI65" s="336">
        <v>0</v>
      </c>
      <c r="DJ65" s="336">
        <v>0</v>
      </c>
      <c r="DK65" s="336">
        <v>0</v>
      </c>
      <c r="DL65" s="336">
        <v>0</v>
      </c>
      <c r="DM65" s="336">
        <v>0</v>
      </c>
      <c r="DN65" s="336">
        <v>0</v>
      </c>
      <c r="DO65" s="336">
        <v>0</v>
      </c>
      <c r="DP65" s="336">
        <v>0</v>
      </c>
      <c r="DQ65" s="336">
        <v>0</v>
      </c>
      <c r="DR65" s="336">
        <v>0</v>
      </c>
      <c r="DS65" s="336">
        <v>0</v>
      </c>
      <c r="DT65" s="336">
        <v>-1115001</v>
      </c>
      <c r="DU65" s="336">
        <v>0</v>
      </c>
      <c r="DV65" s="336">
        <v>0</v>
      </c>
      <c r="DW65" s="336">
        <v>0</v>
      </c>
      <c r="DX65" s="336">
        <v>0</v>
      </c>
      <c r="DY65" s="336">
        <v>0</v>
      </c>
      <c r="DZ65" s="336">
        <v>0</v>
      </c>
      <c r="EA65" s="336">
        <v>0</v>
      </c>
      <c r="EB65" s="336">
        <v>0</v>
      </c>
      <c r="EC65" s="336">
        <v>0</v>
      </c>
      <c r="ED65" s="336">
        <v>0</v>
      </c>
      <c r="EE65" s="336">
        <v>0</v>
      </c>
      <c r="EF65" s="336">
        <v>0</v>
      </c>
      <c r="EG65" s="336">
        <v>0</v>
      </c>
      <c r="EH65" s="336">
        <v>0</v>
      </c>
      <c r="EI65" s="336">
        <v>0</v>
      </c>
      <c r="EJ65" s="336">
        <v>0</v>
      </c>
      <c r="EK65" s="336">
        <v>0</v>
      </c>
      <c r="EL65" s="336">
        <v>0</v>
      </c>
      <c r="EM65" s="336">
        <v>0</v>
      </c>
      <c r="EN65" s="336">
        <v>0</v>
      </c>
      <c r="EO65" s="336">
        <v>0</v>
      </c>
      <c r="EP65" s="336">
        <v>0</v>
      </c>
      <c r="EQ65" s="336">
        <v>0</v>
      </c>
      <c r="ER65" s="336">
        <v>0</v>
      </c>
      <c r="ES65" s="336">
        <v>0</v>
      </c>
      <c r="ET65" s="336">
        <v>0</v>
      </c>
      <c r="EU65" s="336">
        <v>0</v>
      </c>
      <c r="EV65" s="336">
        <v>0</v>
      </c>
      <c r="EW65" s="336">
        <v>0</v>
      </c>
      <c r="EX65" s="336">
        <v>0</v>
      </c>
      <c r="EY65" s="336">
        <v>0</v>
      </c>
      <c r="EZ65" s="336">
        <v>0</v>
      </c>
      <c r="FA65" s="336">
        <v>0</v>
      </c>
      <c r="FB65" s="336">
        <v>0</v>
      </c>
      <c r="FC65" s="336">
        <v>0</v>
      </c>
      <c r="FD65" s="336">
        <v>0</v>
      </c>
      <c r="FE65" s="336">
        <v>0</v>
      </c>
      <c r="FF65" s="336">
        <v>0</v>
      </c>
      <c r="FG65" s="336">
        <v>0</v>
      </c>
      <c r="FH65" s="336">
        <v>0</v>
      </c>
      <c r="FI65" s="336">
        <v>0</v>
      </c>
      <c r="FJ65" s="336">
        <v>0</v>
      </c>
      <c r="FK65" s="336">
        <v>0</v>
      </c>
      <c r="FL65" s="336">
        <v>0</v>
      </c>
      <c r="FM65" s="336">
        <v>0</v>
      </c>
      <c r="FN65" s="336">
        <v>0</v>
      </c>
      <c r="FO65" s="336">
        <v>3228246</v>
      </c>
      <c r="FP65" s="336">
        <v>0</v>
      </c>
      <c r="FQ65" s="336">
        <v>0</v>
      </c>
      <c r="FR65" s="336">
        <v>0</v>
      </c>
      <c r="FS65" s="336">
        <v>0</v>
      </c>
      <c r="FT65" s="336">
        <v>0</v>
      </c>
      <c r="FU65" s="336">
        <v>0</v>
      </c>
      <c r="FV65" s="336">
        <v>0</v>
      </c>
      <c r="FW65" s="336">
        <v>0</v>
      </c>
      <c r="FX65" s="336">
        <v>0</v>
      </c>
      <c r="FY65" s="336">
        <v>0</v>
      </c>
      <c r="FZ65" s="336">
        <v>0</v>
      </c>
      <c r="GA65" s="336">
        <v>0</v>
      </c>
      <c r="GB65" s="336">
        <v>0</v>
      </c>
      <c r="GC65" s="336">
        <v>0</v>
      </c>
      <c r="GD65" s="336">
        <v>0</v>
      </c>
      <c r="GE65" s="336">
        <v>0</v>
      </c>
      <c r="GF65" s="336">
        <v>0</v>
      </c>
      <c r="GG65" s="336">
        <v>0</v>
      </c>
      <c r="GH65" s="336">
        <v>0</v>
      </c>
      <c r="GI65" s="336">
        <v>0</v>
      </c>
      <c r="GJ65" s="336">
        <v>0</v>
      </c>
      <c r="GK65" s="336">
        <v>0</v>
      </c>
      <c r="GL65" s="336">
        <v>0</v>
      </c>
      <c r="GM65" s="336">
        <v>0</v>
      </c>
      <c r="GN65" s="336">
        <v>-235700</v>
      </c>
      <c r="GO65" s="336">
        <v>0</v>
      </c>
      <c r="GP65" s="336">
        <v>0</v>
      </c>
      <c r="GQ65" s="336">
        <v>0</v>
      </c>
      <c r="GR65" s="336">
        <v>0</v>
      </c>
      <c r="GS65" s="336">
        <v>0</v>
      </c>
      <c r="GT65" s="336">
        <v>0</v>
      </c>
      <c r="GU65" s="336">
        <v>0</v>
      </c>
      <c r="GV65" s="336">
        <v>0</v>
      </c>
      <c r="GW65" s="336">
        <v>0</v>
      </c>
      <c r="GX65" s="336">
        <v>0</v>
      </c>
      <c r="GY65" s="336">
        <v>0</v>
      </c>
      <c r="GZ65" s="336">
        <v>0</v>
      </c>
      <c r="HA65" s="336">
        <v>0</v>
      </c>
      <c r="HB65" s="336">
        <v>0</v>
      </c>
      <c r="HC65" s="336">
        <v>0</v>
      </c>
      <c r="HD65" s="336">
        <v>0</v>
      </c>
      <c r="HE65" s="336">
        <v>0</v>
      </c>
      <c r="HF65" s="336">
        <v>-123889</v>
      </c>
      <c r="HG65" s="336">
        <v>0</v>
      </c>
      <c r="HH65" s="336">
        <v>0</v>
      </c>
      <c r="HI65" s="336">
        <v>0</v>
      </c>
      <c r="HJ65" s="336">
        <v>0</v>
      </c>
      <c r="HK65" s="336">
        <v>0</v>
      </c>
      <c r="HL65" s="336">
        <v>0</v>
      </c>
      <c r="HM65" s="336">
        <v>0</v>
      </c>
      <c r="HN65" s="336">
        <v>0</v>
      </c>
      <c r="HO65" s="336">
        <v>0</v>
      </c>
      <c r="HP65" s="336">
        <v>61754326</v>
      </c>
      <c r="HQ65" s="336">
        <v>0</v>
      </c>
      <c r="HR65" s="336">
        <v>170791927</v>
      </c>
      <c r="HS65" s="336">
        <v>0</v>
      </c>
      <c r="HT65" s="336">
        <v>0</v>
      </c>
      <c r="HU65" s="336">
        <v>1000000</v>
      </c>
      <c r="HV65" s="336">
        <v>0</v>
      </c>
      <c r="HW65" s="336">
        <v>0</v>
      </c>
      <c r="HX65" s="336">
        <v>0</v>
      </c>
      <c r="HY65" s="336">
        <v>392956662</v>
      </c>
      <c r="HZ65" s="336">
        <v>0</v>
      </c>
      <c r="IA65" s="336">
        <v>0</v>
      </c>
      <c r="IB65" s="336">
        <v>0</v>
      </c>
      <c r="IC65" s="336">
        <v>0</v>
      </c>
      <c r="ID65" s="336">
        <v>0</v>
      </c>
      <c r="IE65" s="336">
        <v>0</v>
      </c>
      <c r="IF65" s="336">
        <v>0</v>
      </c>
      <c r="IG65" s="336">
        <v>0</v>
      </c>
      <c r="IH65" s="336">
        <v>0</v>
      </c>
      <c r="II65" s="336">
        <v>0</v>
      </c>
      <c r="IJ65" s="336">
        <v>0</v>
      </c>
      <c r="IK65" s="336">
        <v>0</v>
      </c>
      <c r="IL65" s="336">
        <v>0</v>
      </c>
      <c r="IM65" s="336">
        <v>0</v>
      </c>
      <c r="IN65" s="336">
        <v>0</v>
      </c>
      <c r="IO65" s="336">
        <v>0</v>
      </c>
      <c r="IP65" s="336">
        <v>98167</v>
      </c>
      <c r="IQ65" s="336">
        <v>63610112</v>
      </c>
      <c r="IR65" s="336">
        <v>96972</v>
      </c>
      <c r="IS65" s="336">
        <v>13628678</v>
      </c>
      <c r="IT65" s="336">
        <v>15705</v>
      </c>
      <c r="IU65" s="336">
        <v>358383</v>
      </c>
      <c r="IV65" s="336">
        <v>0</v>
      </c>
      <c r="IW65" s="336">
        <v>0</v>
      </c>
      <c r="IX65" s="336">
        <v>0</v>
      </c>
      <c r="IY65" s="336">
        <v>0</v>
      </c>
      <c r="IZ65" s="336">
        <v>292370353</v>
      </c>
      <c r="JA65" s="336">
        <v>0</v>
      </c>
      <c r="JB65" s="336">
        <v>3644956</v>
      </c>
      <c r="JC65" s="336">
        <v>0</v>
      </c>
      <c r="JD65" s="336">
        <v>0</v>
      </c>
      <c r="JE65" s="336">
        <v>0</v>
      </c>
      <c r="JF65" s="336">
        <v>0</v>
      </c>
      <c r="JG65" s="336">
        <v>0</v>
      </c>
      <c r="JH65" s="336">
        <v>0</v>
      </c>
      <c r="JI65" s="336">
        <v>4478665</v>
      </c>
      <c r="JJ65" s="336">
        <v>0</v>
      </c>
      <c r="JK65" s="336">
        <v>41256976</v>
      </c>
      <c r="JL65" s="336">
        <v>0</v>
      </c>
      <c r="JM65" s="336">
        <v>0</v>
      </c>
      <c r="JN65" s="336">
        <v>0</v>
      </c>
      <c r="JO65" s="336">
        <v>0</v>
      </c>
      <c r="JP65" s="336">
        <v>0</v>
      </c>
      <c r="JQ65" s="336">
        <v>5797585</v>
      </c>
      <c r="JR65" s="336">
        <v>18509072</v>
      </c>
      <c r="JS65" s="336">
        <v>0</v>
      </c>
      <c r="JT65" s="336">
        <v>20852702</v>
      </c>
      <c r="JU65" s="336">
        <v>0</v>
      </c>
      <c r="JV65" s="336">
        <v>0</v>
      </c>
      <c r="JW65" s="336">
        <v>0</v>
      </c>
      <c r="JX65" s="336">
        <v>0</v>
      </c>
      <c r="JY65" s="336">
        <v>0</v>
      </c>
      <c r="JZ65" s="336">
        <v>0</v>
      </c>
      <c r="KA65" s="336">
        <v>0</v>
      </c>
      <c r="KB65" s="336">
        <v>5659859</v>
      </c>
      <c r="KC65" s="336">
        <v>0</v>
      </c>
      <c r="KD65" s="336">
        <v>0</v>
      </c>
      <c r="KE65" s="336">
        <v>0</v>
      </c>
      <c r="KF65" s="336">
        <v>0</v>
      </c>
      <c r="KG65" s="336">
        <v>0</v>
      </c>
      <c r="KH65" s="336">
        <v>0</v>
      </c>
      <c r="KI65" s="336">
        <v>0</v>
      </c>
      <c r="KJ65" s="336">
        <v>38356785</v>
      </c>
      <c r="KK65" s="336">
        <v>0</v>
      </c>
      <c r="KL65" s="336">
        <v>4746294</v>
      </c>
      <c r="KM65" s="336">
        <v>22049</v>
      </c>
      <c r="KN65" s="336">
        <v>0</v>
      </c>
      <c r="KO65" s="336">
        <v>0</v>
      </c>
      <c r="KP65" s="336">
        <v>0</v>
      </c>
      <c r="KQ65" s="336">
        <v>-185396</v>
      </c>
      <c r="KR65" s="336">
        <v>110988156</v>
      </c>
      <c r="KS65" s="336">
        <v>433799624</v>
      </c>
      <c r="KT65" s="336">
        <v>0</v>
      </c>
      <c r="KU65" s="336">
        <v>14054759</v>
      </c>
      <c r="KV65" s="336">
        <v>0</v>
      </c>
      <c r="KW65" s="336">
        <v>0</v>
      </c>
      <c r="KX65" s="336">
        <v>0</v>
      </c>
      <c r="KY65" s="336">
        <v>0</v>
      </c>
      <c r="KZ65" s="336">
        <v>0</v>
      </c>
      <c r="LA65" s="336">
        <v>28268968</v>
      </c>
      <c r="LB65" s="336">
        <v>34618887</v>
      </c>
      <c r="LC65" s="336">
        <v>0</v>
      </c>
      <c r="LD65" s="336">
        <v>161825130</v>
      </c>
      <c r="LE65" s="336">
        <v>0</v>
      </c>
      <c r="LF65" s="336">
        <v>0</v>
      </c>
      <c r="LG65" s="336">
        <v>0</v>
      </c>
      <c r="LH65" s="336">
        <v>0</v>
      </c>
      <c r="LI65" s="336">
        <v>0</v>
      </c>
      <c r="LJ65" s="336">
        <v>10830951</v>
      </c>
      <c r="LK65" s="336">
        <v>20114273</v>
      </c>
      <c r="LL65" s="336">
        <v>0</v>
      </c>
      <c r="LM65" s="336">
        <v>69809489</v>
      </c>
      <c r="LN65" s="336">
        <v>0</v>
      </c>
      <c r="LO65" s="336">
        <v>0</v>
      </c>
      <c r="LP65" s="336">
        <v>0</v>
      </c>
      <c r="LQ65" s="336">
        <v>0</v>
      </c>
      <c r="LR65" s="336">
        <v>0</v>
      </c>
      <c r="LS65" s="336">
        <v>0</v>
      </c>
      <c r="LT65" s="336">
        <v>268397418</v>
      </c>
      <c r="LU65" s="336">
        <v>0</v>
      </c>
      <c r="LV65" s="336">
        <v>0</v>
      </c>
      <c r="LW65" s="336">
        <v>0</v>
      </c>
      <c r="LX65" s="336">
        <v>0</v>
      </c>
      <c r="LY65" s="336">
        <v>0</v>
      </c>
      <c r="LZ65" s="336">
        <v>0</v>
      </c>
      <c r="MA65" s="336">
        <v>0</v>
      </c>
      <c r="MB65" s="336">
        <v>39841520</v>
      </c>
      <c r="MC65" s="336">
        <v>26987204</v>
      </c>
      <c r="MD65" s="336">
        <v>0</v>
      </c>
      <c r="ME65" s="336">
        <v>2999518</v>
      </c>
      <c r="MF65" s="336">
        <v>0</v>
      </c>
      <c r="MG65" s="336">
        <v>0</v>
      </c>
      <c r="MH65" s="336">
        <v>0</v>
      </c>
      <c r="MI65" s="336">
        <v>0</v>
      </c>
      <c r="MJ65" s="336">
        <v>0</v>
      </c>
      <c r="MK65" s="336">
        <v>2251132</v>
      </c>
      <c r="ML65" s="336">
        <v>669366</v>
      </c>
      <c r="MM65" s="336">
        <v>0</v>
      </c>
      <c r="MN65" s="336">
        <v>4633</v>
      </c>
      <c r="MO65" s="336">
        <v>70935</v>
      </c>
      <c r="MP65" s="336">
        <v>0</v>
      </c>
      <c r="MQ65" s="336">
        <v>0</v>
      </c>
      <c r="MR65" s="336">
        <v>0</v>
      </c>
      <c r="MS65" s="336">
        <v>0</v>
      </c>
      <c r="MT65" s="336">
        <v>44711710</v>
      </c>
      <c r="MU65" s="336">
        <v>31670284</v>
      </c>
      <c r="MV65" s="336">
        <v>0</v>
      </c>
      <c r="MW65" s="336">
        <v>233004</v>
      </c>
      <c r="MX65" s="336">
        <v>0</v>
      </c>
      <c r="MY65" s="336">
        <v>0</v>
      </c>
      <c r="MZ65" s="336">
        <v>0</v>
      </c>
      <c r="NA65" s="336">
        <v>0</v>
      </c>
      <c r="NB65" s="336">
        <v>0</v>
      </c>
      <c r="NC65" s="336">
        <v>21167196</v>
      </c>
      <c r="ND65" s="336">
        <v>30026148</v>
      </c>
      <c r="NE65" s="336">
        <v>0</v>
      </c>
      <c r="NF65" s="336">
        <v>103321</v>
      </c>
      <c r="NG65" s="336">
        <v>0</v>
      </c>
      <c r="NH65" s="336">
        <v>0</v>
      </c>
      <c r="NI65" s="336">
        <v>1534319</v>
      </c>
      <c r="NJ65" s="336">
        <v>0</v>
      </c>
      <c r="NK65" s="336">
        <v>0</v>
      </c>
      <c r="NL65" s="336">
        <v>2465592</v>
      </c>
      <c r="NM65" s="336">
        <v>3645932</v>
      </c>
      <c r="NN65" s="336">
        <v>0</v>
      </c>
      <c r="NO65" s="336">
        <v>4921427</v>
      </c>
      <c r="NP65" s="336">
        <v>0</v>
      </c>
      <c r="NQ65" s="336">
        <v>0</v>
      </c>
      <c r="NR65" s="336">
        <v>0</v>
      </c>
      <c r="NS65" s="336">
        <v>0</v>
      </c>
      <c r="NT65" s="336">
        <v>0</v>
      </c>
      <c r="NU65" s="336">
        <v>0</v>
      </c>
      <c r="NV65" s="336">
        <v>0</v>
      </c>
      <c r="NW65" s="336">
        <v>6852183</v>
      </c>
      <c r="NX65" s="336">
        <v>0</v>
      </c>
      <c r="NY65" s="336">
        <v>0</v>
      </c>
      <c r="NZ65" s="336">
        <v>0</v>
      </c>
      <c r="OA65" s="336">
        <v>0</v>
      </c>
      <c r="OB65" s="336">
        <v>0</v>
      </c>
      <c r="OC65" s="336">
        <v>0</v>
      </c>
      <c r="OD65" s="336">
        <v>727512</v>
      </c>
      <c r="OE65" s="336">
        <v>26283545</v>
      </c>
      <c r="OF65" s="336">
        <v>428279</v>
      </c>
      <c r="OG65" s="336">
        <v>5985039</v>
      </c>
      <c r="OH65" s="336">
        <v>0</v>
      </c>
      <c r="OI65" s="336">
        <v>0</v>
      </c>
      <c r="OJ65" s="336">
        <v>0</v>
      </c>
      <c r="OK65" s="336">
        <v>0</v>
      </c>
      <c r="OL65" s="336">
        <v>0</v>
      </c>
      <c r="OM65" s="336">
        <v>109935</v>
      </c>
      <c r="ON65" s="336">
        <v>1340352</v>
      </c>
      <c r="OO65" s="336">
        <v>16773</v>
      </c>
      <c r="OP65" s="336">
        <v>122516</v>
      </c>
      <c r="OQ65" s="336">
        <v>0</v>
      </c>
      <c r="OR65" s="336">
        <v>0</v>
      </c>
      <c r="OS65" s="336">
        <v>97795</v>
      </c>
      <c r="OT65" s="336">
        <v>0</v>
      </c>
      <c r="OU65" s="336">
        <v>0</v>
      </c>
      <c r="OV65" s="336">
        <v>0</v>
      </c>
      <c r="OW65" s="336">
        <v>0</v>
      </c>
      <c r="OX65" s="336">
        <v>0</v>
      </c>
      <c r="OY65" s="336">
        <v>0</v>
      </c>
      <c r="OZ65" s="336">
        <v>0</v>
      </c>
      <c r="PA65" s="336">
        <v>0</v>
      </c>
      <c r="PB65" s="336">
        <v>-254167920</v>
      </c>
      <c r="PC65" s="336">
        <v>0</v>
      </c>
      <c r="PD65" s="336">
        <v>0</v>
      </c>
      <c r="PE65" s="336">
        <v>67962254</v>
      </c>
      <c r="PF65" s="336">
        <v>-34287957</v>
      </c>
      <c r="PG65" s="336">
        <v>718508</v>
      </c>
      <c r="PH65" s="336">
        <v>-34913170</v>
      </c>
      <c r="PI65" s="336">
        <v>3658</v>
      </c>
      <c r="PJ65" s="336">
        <v>4782326</v>
      </c>
      <c r="PK65" s="336">
        <v>29095713</v>
      </c>
      <c r="PL65" s="336">
        <v>0</v>
      </c>
      <c r="PM65" s="336">
        <v>7965521</v>
      </c>
      <c r="PN65" s="336">
        <v>0</v>
      </c>
      <c r="PO65" s="336">
        <v>0</v>
      </c>
      <c r="PP65" s="336">
        <v>0</v>
      </c>
      <c r="PQ65" s="336">
        <v>0</v>
      </c>
      <c r="PR65" s="336">
        <v>0</v>
      </c>
      <c r="PS65" s="336">
        <v>0</v>
      </c>
      <c r="PT65" s="336">
        <v>151027540</v>
      </c>
      <c r="PU65" s="336">
        <v>0</v>
      </c>
      <c r="PV65" s="336">
        <v>0</v>
      </c>
      <c r="PW65" s="336">
        <v>-20983704</v>
      </c>
      <c r="PX65" s="336">
        <v>-25478461</v>
      </c>
      <c r="PY65" s="336">
        <v>-820397</v>
      </c>
      <c r="PZ65" s="336">
        <v>0</v>
      </c>
      <c r="QA65" s="336">
        <v>0</v>
      </c>
      <c r="QB65" s="336">
        <v>0</v>
      </c>
      <c r="QC65" s="336">
        <v>0</v>
      </c>
      <c r="QD65" s="336">
        <v>0</v>
      </c>
      <c r="QE65" s="336">
        <v>0</v>
      </c>
      <c r="QF65" s="336">
        <v>0</v>
      </c>
      <c r="QG65" s="336">
        <v>14819073</v>
      </c>
      <c r="QH65" s="336">
        <v>0</v>
      </c>
      <c r="QI65" s="336">
        <v>1496414</v>
      </c>
      <c r="QJ65" s="336">
        <v>32534</v>
      </c>
      <c r="QK65" s="336">
        <v>42399972</v>
      </c>
      <c r="QL65" s="336">
        <v>0</v>
      </c>
      <c r="QM65" s="336">
        <v>0</v>
      </c>
      <c r="QN65" s="336">
        <v>0</v>
      </c>
      <c r="QO65" s="336">
        <v>0</v>
      </c>
      <c r="QP65" s="336">
        <v>0</v>
      </c>
      <c r="QQ65" s="336">
        <v>0</v>
      </c>
      <c r="QR65" s="336">
        <v>3802662</v>
      </c>
      <c r="QS65" s="336">
        <v>0</v>
      </c>
      <c r="QT65" s="336">
        <v>6287773</v>
      </c>
      <c r="QU65" s="336">
        <v>0</v>
      </c>
      <c r="QV65" s="336">
        <v>0</v>
      </c>
      <c r="QW65" s="336">
        <v>0</v>
      </c>
      <c r="QX65" s="336">
        <v>0</v>
      </c>
      <c r="QY65" s="336">
        <v>0</v>
      </c>
      <c r="QZ65" s="336">
        <v>0</v>
      </c>
      <c r="RA65" s="336">
        <v>0</v>
      </c>
      <c r="RB65" s="336">
        <v>0</v>
      </c>
      <c r="RC65" s="336">
        <v>0</v>
      </c>
      <c r="RD65" s="336">
        <v>0</v>
      </c>
      <c r="RE65" s="336">
        <v>0</v>
      </c>
      <c r="RF65" s="336">
        <v>0</v>
      </c>
      <c r="RG65" s="336">
        <v>0</v>
      </c>
      <c r="RH65" s="336">
        <v>0</v>
      </c>
      <c r="RI65" s="336">
        <v>0</v>
      </c>
      <c r="RJ65" s="336">
        <v>0</v>
      </c>
      <c r="RK65" s="336">
        <v>0</v>
      </c>
      <c r="RL65" s="336">
        <v>0</v>
      </c>
      <c r="RM65" s="336">
        <v>0</v>
      </c>
      <c r="RN65" s="336">
        <v>0</v>
      </c>
      <c r="RO65" s="336">
        <v>-78171478</v>
      </c>
      <c r="RP65" s="336">
        <v>0</v>
      </c>
      <c r="RQ65" s="336">
        <v>0</v>
      </c>
      <c r="RR65" s="336">
        <v>0</v>
      </c>
      <c r="RS65" s="336">
        <v>0</v>
      </c>
      <c r="RT65" s="336">
        <v>0</v>
      </c>
      <c r="RU65" s="336">
        <v>0</v>
      </c>
      <c r="RV65" s="336">
        <v>0</v>
      </c>
      <c r="RW65" s="336">
        <v>0</v>
      </c>
      <c r="RX65" s="336">
        <v>0</v>
      </c>
      <c r="RY65" s="336">
        <v>0</v>
      </c>
      <c r="RZ65" s="336">
        <v>0</v>
      </c>
      <c r="SA65" s="336">
        <v>0</v>
      </c>
      <c r="SB65" s="336">
        <v>0</v>
      </c>
      <c r="SC65" s="336">
        <v>0</v>
      </c>
      <c r="SD65" s="336">
        <v>0</v>
      </c>
      <c r="SE65" s="336">
        <v>0</v>
      </c>
      <c r="SF65" s="336">
        <v>0</v>
      </c>
      <c r="SG65" s="336">
        <v>0</v>
      </c>
      <c r="SH65" s="336">
        <v>0</v>
      </c>
      <c r="SI65" s="336">
        <v>0</v>
      </c>
      <c r="SJ65" s="336">
        <v>0</v>
      </c>
      <c r="SK65" s="336">
        <v>0</v>
      </c>
      <c r="SL65" s="336">
        <v>0</v>
      </c>
      <c r="SM65" s="336">
        <v>0</v>
      </c>
      <c r="SN65" s="336">
        <v>0</v>
      </c>
      <c r="SO65" s="336">
        <v>0</v>
      </c>
      <c r="SP65" s="336">
        <v>0</v>
      </c>
      <c r="SQ65" s="336">
        <v>0</v>
      </c>
      <c r="SR65" s="336">
        <v>0</v>
      </c>
      <c r="SS65" s="336">
        <v>0</v>
      </c>
      <c r="ST65" s="336">
        <v>0</v>
      </c>
      <c r="SU65" s="336">
        <v>0</v>
      </c>
      <c r="SV65" s="336">
        <v>0</v>
      </c>
      <c r="SW65" s="336">
        <v>0</v>
      </c>
      <c r="SX65" s="336">
        <v>0</v>
      </c>
      <c r="SY65" s="336">
        <v>287592295</v>
      </c>
      <c r="SZ65" s="336" t="s">
        <v>1420</v>
      </c>
      <c r="TA65" s="336" t="s">
        <v>1420</v>
      </c>
      <c r="TB65" s="336" t="s">
        <v>1420</v>
      </c>
      <c r="TC65" s="336">
        <v>7009398</v>
      </c>
      <c r="TD65" s="336">
        <v>13240238</v>
      </c>
      <c r="TE65" s="336">
        <v>1561337</v>
      </c>
      <c r="TF65" s="336">
        <v>2705860</v>
      </c>
      <c r="TG65" s="336">
        <v>2169314</v>
      </c>
      <c r="TH65" s="336">
        <v>19057</v>
      </c>
      <c r="TI65" s="336">
        <v>2104218</v>
      </c>
      <c r="TJ65" s="336">
        <v>3731226</v>
      </c>
      <c r="TK65" s="336">
        <v>455448</v>
      </c>
      <c r="TL65" s="336">
        <v>428279</v>
      </c>
      <c r="TM65" s="336">
        <v>0</v>
      </c>
      <c r="TN65" s="336">
        <v>0</v>
      </c>
      <c r="TO65" s="336">
        <v>0</v>
      </c>
      <c r="TP65" s="336">
        <v>5687102</v>
      </c>
      <c r="TQ65" s="336">
        <v>0</v>
      </c>
      <c r="TR65" s="336">
        <v>0</v>
      </c>
      <c r="TS65" s="336">
        <v>0</v>
      </c>
      <c r="TT65" s="336">
        <v>0</v>
      </c>
      <c r="TU65" s="336">
        <v>0</v>
      </c>
      <c r="TV65" s="336">
        <v>0</v>
      </c>
      <c r="TW65" s="336">
        <v>0</v>
      </c>
      <c r="TX65" s="336">
        <v>2053389</v>
      </c>
      <c r="TY65" s="336">
        <v>121766</v>
      </c>
      <c r="TZ65" s="336">
        <v>0</v>
      </c>
      <c r="UA65" s="336">
        <v>0</v>
      </c>
      <c r="UB65" s="336">
        <v>0</v>
      </c>
      <c r="UC65" s="336">
        <v>0</v>
      </c>
      <c r="UD65" s="336">
        <v>0</v>
      </c>
      <c r="UE65" s="336">
        <v>0</v>
      </c>
      <c r="UF65" s="336">
        <v>0</v>
      </c>
      <c r="UG65" s="336">
        <v>0</v>
      </c>
      <c r="UH65" s="336">
        <v>558842539</v>
      </c>
      <c r="UI65" s="336">
        <v>224712985</v>
      </c>
      <c r="UJ65" s="336">
        <v>100754713</v>
      </c>
      <c r="UK65" s="336">
        <v>268397418</v>
      </c>
      <c r="UL65" s="336">
        <v>69828242</v>
      </c>
      <c r="UM65" s="336">
        <v>2996066</v>
      </c>
      <c r="UN65" s="336">
        <v>76614998</v>
      </c>
      <c r="UO65" s="336">
        <v>52830984</v>
      </c>
      <c r="UP65" s="336">
        <v>11032951</v>
      </c>
      <c r="UQ65" s="336">
        <v>6852183</v>
      </c>
      <c r="UR65"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33424375</v>
      </c>
      <c r="US65" s="338">
        <f>SUM(Input[[#This Row],[Oth Exp E&amp;G]],Input[[#This Row],[Oth Exp Desg]],Input[[#This Row],[Oth Exp Aux]],Input[[#This Row],[Oth Exp R Exp]],Input[[#This Row],[Oth Exp Loan]],Input[[#This Row],[Oth Exp Annuity]],Input[[#This Row],[Oth Exp Unexp]],Input[[#This Row],[Oth Exp R of Ind]],Input[[#This Row],[Oth Exp Inv in P]])</f>
        <v>1687371</v>
      </c>
      <c r="UT65" s="336">
        <v>0</v>
      </c>
      <c r="UU65" s="336">
        <v>0</v>
      </c>
      <c r="UV65" s="339" t="s">
        <v>1528</v>
      </c>
      <c r="UW65" s="340">
        <v>2105626268</v>
      </c>
      <c r="UX65" s="339" t="s">
        <v>1529</v>
      </c>
      <c r="UY65" s="339" t="s">
        <v>1530</v>
      </c>
      <c r="UZ65" s="340">
        <v>2105626281</v>
      </c>
      <c r="VA65" s="339" t="s">
        <v>1531</v>
      </c>
      <c r="VB65" s="341" cm="1">
        <f t="array" ref="VB65">IFERROR(_xlfn.IFS(Input[[#This Row],[Type]]="HRI",VLOOKUP(Input[[#This Row],[Institution Name]],FTSEHRI[],9,FALSE),Input[[#This Row],[Type]]="UNIV",VLOOKUP(Input[[#This Row],[Institution Name]],FTSEUNIV[],9,FALSE),OR(Input[[#This Row],[Type]]="TSTC",Input[[#This Row],[Type]]="LSC"),VLOOKUP(Input[[#This Row],[Institution Name]],FTSETSTC[],8,FALSE)),"N/A")</f>
        <v>4142.6399999999994</v>
      </c>
      <c r="VC65" s="342" t="str" cm="1">
        <f t="array" ref="VC65">IFERROR(_xlfn.IFS(Input[[#This Row],[Type]]="HRI",VLOOKUP(Input[[#This Row],[Institution Name]],FTSEHRI[],11,FALSE),Input[[#This Row],[Type]]="UNIV",VLOOKUP(Input[[#This Row],[Institution Name]],FTSEUNIV[],11,FALSE),Input[[#This Row],[Type]]="TSTC",VLOOKUP(Input[[#This Row],[Institution Name]],FTSETSTC[],10,FALSE)),"N/A")</f>
        <v>N/A</v>
      </c>
      <c r="VD65"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231508152</v>
      </c>
      <c r="VE65"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65" s="338">
        <f>SUM(Input[[#This Row],[Fed G&amp;C E&amp;G]],Input[[#This Row],[Fed G&amp;C Desg]],Input[[#This Row],[Fed G&amp;C R Exp]],Input[[#This Row],[Fed G&amp;C Loan]],Input[[#This Row],[Fed G&amp;C Annuity]],Input[[#This Row],[Fed G&amp;C Unexp]],Input[[#This Row],[Fed G&amp;C R of Ind]],Input[[#This Row],[Fed G&amp;C Inv in P]])</f>
        <v>233546253</v>
      </c>
      <c r="VG65"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507561086</v>
      </c>
      <c r="VH65"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60918974</v>
      </c>
      <c r="VI65"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-359589</v>
      </c>
      <c r="VJ65" s="338">
        <f>SUM(Input[[#This Row],[Oth Inc E&amp;G]],Input[[#This Row],[Oth Exp Desg]],Input[[#This Row],[Oth Exp R Exp]],Input[[#This Row],[Oth Exp Loan]],Input[[#This Row],[Oth Exp Annuity]],Input[[#This Row],[Oth Exp Unexp]],Input[[#This Row],[Oth Exp R of Ind]],Input[[#This Row],[Oth Exp Inv in P]])</f>
        <v>1560663</v>
      </c>
      <c r="VK65" s="343">
        <f>SUM(Input[[#This Row],[Instr E&amp;G]],Input[[#This Row],[Instr Desg]],Input[[#This Row],[Instr R Exp]],Input[[#This Row],[Instr Loan]],Input[[#This Row],[Instr Annuity]],Input[[#This Row],[Instr Unexp]],Input[[#This Row],[Instr R of Ind]],Input[[#This Row],[Instr Inv in P]])</f>
        <v>558842539</v>
      </c>
      <c r="VL65" s="343">
        <f>SUM(Input[[#This Row],[Res E&amp;G]],Input[[#This Row],[Res Desg]],Input[[#This Row],[Res R Exp]],Input[[#This Row],[Res Loan]],Input[[#This Row],[Res Annuity]],Input[[#This Row],[Res Unexp]],Input[[#This Row],[Res R of Ind]],Input[[#This Row],[Res Inv in P]])</f>
        <v>224712985</v>
      </c>
      <c r="VM65" s="343">
        <f>SUM(Input[[#This Row],[Acad Sup E&amp;G]],Input[[#This Row],[Acad Sup Desg]],Input[[#This Row],[Acad Sup R Exp]],Input[[#This Row],[Acad Sup Loan]],Input[[#This Row],[Acad Sup Annuity]],Input[[#This Row],[Acad Sup Unexp]],Input[[#This Row],[Acad Sup R of Ind]],Input[[#This Row],[Acad Sup Inv in P]])</f>
        <v>69828242</v>
      </c>
      <c r="VN65" s="343">
        <f>SUM(Input[[#This Row],[Stu Svc E&amp;G]],Input[[#This Row],[Stu Svc Desg]],Input[[#This Row],[Stu Svc R Exp]],Input[[#This Row],[Stu Svc Loan]],Input[[#This Row],[Stu Svc Annuity]],Input[[#This Row],[Stu Svc Unexp]],Input[[#This Row],[Stu Svc R of Ind]],Input[[#This Row],[Stu Svc Inv in P]])</f>
        <v>2996066</v>
      </c>
      <c r="VO65" s="343">
        <f>SUM(Input[[#This Row],[Inst. Spt E&amp;G]],Input[[#This Row],[Inst. Spt Desg]],Input[[#This Row],[Inst. Spt R Exp]],Input[[#This Row],[Inst. Spt Loan]],Input[[#This Row],[Inst. Spt Annuity]],Input[[#This Row],[Inst. Spt Unexp]],Input[[#This Row],[Inst. Spt R of Ind]],Input[[#This Row],[Inst. Spt Inv in P]])</f>
        <v>76614998</v>
      </c>
      <c r="VP65" s="343">
        <f>SUM(Input[[#This Row],[M&amp;O Plnt E&amp;G]],Input[[#This Row],[M&amp;O Plnt Desg]],Input[[#This Row],[M&amp;O Plnt R Exp]],Input[[#This Row],[M&amp;O Plnt Loan]],Input[[#This Row],[M&amp;O Plnt Annuity]],Input[[#This Row],[M&amp;O Plnt Unexp]],Input[[#This Row],[M&amp;O Plnt R of Ind]],Input[[#This Row],[M&amp;O Plnt Inv in P]])</f>
        <v>52830984</v>
      </c>
      <c r="VQ65" s="343">
        <f>SUM(Input[[#This Row],[Schl &amp; Fell E&amp;G]],Input[[#This Row],[Schl &amp; Fell Desg]],Input[[#This Row],[Schl &amp; Fell R Exp]],Input[[#This Row],[Schl &amp; Fell Loan]],Input[[#This Row],[Schl &amp; Fell Annuity]],Input[[#This Row],[Schl &amp; Fell Unexp]],Input[[#This Row],[Schl &amp; Fell R of Ind]],Input[[#This Row],[Schl &amp; Fell Inv in P]])</f>
        <v>11032951</v>
      </c>
      <c r="VR65" s="343">
        <f>SUM(Input[[#This Row],[Cap Out fund E&amp;G]],Input[[#This Row],[Cap Out fund Desg]],Input[[#This Row],[Cap Out fund R Exp]],Input[[#This Row],[Cap Out fund Loan]],Input[[#This Row],[Cap Out fund Annuity]],Input[[#This Row],[Cap Out fund Unexp]],Input[[#This Row],[Cap Out fund R of Ind]],Input[[#This Row],[Cap Out fund Inv in P]])</f>
        <v>32996096</v>
      </c>
      <c r="VS65" s="343">
        <f>SUM(Input[[#This Row],[Oth Exp E&amp;G]],Input[[#This Row],[Oth Exp Desg]],Input[[#This Row],[Oth Exp R Exp]],Input[[#This Row],[Oth Exp Loan]],Input[[#This Row],[Oth Exp Annuity]],Input[[#This Row],[Oth Exp Unexp]],Input[[#This Row],[Oth Exp R of Ind]],Input[[#This Row],[Oth Exp Inv in P]],Input[[#This Row],[Oth Exp Inv in P]])</f>
        <v>1670598</v>
      </c>
    </row>
    <row r="66" spans="1:591" s="344" customFormat="1" ht="27" customHeight="1" x14ac:dyDescent="0.55000000000000004">
      <c r="A66" s="339" t="s">
        <v>44</v>
      </c>
      <c r="B66" s="334" t="s">
        <v>829</v>
      </c>
      <c r="C66" s="334" t="s">
        <v>14</v>
      </c>
      <c r="D66" s="334">
        <v>440</v>
      </c>
      <c r="E66" s="334" t="s">
        <v>1623</v>
      </c>
      <c r="F66" s="335">
        <v>42439</v>
      </c>
      <c r="G66" s="336">
        <v>64016812</v>
      </c>
      <c r="H66" s="336">
        <v>0</v>
      </c>
      <c r="I66" s="336">
        <v>0</v>
      </c>
      <c r="J66" s="336">
        <v>0</v>
      </c>
      <c r="K66" s="336">
        <v>0</v>
      </c>
      <c r="L66" s="336">
        <v>0</v>
      </c>
      <c r="M66" s="336">
        <v>0</v>
      </c>
      <c r="N66" s="336">
        <v>0</v>
      </c>
      <c r="O66" s="336">
        <v>0</v>
      </c>
      <c r="P66" s="336">
        <v>0</v>
      </c>
      <c r="Q66" s="336">
        <v>181874</v>
      </c>
      <c r="R66" s="336">
        <v>0</v>
      </c>
      <c r="S66" s="336">
        <v>10331705</v>
      </c>
      <c r="T66" s="336">
        <v>0</v>
      </c>
      <c r="U66" s="336">
        <v>0</v>
      </c>
      <c r="V66" s="336">
        <v>0</v>
      </c>
      <c r="W66" s="336">
        <v>0</v>
      </c>
      <c r="X66" s="336">
        <v>0</v>
      </c>
      <c r="Y66" s="336">
        <v>0</v>
      </c>
      <c r="Z66" s="336">
        <v>0</v>
      </c>
      <c r="AA66" s="336">
        <v>0</v>
      </c>
      <c r="AB66" s="336">
        <v>0</v>
      </c>
      <c r="AC66" s="336">
        <v>0</v>
      </c>
      <c r="AD66" s="336">
        <v>0</v>
      </c>
      <c r="AE66" s="336">
        <v>0</v>
      </c>
      <c r="AF66" s="336">
        <v>0</v>
      </c>
      <c r="AG66" s="336">
        <v>0</v>
      </c>
      <c r="AH66" s="336">
        <v>0</v>
      </c>
      <c r="AI66" s="336">
        <v>0</v>
      </c>
      <c r="AJ66" s="336">
        <v>0</v>
      </c>
      <c r="AK66" s="336">
        <v>0</v>
      </c>
      <c r="AL66" s="336">
        <v>0</v>
      </c>
      <c r="AM66" s="336">
        <v>0</v>
      </c>
      <c r="AN66" s="336">
        <v>0</v>
      </c>
      <c r="AO66" s="336">
        <v>0</v>
      </c>
      <c r="AP66" s="336">
        <v>0</v>
      </c>
      <c r="AQ66" s="336">
        <v>0</v>
      </c>
      <c r="AR66" s="336">
        <v>0</v>
      </c>
      <c r="AS66" s="336">
        <v>0</v>
      </c>
      <c r="AT66" s="336">
        <v>0</v>
      </c>
      <c r="AU66" s="336">
        <v>0</v>
      </c>
      <c r="AV66" s="336">
        <v>0</v>
      </c>
      <c r="AW66" s="336">
        <v>0</v>
      </c>
      <c r="AX66" s="336">
        <v>0</v>
      </c>
      <c r="AY66" s="336">
        <v>0</v>
      </c>
      <c r="AZ66" s="336">
        <v>0</v>
      </c>
      <c r="BA66" s="336">
        <v>0</v>
      </c>
      <c r="BB66" s="336">
        <v>0</v>
      </c>
      <c r="BC66" s="336">
        <v>0</v>
      </c>
      <c r="BD66" s="336">
        <v>0</v>
      </c>
      <c r="BE66" s="336">
        <v>0</v>
      </c>
      <c r="BF66" s="336">
        <v>0</v>
      </c>
      <c r="BG66" s="336">
        <v>0</v>
      </c>
      <c r="BH66" s="336">
        <v>0</v>
      </c>
      <c r="BI66" s="336">
        <v>0</v>
      </c>
      <c r="BJ66" s="336">
        <v>0</v>
      </c>
      <c r="BK66" s="336">
        <v>0</v>
      </c>
      <c r="BL66" s="336">
        <v>0</v>
      </c>
      <c r="BM66" s="336">
        <v>0</v>
      </c>
      <c r="BN66" s="336">
        <v>0</v>
      </c>
      <c r="BO66" s="336">
        <v>0</v>
      </c>
      <c r="BP66" s="336">
        <v>0</v>
      </c>
      <c r="BQ66" s="336">
        <v>0</v>
      </c>
      <c r="BR66" s="336">
        <v>0</v>
      </c>
      <c r="BS66" s="336">
        <v>0</v>
      </c>
      <c r="BT66" s="336">
        <v>0</v>
      </c>
      <c r="BU66" s="336">
        <v>0</v>
      </c>
      <c r="BV66" s="336">
        <v>0</v>
      </c>
      <c r="BW66" s="336">
        <v>0</v>
      </c>
      <c r="BX66" s="336">
        <v>0</v>
      </c>
      <c r="BY66" s="336">
        <v>0</v>
      </c>
      <c r="BZ66" s="336">
        <v>0</v>
      </c>
      <c r="CA66" s="336">
        <v>641518</v>
      </c>
      <c r="CB66" s="336">
        <v>460348</v>
      </c>
      <c r="CC66" s="336">
        <v>0</v>
      </c>
      <c r="CD66" s="336">
        <v>0</v>
      </c>
      <c r="CE66" s="336">
        <v>0</v>
      </c>
      <c r="CF66" s="336">
        <v>0</v>
      </c>
      <c r="CG66" s="336">
        <v>0</v>
      </c>
      <c r="CH66" s="336">
        <v>0</v>
      </c>
      <c r="CI66" s="336">
        <v>0</v>
      </c>
      <c r="CJ66" s="336">
        <v>0</v>
      </c>
      <c r="CK66" s="336">
        <v>0</v>
      </c>
      <c r="CL66" s="336">
        <v>0</v>
      </c>
      <c r="CM66" s="336">
        <v>0</v>
      </c>
      <c r="CN66" s="336">
        <v>0</v>
      </c>
      <c r="CO66" s="336">
        <v>0</v>
      </c>
      <c r="CP66" s="336">
        <v>0</v>
      </c>
      <c r="CQ66" s="336">
        <v>0</v>
      </c>
      <c r="CR66" s="336">
        <v>0</v>
      </c>
      <c r="CS66" s="336">
        <v>0</v>
      </c>
      <c r="CT66" s="336">
        <v>0</v>
      </c>
      <c r="CU66" s="336">
        <v>0</v>
      </c>
      <c r="CV66" s="336">
        <v>0</v>
      </c>
      <c r="CW66" s="336">
        <v>0</v>
      </c>
      <c r="CX66" s="336">
        <v>0</v>
      </c>
      <c r="CY66" s="336">
        <v>0</v>
      </c>
      <c r="CZ66" s="336">
        <v>0</v>
      </c>
      <c r="DA66" s="336">
        <v>0</v>
      </c>
      <c r="DB66" s="336">
        <v>0</v>
      </c>
      <c r="DC66" s="336">
        <v>0</v>
      </c>
      <c r="DD66" s="336">
        <v>0</v>
      </c>
      <c r="DE66" s="336">
        <v>0</v>
      </c>
      <c r="DF66" s="336">
        <v>0</v>
      </c>
      <c r="DG66" s="336">
        <v>0</v>
      </c>
      <c r="DH66" s="336">
        <v>0</v>
      </c>
      <c r="DI66" s="336">
        <v>0</v>
      </c>
      <c r="DJ66" s="336">
        <v>0</v>
      </c>
      <c r="DK66" s="336">
        <v>0</v>
      </c>
      <c r="DL66" s="336">
        <v>0</v>
      </c>
      <c r="DM66" s="336">
        <v>0</v>
      </c>
      <c r="DN66" s="336">
        <v>0</v>
      </c>
      <c r="DO66" s="336">
        <v>0</v>
      </c>
      <c r="DP66" s="336">
        <v>0</v>
      </c>
      <c r="DQ66" s="336">
        <v>0</v>
      </c>
      <c r="DR66" s="336">
        <v>0</v>
      </c>
      <c r="DS66" s="336">
        <v>0</v>
      </c>
      <c r="DT66" s="336">
        <v>0</v>
      </c>
      <c r="DU66" s="336">
        <v>0</v>
      </c>
      <c r="DV66" s="336">
        <v>0</v>
      </c>
      <c r="DW66" s="336">
        <v>0</v>
      </c>
      <c r="DX66" s="336">
        <v>0</v>
      </c>
      <c r="DY66" s="336">
        <v>0</v>
      </c>
      <c r="DZ66" s="336">
        <v>0</v>
      </c>
      <c r="EA66" s="336">
        <v>0</v>
      </c>
      <c r="EB66" s="336">
        <v>0</v>
      </c>
      <c r="EC66" s="336">
        <v>0</v>
      </c>
      <c r="ED66" s="336">
        <v>0</v>
      </c>
      <c r="EE66" s="336">
        <v>0</v>
      </c>
      <c r="EF66" s="336">
        <v>0</v>
      </c>
      <c r="EG66" s="336">
        <v>0</v>
      </c>
      <c r="EH66" s="336">
        <v>0</v>
      </c>
      <c r="EI66" s="336">
        <v>0</v>
      </c>
      <c r="EJ66" s="336">
        <v>0</v>
      </c>
      <c r="EK66" s="336">
        <v>0</v>
      </c>
      <c r="EL66" s="336">
        <v>0</v>
      </c>
      <c r="EM66" s="336">
        <v>0</v>
      </c>
      <c r="EN66" s="336">
        <v>0</v>
      </c>
      <c r="EO66" s="336">
        <v>0</v>
      </c>
      <c r="EP66" s="336">
        <v>0</v>
      </c>
      <c r="EQ66" s="336">
        <v>0</v>
      </c>
      <c r="ER66" s="336">
        <v>0</v>
      </c>
      <c r="ES66" s="336">
        <v>0</v>
      </c>
      <c r="ET66" s="336">
        <v>0</v>
      </c>
      <c r="EU66" s="336">
        <v>0</v>
      </c>
      <c r="EV66" s="336">
        <v>0</v>
      </c>
      <c r="EW66" s="336">
        <v>0</v>
      </c>
      <c r="EX66" s="336">
        <v>0</v>
      </c>
      <c r="EY66" s="336">
        <v>0</v>
      </c>
      <c r="EZ66" s="336">
        <v>0</v>
      </c>
      <c r="FA66" s="336">
        <v>0</v>
      </c>
      <c r="FB66" s="336">
        <v>0</v>
      </c>
      <c r="FC66" s="336">
        <v>0</v>
      </c>
      <c r="FD66" s="336">
        <v>0</v>
      </c>
      <c r="FE66" s="336">
        <v>0</v>
      </c>
      <c r="FF66" s="336">
        <v>0</v>
      </c>
      <c r="FG66" s="336">
        <v>0</v>
      </c>
      <c r="FH66" s="336">
        <v>0</v>
      </c>
      <c r="FI66" s="336">
        <v>0</v>
      </c>
      <c r="FJ66" s="336">
        <v>0</v>
      </c>
      <c r="FK66" s="336">
        <v>0</v>
      </c>
      <c r="FL66" s="336">
        <v>0</v>
      </c>
      <c r="FM66" s="336">
        <v>-3865</v>
      </c>
      <c r="FN66" s="336">
        <v>121059</v>
      </c>
      <c r="FO66" s="336">
        <v>0</v>
      </c>
      <c r="FP66" s="336">
        <v>0</v>
      </c>
      <c r="FQ66" s="336">
        <v>0</v>
      </c>
      <c r="FR66" s="336">
        <v>0</v>
      </c>
      <c r="FS66" s="336">
        <v>0</v>
      </c>
      <c r="FT66" s="336">
        <v>0</v>
      </c>
      <c r="FU66" s="336">
        <v>0</v>
      </c>
      <c r="FV66" s="336">
        <v>0</v>
      </c>
      <c r="FW66" s="336">
        <v>0</v>
      </c>
      <c r="FX66" s="336">
        <v>0</v>
      </c>
      <c r="FY66" s="336">
        <v>0</v>
      </c>
      <c r="FZ66" s="336">
        <v>0</v>
      </c>
      <c r="GA66" s="336">
        <v>0</v>
      </c>
      <c r="GB66" s="336">
        <v>0</v>
      </c>
      <c r="GC66" s="336">
        <v>0</v>
      </c>
      <c r="GD66" s="336">
        <v>0</v>
      </c>
      <c r="GE66" s="336">
        <v>0</v>
      </c>
      <c r="GF66" s="336">
        <v>0</v>
      </c>
      <c r="GG66" s="336">
        <v>0</v>
      </c>
      <c r="GH66" s="336">
        <v>0</v>
      </c>
      <c r="GI66" s="336">
        <v>0</v>
      </c>
      <c r="GJ66" s="336">
        <v>0</v>
      </c>
      <c r="GK66" s="336">
        <v>0</v>
      </c>
      <c r="GL66" s="336">
        <v>0</v>
      </c>
      <c r="GM66" s="336">
        <v>0</v>
      </c>
      <c r="GN66" s="336">
        <v>0</v>
      </c>
      <c r="GO66" s="336">
        <v>0</v>
      </c>
      <c r="GP66" s="336">
        <v>0</v>
      </c>
      <c r="GQ66" s="336">
        <v>0</v>
      </c>
      <c r="GR66" s="336">
        <v>0</v>
      </c>
      <c r="GS66" s="336">
        <v>0</v>
      </c>
      <c r="GT66" s="336">
        <v>0</v>
      </c>
      <c r="GU66" s="336">
        <v>0</v>
      </c>
      <c r="GV66" s="336">
        <v>0</v>
      </c>
      <c r="GW66" s="336">
        <v>0</v>
      </c>
      <c r="GX66" s="336">
        <v>0</v>
      </c>
      <c r="GY66" s="336">
        <v>0</v>
      </c>
      <c r="GZ66" s="336">
        <v>0</v>
      </c>
      <c r="HA66" s="336">
        <v>0</v>
      </c>
      <c r="HB66" s="336">
        <v>0</v>
      </c>
      <c r="HC66" s="336">
        <v>0</v>
      </c>
      <c r="HD66" s="336">
        <v>0</v>
      </c>
      <c r="HE66" s="336">
        <v>0</v>
      </c>
      <c r="HF66" s="336">
        <v>0</v>
      </c>
      <c r="HG66" s="336">
        <v>0</v>
      </c>
      <c r="HH66" s="336">
        <v>0</v>
      </c>
      <c r="HI66" s="336">
        <v>0</v>
      </c>
      <c r="HJ66" s="336">
        <v>0</v>
      </c>
      <c r="HK66" s="336">
        <v>0</v>
      </c>
      <c r="HL66" s="336">
        <v>0</v>
      </c>
      <c r="HM66" s="336">
        <v>0</v>
      </c>
      <c r="HN66" s="336">
        <v>0</v>
      </c>
      <c r="HO66" s="336">
        <v>0</v>
      </c>
      <c r="HP66" s="336">
        <v>2324861</v>
      </c>
      <c r="HQ66" s="336">
        <v>0</v>
      </c>
      <c r="HR66" s="336">
        <v>9795393</v>
      </c>
      <c r="HS66" s="336">
        <v>0</v>
      </c>
      <c r="HT66" s="336">
        <v>0</v>
      </c>
      <c r="HU66" s="336">
        <v>0</v>
      </c>
      <c r="HV66" s="336">
        <v>0</v>
      </c>
      <c r="HW66" s="336">
        <v>0</v>
      </c>
      <c r="HX66" s="336">
        <v>0</v>
      </c>
      <c r="HY66" s="336">
        <v>18734467</v>
      </c>
      <c r="HZ66" s="336">
        <v>0</v>
      </c>
      <c r="IA66" s="336">
        <v>0</v>
      </c>
      <c r="IB66" s="336">
        <v>0</v>
      </c>
      <c r="IC66" s="336">
        <v>0</v>
      </c>
      <c r="ID66" s="336">
        <v>0</v>
      </c>
      <c r="IE66" s="336">
        <v>0</v>
      </c>
      <c r="IF66" s="336">
        <v>0</v>
      </c>
      <c r="IG66" s="336">
        <v>179497106</v>
      </c>
      <c r="IH66" s="336">
        <v>337793</v>
      </c>
      <c r="II66" s="336">
        <v>0</v>
      </c>
      <c r="IJ66" s="336">
        <v>0</v>
      </c>
      <c r="IK66" s="336">
        <v>0</v>
      </c>
      <c r="IL66" s="336">
        <v>0</v>
      </c>
      <c r="IM66" s="336">
        <v>0</v>
      </c>
      <c r="IN66" s="336">
        <v>0</v>
      </c>
      <c r="IO66" s="336">
        <v>0</v>
      </c>
      <c r="IP66" s="336">
        <v>-18122</v>
      </c>
      <c r="IQ66" s="336">
        <v>4494518</v>
      </c>
      <c r="IR66" s="336">
        <v>0</v>
      </c>
      <c r="IS66" s="336">
        <v>1120386</v>
      </c>
      <c r="IT66" s="336">
        <v>0</v>
      </c>
      <c r="IU66" s="336">
        <v>2525</v>
      </c>
      <c r="IV66" s="336">
        <v>0</v>
      </c>
      <c r="IW66" s="336">
        <v>0</v>
      </c>
      <c r="IX66" s="336">
        <v>0</v>
      </c>
      <c r="IY66" s="336">
        <v>0</v>
      </c>
      <c r="IZ66" s="336">
        <v>0</v>
      </c>
      <c r="JA66" s="336">
        <v>0</v>
      </c>
      <c r="JB66" s="336">
        <v>0</v>
      </c>
      <c r="JC66" s="336">
        <v>0</v>
      </c>
      <c r="JD66" s="336">
        <v>0</v>
      </c>
      <c r="JE66" s="336">
        <v>0</v>
      </c>
      <c r="JF66" s="336">
        <v>0</v>
      </c>
      <c r="JG66" s="336">
        <v>0</v>
      </c>
      <c r="JH66" s="336">
        <v>824384</v>
      </c>
      <c r="JI66" s="336">
        <v>97003472</v>
      </c>
      <c r="JJ66" s="336">
        <v>0</v>
      </c>
      <c r="JK66" s="336">
        <v>11735638</v>
      </c>
      <c r="JL66" s="336">
        <v>0</v>
      </c>
      <c r="JM66" s="336">
        <v>0</v>
      </c>
      <c r="JN66" s="336">
        <v>0</v>
      </c>
      <c r="JO66" s="336">
        <v>0</v>
      </c>
      <c r="JP66" s="336">
        <v>0</v>
      </c>
      <c r="JQ66" s="336">
        <v>6878211</v>
      </c>
      <c r="JR66" s="336">
        <v>3491344</v>
      </c>
      <c r="JS66" s="336">
        <v>0</v>
      </c>
      <c r="JT66" s="336">
        <v>1524</v>
      </c>
      <c r="JU66" s="336">
        <v>0</v>
      </c>
      <c r="JV66" s="336">
        <v>0</v>
      </c>
      <c r="JW66" s="336">
        <v>0</v>
      </c>
      <c r="JX66" s="336">
        <v>0</v>
      </c>
      <c r="JY66" s="336">
        <v>0</v>
      </c>
      <c r="JZ66" s="336">
        <v>0</v>
      </c>
      <c r="KA66" s="336">
        <v>0</v>
      </c>
      <c r="KB66" s="336">
        <v>70261</v>
      </c>
      <c r="KC66" s="336">
        <v>0</v>
      </c>
      <c r="KD66" s="336">
        <v>0</v>
      </c>
      <c r="KE66" s="336">
        <v>0</v>
      </c>
      <c r="KF66" s="336">
        <v>0</v>
      </c>
      <c r="KG66" s="336">
        <v>0</v>
      </c>
      <c r="KH66" s="336">
        <v>0</v>
      </c>
      <c r="KI66" s="336">
        <v>810437</v>
      </c>
      <c r="KJ66" s="336">
        <v>11575254</v>
      </c>
      <c r="KK66" s="336">
        <v>0</v>
      </c>
      <c r="KL66" s="336">
        <v>19616</v>
      </c>
      <c r="KM66" s="336">
        <v>0</v>
      </c>
      <c r="KN66" s="336">
        <v>0</v>
      </c>
      <c r="KO66" s="336">
        <v>0</v>
      </c>
      <c r="KP66" s="336">
        <v>0</v>
      </c>
      <c r="KQ66" s="336">
        <v>0</v>
      </c>
      <c r="KR66" s="336">
        <v>23494488</v>
      </c>
      <c r="KS66" s="336">
        <v>90713210</v>
      </c>
      <c r="KT66" s="336">
        <v>0</v>
      </c>
      <c r="KU66" s="336">
        <v>13886542</v>
      </c>
      <c r="KV66" s="336">
        <v>0</v>
      </c>
      <c r="KW66" s="336">
        <v>0</v>
      </c>
      <c r="KX66" s="336">
        <v>0</v>
      </c>
      <c r="KY66" s="336">
        <v>0</v>
      </c>
      <c r="KZ66" s="336">
        <v>0</v>
      </c>
      <c r="LA66" s="336">
        <v>7994405</v>
      </c>
      <c r="LB66" s="336">
        <v>3693743</v>
      </c>
      <c r="LC66" s="336">
        <v>0</v>
      </c>
      <c r="LD66" s="336">
        <v>12782035</v>
      </c>
      <c r="LE66" s="336">
        <v>0</v>
      </c>
      <c r="LF66" s="336">
        <v>0</v>
      </c>
      <c r="LG66" s="336">
        <v>0</v>
      </c>
      <c r="LH66" s="336">
        <v>0</v>
      </c>
      <c r="LI66" s="336">
        <v>0</v>
      </c>
      <c r="LJ66" s="336">
        <v>0</v>
      </c>
      <c r="LK66" s="336">
        <v>0</v>
      </c>
      <c r="LL66" s="336">
        <v>0</v>
      </c>
      <c r="LM66" s="336">
        <v>229435</v>
      </c>
      <c r="LN66" s="336">
        <v>0</v>
      </c>
      <c r="LO66" s="336">
        <v>0</v>
      </c>
      <c r="LP66" s="336">
        <v>0</v>
      </c>
      <c r="LQ66" s="336">
        <v>0</v>
      </c>
      <c r="LR66" s="336">
        <v>0</v>
      </c>
      <c r="LS66" s="336">
        <v>169417674</v>
      </c>
      <c r="LT66" s="336">
        <v>37511184</v>
      </c>
      <c r="LU66" s="336">
        <v>0</v>
      </c>
      <c r="LV66" s="336">
        <v>4933446</v>
      </c>
      <c r="LW66" s="336">
        <v>0</v>
      </c>
      <c r="LX66" s="336">
        <v>0</v>
      </c>
      <c r="LY66" s="336">
        <v>0</v>
      </c>
      <c r="LZ66" s="336">
        <v>0</v>
      </c>
      <c r="MA66" s="336">
        <v>0</v>
      </c>
      <c r="MB66" s="336">
        <v>4362460</v>
      </c>
      <c r="MC66" s="336">
        <v>119770</v>
      </c>
      <c r="MD66" s="336">
        <v>0</v>
      </c>
      <c r="ME66" s="336">
        <v>72967</v>
      </c>
      <c r="MF66" s="336">
        <v>0</v>
      </c>
      <c r="MG66" s="336">
        <v>0</v>
      </c>
      <c r="MH66" s="336">
        <v>0</v>
      </c>
      <c r="MI66" s="336">
        <v>0</v>
      </c>
      <c r="MJ66" s="336">
        <v>0</v>
      </c>
      <c r="MK66" s="336">
        <v>1177470</v>
      </c>
      <c r="ML66" s="336">
        <v>563233</v>
      </c>
      <c r="MM66" s="336">
        <v>0</v>
      </c>
      <c r="MN66" s="336">
        <v>3831</v>
      </c>
      <c r="MO66" s="336">
        <v>0</v>
      </c>
      <c r="MP66" s="336">
        <v>0</v>
      </c>
      <c r="MQ66" s="336">
        <v>0</v>
      </c>
      <c r="MR66" s="336">
        <v>0</v>
      </c>
      <c r="MS66" s="336">
        <v>0</v>
      </c>
      <c r="MT66" s="336">
        <v>11719801</v>
      </c>
      <c r="MU66" s="336">
        <v>3515143</v>
      </c>
      <c r="MV66" s="336">
        <v>0</v>
      </c>
      <c r="MW66" s="336">
        <v>347700</v>
      </c>
      <c r="MX66" s="336">
        <v>0</v>
      </c>
      <c r="MY66" s="336">
        <v>0</v>
      </c>
      <c r="MZ66" s="336">
        <v>0</v>
      </c>
      <c r="NA66" s="336">
        <v>0</v>
      </c>
      <c r="NB66" s="336">
        <v>0</v>
      </c>
      <c r="NC66" s="336">
        <v>10585761</v>
      </c>
      <c r="ND66" s="336">
        <v>0</v>
      </c>
      <c r="NE66" s="336">
        <v>0</v>
      </c>
      <c r="NF66" s="336">
        <v>0</v>
      </c>
      <c r="NG66" s="336">
        <v>0</v>
      </c>
      <c r="NH66" s="336">
        <v>0</v>
      </c>
      <c r="NI66" s="336">
        <v>1132990</v>
      </c>
      <c r="NJ66" s="336">
        <v>0</v>
      </c>
      <c r="NK66" s="336">
        <v>0</v>
      </c>
      <c r="NL66" s="336">
        <v>0</v>
      </c>
      <c r="NM66" s="336">
        <v>0</v>
      </c>
      <c r="NN66" s="336">
        <v>0</v>
      </c>
      <c r="NO66" s="336">
        <v>61395</v>
      </c>
      <c r="NP66" s="336">
        <v>0</v>
      </c>
      <c r="NQ66" s="336">
        <v>0</v>
      </c>
      <c r="NR66" s="336">
        <v>0</v>
      </c>
      <c r="NS66" s="336">
        <v>0</v>
      </c>
      <c r="NT66" s="336">
        <v>0</v>
      </c>
      <c r="NU66" s="336">
        <v>0</v>
      </c>
      <c r="NV66" s="336">
        <v>0</v>
      </c>
      <c r="NW66" s="336">
        <v>2339</v>
      </c>
      <c r="NX66" s="336">
        <v>0</v>
      </c>
      <c r="NY66" s="336">
        <v>0</v>
      </c>
      <c r="NZ66" s="336">
        <v>0</v>
      </c>
      <c r="OA66" s="336">
        <v>0</v>
      </c>
      <c r="OB66" s="336">
        <v>0</v>
      </c>
      <c r="OC66" s="336">
        <v>0</v>
      </c>
      <c r="OD66" s="336">
        <v>620435</v>
      </c>
      <c r="OE66" s="336">
        <v>12874</v>
      </c>
      <c r="OF66" s="336">
        <v>0</v>
      </c>
      <c r="OG66" s="336">
        <v>764446</v>
      </c>
      <c r="OH66" s="336">
        <v>0</v>
      </c>
      <c r="OI66" s="336">
        <v>0</v>
      </c>
      <c r="OJ66" s="336">
        <v>0</v>
      </c>
      <c r="OK66" s="336">
        <v>0</v>
      </c>
      <c r="OL66" s="336">
        <v>0</v>
      </c>
      <c r="OM66" s="336">
        <v>94055</v>
      </c>
      <c r="ON66" s="336">
        <v>0</v>
      </c>
      <c r="OO66" s="336">
        <v>0</v>
      </c>
      <c r="OP66" s="336">
        <v>0</v>
      </c>
      <c r="OQ66" s="336">
        <v>0</v>
      </c>
      <c r="OR66" s="336">
        <v>0</v>
      </c>
      <c r="OS66" s="336">
        <v>0</v>
      </c>
      <c r="OT66" s="336">
        <v>0</v>
      </c>
      <c r="OU66" s="336">
        <v>0</v>
      </c>
      <c r="OV66" s="336">
        <v>0</v>
      </c>
      <c r="OW66" s="336">
        <v>0</v>
      </c>
      <c r="OX66" s="336">
        <v>0</v>
      </c>
      <c r="OY66" s="336">
        <v>0</v>
      </c>
      <c r="OZ66" s="336">
        <v>0</v>
      </c>
      <c r="PA66" s="336">
        <v>0</v>
      </c>
      <c r="PB66" s="336">
        <v>-100068933</v>
      </c>
      <c r="PC66" s="336">
        <v>0</v>
      </c>
      <c r="PD66" s="336">
        <v>101466688</v>
      </c>
      <c r="PE66" s="336">
        <v>4487277</v>
      </c>
      <c r="PF66" s="336">
        <v>-1841664</v>
      </c>
      <c r="PG66" s="336">
        <v>0</v>
      </c>
      <c r="PH66" s="336">
        <v>-1296319</v>
      </c>
      <c r="PI66" s="336">
        <v>0</v>
      </c>
      <c r="PJ66" s="336">
        <v>96728</v>
      </c>
      <c r="PK66" s="336">
        <v>4017109</v>
      </c>
      <c r="PL66" s="336">
        <v>0</v>
      </c>
      <c r="PM66" s="336">
        <v>1158027</v>
      </c>
      <c r="PN66" s="336">
        <v>0</v>
      </c>
      <c r="PO66" s="336">
        <v>0</v>
      </c>
      <c r="PP66" s="336">
        <v>0</v>
      </c>
      <c r="PQ66" s="336">
        <v>0</v>
      </c>
      <c r="PR66" s="336">
        <v>0</v>
      </c>
      <c r="PS66" s="336">
        <v>0</v>
      </c>
      <c r="PT66" s="336">
        <v>53253852</v>
      </c>
      <c r="PU66" s="336">
        <v>0</v>
      </c>
      <c r="PV66" s="336">
        <v>0</v>
      </c>
      <c r="PW66" s="336">
        <v>-14598414</v>
      </c>
      <c r="PX66" s="336">
        <v>0</v>
      </c>
      <c r="PY66" s="336">
        <v>0</v>
      </c>
      <c r="PZ66" s="336">
        <v>0</v>
      </c>
      <c r="QA66" s="336">
        <v>0</v>
      </c>
      <c r="QB66" s="336">
        <v>0</v>
      </c>
      <c r="QC66" s="336">
        <v>-893013</v>
      </c>
      <c r="QD66" s="336">
        <v>0</v>
      </c>
      <c r="QE66" s="336">
        <v>0</v>
      </c>
      <c r="QF66" s="336">
        <v>5270</v>
      </c>
      <c r="QG66" s="336">
        <v>-219879</v>
      </c>
      <c r="QH66" s="336">
        <v>0</v>
      </c>
      <c r="QI66" s="336">
        <v>-4786</v>
      </c>
      <c r="QJ66" s="336">
        <v>0</v>
      </c>
      <c r="QK66" s="336">
        <v>4258288</v>
      </c>
      <c r="QL66" s="336">
        <v>0</v>
      </c>
      <c r="QM66" s="336">
        <v>0</v>
      </c>
      <c r="QN66" s="336">
        <v>0</v>
      </c>
      <c r="QO66" s="336">
        <v>0</v>
      </c>
      <c r="QP66" s="336">
        <v>0</v>
      </c>
      <c r="QQ66" s="336">
        <v>0</v>
      </c>
      <c r="QR66" s="336">
        <v>0</v>
      </c>
      <c r="QS66" s="336">
        <v>0</v>
      </c>
      <c r="QT66" s="336">
        <v>4705185</v>
      </c>
      <c r="QU66" s="336">
        <v>0</v>
      </c>
      <c r="QV66" s="336">
        <v>0</v>
      </c>
      <c r="QW66" s="336">
        <v>0</v>
      </c>
      <c r="QX66" s="336">
        <v>0</v>
      </c>
      <c r="QY66" s="336">
        <v>0</v>
      </c>
      <c r="QZ66" s="336">
        <v>0</v>
      </c>
      <c r="RA66" s="336">
        <v>0</v>
      </c>
      <c r="RB66" s="336">
        <v>0</v>
      </c>
      <c r="RC66" s="336">
        <v>0</v>
      </c>
      <c r="RD66" s="336">
        <v>0</v>
      </c>
      <c r="RE66" s="336">
        <v>0</v>
      </c>
      <c r="RF66" s="336">
        <v>0</v>
      </c>
      <c r="RG66" s="336">
        <v>0</v>
      </c>
      <c r="RH66" s="336">
        <v>0</v>
      </c>
      <c r="RI66" s="336">
        <v>0</v>
      </c>
      <c r="RJ66" s="336">
        <v>0</v>
      </c>
      <c r="RK66" s="336">
        <v>0</v>
      </c>
      <c r="RL66" s="336">
        <v>0</v>
      </c>
      <c r="RM66" s="336">
        <v>0</v>
      </c>
      <c r="RN66" s="336">
        <v>0</v>
      </c>
      <c r="RO66" s="336">
        <v>-17195814</v>
      </c>
      <c r="RP66" s="336">
        <v>0</v>
      </c>
      <c r="RQ66" s="336">
        <v>0</v>
      </c>
      <c r="RR66" s="336">
        <v>0</v>
      </c>
      <c r="RS66" s="336">
        <v>0</v>
      </c>
      <c r="RT66" s="336">
        <v>0</v>
      </c>
      <c r="RU66" s="336">
        <v>0</v>
      </c>
      <c r="RV66" s="336">
        <v>0</v>
      </c>
      <c r="RW66" s="336">
        <v>0</v>
      </c>
      <c r="RX66" s="336">
        <v>0</v>
      </c>
      <c r="RY66" s="336">
        <v>0</v>
      </c>
      <c r="RZ66" s="336">
        <v>0</v>
      </c>
      <c r="SA66" s="336">
        <v>0</v>
      </c>
      <c r="SB66" s="336">
        <v>0</v>
      </c>
      <c r="SC66" s="336">
        <v>0</v>
      </c>
      <c r="SD66" s="336">
        <v>0</v>
      </c>
      <c r="SE66" s="336">
        <v>0</v>
      </c>
      <c r="SF66" s="336">
        <v>0</v>
      </c>
      <c r="SG66" s="336">
        <v>0</v>
      </c>
      <c r="SH66" s="336">
        <v>0</v>
      </c>
      <c r="SI66" s="336">
        <v>0</v>
      </c>
      <c r="SJ66" s="336">
        <v>0</v>
      </c>
      <c r="SK66" s="336">
        <v>0</v>
      </c>
      <c r="SL66" s="336">
        <v>0</v>
      </c>
      <c r="SM66" s="336">
        <v>0</v>
      </c>
      <c r="SN66" s="336">
        <v>0</v>
      </c>
      <c r="SO66" s="336">
        <v>0</v>
      </c>
      <c r="SP66" s="336">
        <v>0</v>
      </c>
      <c r="SQ66" s="336">
        <v>0</v>
      </c>
      <c r="SR66" s="336">
        <v>0</v>
      </c>
      <c r="SS66" s="336">
        <v>0</v>
      </c>
      <c r="ST66" s="336">
        <v>0</v>
      </c>
      <c r="SU66" s="336">
        <v>0</v>
      </c>
      <c r="SV66" s="336">
        <v>0</v>
      </c>
      <c r="SW66" s="336">
        <v>0</v>
      </c>
      <c r="SX66" s="336">
        <v>0</v>
      </c>
      <c r="SY66" s="336">
        <v>0</v>
      </c>
      <c r="SZ66" s="336" t="s">
        <v>1420</v>
      </c>
      <c r="TA66" s="336" t="s">
        <v>1420</v>
      </c>
      <c r="TB66" s="336" t="s">
        <v>1420</v>
      </c>
      <c r="TC66" s="336">
        <v>511061</v>
      </c>
      <c r="TD66" s="336">
        <v>410122</v>
      </c>
      <c r="TE66" s="336">
        <v>0</v>
      </c>
      <c r="TF66" s="336">
        <v>213982</v>
      </c>
      <c r="TG66" s="336">
        <v>0</v>
      </c>
      <c r="TH66" s="336">
        <v>0</v>
      </c>
      <c r="TI66" s="336">
        <v>115870</v>
      </c>
      <c r="TJ66" s="336">
        <v>146720</v>
      </c>
      <c r="TK66" s="336">
        <v>0</v>
      </c>
      <c r="TL66" s="336">
        <v>0</v>
      </c>
      <c r="TM66" s="336">
        <v>0</v>
      </c>
      <c r="TN66" s="336">
        <v>0</v>
      </c>
      <c r="TO66" s="336">
        <v>1182936</v>
      </c>
      <c r="TP66" s="336">
        <v>0</v>
      </c>
      <c r="TQ66" s="336">
        <v>0</v>
      </c>
      <c r="TR66" s="336">
        <v>0</v>
      </c>
      <c r="TS66" s="336">
        <v>0</v>
      </c>
      <c r="TT66" s="336">
        <v>0</v>
      </c>
      <c r="TU66" s="336">
        <v>0</v>
      </c>
      <c r="TV66" s="336">
        <v>0</v>
      </c>
      <c r="TW66" s="336">
        <v>0</v>
      </c>
      <c r="TX66" s="336">
        <v>0</v>
      </c>
      <c r="TY66" s="336">
        <v>0</v>
      </c>
      <c r="TZ66" s="336">
        <v>0</v>
      </c>
      <c r="UA66" s="336">
        <v>0</v>
      </c>
      <c r="UB66" s="336">
        <v>0</v>
      </c>
      <c r="UC66" s="336">
        <v>0</v>
      </c>
      <c r="UD66" s="336">
        <v>0</v>
      </c>
      <c r="UE66" s="336">
        <v>0</v>
      </c>
      <c r="UF66" s="336">
        <v>645123080</v>
      </c>
      <c r="UG66" s="336">
        <v>465265974</v>
      </c>
      <c r="UH66" s="336">
        <v>128094240</v>
      </c>
      <c r="UI66" s="336">
        <v>24470183</v>
      </c>
      <c r="UJ66" s="336">
        <v>229435</v>
      </c>
      <c r="UK66" s="336">
        <v>211862304</v>
      </c>
      <c r="UL66" s="336">
        <v>4555197</v>
      </c>
      <c r="UM66" s="336">
        <v>1744534</v>
      </c>
      <c r="UN66" s="336">
        <v>15582644</v>
      </c>
      <c r="UO66" s="336">
        <v>11718751</v>
      </c>
      <c r="UP66" s="336">
        <v>61395</v>
      </c>
      <c r="UQ66" s="336">
        <v>2339</v>
      </c>
      <c r="UR66"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1397755</v>
      </c>
      <c r="US66" s="338">
        <f>SUM(Input[[#This Row],[Oth Exp E&amp;G]],Input[[#This Row],[Oth Exp Desg]],Input[[#This Row],[Oth Exp Aux]],Input[[#This Row],[Oth Exp R Exp]],Input[[#This Row],[Oth Exp Loan]],Input[[#This Row],[Oth Exp Annuity]],Input[[#This Row],[Oth Exp Unexp]],Input[[#This Row],[Oth Exp R of Ind]],Input[[#This Row],[Oth Exp Inv in P]])</f>
        <v>94055</v>
      </c>
      <c r="UT66" s="336">
        <v>70417025</v>
      </c>
      <c r="UU66" s="336">
        <v>4038893</v>
      </c>
      <c r="UV66" s="339" t="s">
        <v>1536</v>
      </c>
      <c r="UW66" s="340">
        <v>9038777755</v>
      </c>
      <c r="UX66" s="339" t="s">
        <v>1537</v>
      </c>
      <c r="UY66" s="339" t="s">
        <v>1538</v>
      </c>
      <c r="UZ66" s="340">
        <v>9038777214</v>
      </c>
      <c r="VA66" s="339" t="s">
        <v>1539</v>
      </c>
      <c r="VB66" s="341" cm="1">
        <f t="array" ref="VB66">IFERROR(_xlfn.IFS(Input[[#This Row],[Type]]="HRI",VLOOKUP(Input[[#This Row],[Institution Name]],FTSEHRI[],9,FALSE),Input[[#This Row],[Type]]="UNIV",VLOOKUP(Input[[#This Row],[Institution Name]],FTSEUNIV[],9,FALSE),OR(Input[[#This Row],[Type]]="TSTC",Input[[#This Row],[Type]]="LSC"),VLOOKUP(Input[[#This Row],[Institution Name]],FTSETSTC[],8,FALSE)),"N/A")</f>
        <v>146.13</v>
      </c>
      <c r="VC66" s="342" t="str" cm="1">
        <f t="array" ref="VC66">IFERROR(_xlfn.IFS(Input[[#This Row],[Type]]="HRI",VLOOKUP(Input[[#This Row],[Institution Name]],FTSEHRI[],11,FALSE),Input[[#This Row],[Type]]="UNIV",VLOOKUP(Input[[#This Row],[Institution Name]],FTSEUNIV[],11,FALSE),Input[[#This Row],[Type]]="TSTC",VLOOKUP(Input[[#This Row],[Institution Name]],FTSETSTC[],10,FALSE)),"N/A")</f>
        <v>N/A</v>
      </c>
      <c r="VD66"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74530391</v>
      </c>
      <c r="VE66"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66" s="338">
        <f>SUM(Input[[#This Row],[Fed G&amp;C E&amp;G]],Input[[#This Row],[Fed G&amp;C Desg]],Input[[#This Row],[Fed G&amp;C R Exp]],Input[[#This Row],[Fed G&amp;C Loan]],Input[[#This Row],[Fed G&amp;C Annuity]],Input[[#This Row],[Fed G&amp;C Unexp]],Input[[#This Row],[Fed G&amp;C R of Ind]],Input[[#This Row],[Fed G&amp;C Inv in P]])</f>
        <v>12120254</v>
      </c>
      <c r="VG66"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137939187</v>
      </c>
      <c r="VH66"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1101866</v>
      </c>
      <c r="VI66"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117194</v>
      </c>
      <c r="VJ66" s="338">
        <f>SUM(Input[[#This Row],[Oth Inc E&amp;G]],Input[[#This Row],[Oth Exp Desg]],Input[[#This Row],[Oth Exp R Exp]],Input[[#This Row],[Oth Exp Loan]],Input[[#This Row],[Oth Exp Annuity]],Input[[#This Row],[Oth Exp Unexp]],Input[[#This Row],[Oth Exp R of Ind]],Input[[#This Row],[Oth Exp Inv in P]])</f>
        <v>810437</v>
      </c>
      <c r="VK66" s="343">
        <f>SUM(Input[[#This Row],[Instr E&amp;G]],Input[[#This Row],[Instr Desg]],Input[[#This Row],[Instr R Exp]],Input[[#This Row],[Instr Loan]],Input[[#This Row],[Instr Annuity]],Input[[#This Row],[Instr Unexp]],Input[[#This Row],[Instr R of Ind]],Input[[#This Row],[Instr Inv in P]])</f>
        <v>128094240</v>
      </c>
      <c r="VL66" s="343">
        <f>SUM(Input[[#This Row],[Res E&amp;G]],Input[[#This Row],[Res Desg]],Input[[#This Row],[Res R Exp]],Input[[#This Row],[Res Loan]],Input[[#This Row],[Res Annuity]],Input[[#This Row],[Res Unexp]],Input[[#This Row],[Res R of Ind]],Input[[#This Row],[Res Inv in P]])</f>
        <v>24470183</v>
      </c>
      <c r="VM66" s="343">
        <f>SUM(Input[[#This Row],[Acad Sup E&amp;G]],Input[[#This Row],[Acad Sup Desg]],Input[[#This Row],[Acad Sup R Exp]],Input[[#This Row],[Acad Sup Loan]],Input[[#This Row],[Acad Sup Annuity]],Input[[#This Row],[Acad Sup Unexp]],Input[[#This Row],[Acad Sup R of Ind]],Input[[#This Row],[Acad Sup Inv in P]])</f>
        <v>4555197</v>
      </c>
      <c r="VN66" s="343">
        <f>SUM(Input[[#This Row],[Stu Svc E&amp;G]],Input[[#This Row],[Stu Svc Desg]],Input[[#This Row],[Stu Svc R Exp]],Input[[#This Row],[Stu Svc Loan]],Input[[#This Row],[Stu Svc Annuity]],Input[[#This Row],[Stu Svc Unexp]],Input[[#This Row],[Stu Svc R of Ind]],Input[[#This Row],[Stu Svc Inv in P]])</f>
        <v>1744534</v>
      </c>
      <c r="VO66" s="343">
        <f>SUM(Input[[#This Row],[Inst. Spt E&amp;G]],Input[[#This Row],[Inst. Spt Desg]],Input[[#This Row],[Inst. Spt R Exp]],Input[[#This Row],[Inst. Spt Loan]],Input[[#This Row],[Inst. Spt Annuity]],Input[[#This Row],[Inst. Spt Unexp]],Input[[#This Row],[Inst. Spt R of Ind]],Input[[#This Row],[Inst. Spt Inv in P]])</f>
        <v>15582644</v>
      </c>
      <c r="VP66" s="343">
        <f>SUM(Input[[#This Row],[M&amp;O Plnt E&amp;G]],Input[[#This Row],[M&amp;O Plnt Desg]],Input[[#This Row],[M&amp;O Plnt R Exp]],Input[[#This Row],[M&amp;O Plnt Loan]],Input[[#This Row],[M&amp;O Plnt Annuity]],Input[[#This Row],[M&amp;O Plnt Unexp]],Input[[#This Row],[M&amp;O Plnt R of Ind]],Input[[#This Row],[M&amp;O Plnt Inv in P]])</f>
        <v>11718751</v>
      </c>
      <c r="VQ66" s="343">
        <f>SUM(Input[[#This Row],[Schl &amp; Fell E&amp;G]],Input[[#This Row],[Schl &amp; Fell Desg]],Input[[#This Row],[Schl &amp; Fell R Exp]],Input[[#This Row],[Schl &amp; Fell Loan]],Input[[#This Row],[Schl &amp; Fell Annuity]],Input[[#This Row],[Schl &amp; Fell Unexp]],Input[[#This Row],[Schl &amp; Fell R of Ind]],Input[[#This Row],[Schl &amp; Fell Inv in P]])</f>
        <v>61395</v>
      </c>
      <c r="VR66" s="343">
        <f>SUM(Input[[#This Row],[Cap Out fund E&amp;G]],Input[[#This Row],[Cap Out fund Desg]],Input[[#This Row],[Cap Out fund R Exp]],Input[[#This Row],[Cap Out fund Loan]],Input[[#This Row],[Cap Out fund Annuity]],Input[[#This Row],[Cap Out fund Unexp]],Input[[#This Row],[Cap Out fund R of Ind]],Input[[#This Row],[Cap Out fund Inv in P]])</f>
        <v>1397755</v>
      </c>
      <c r="VS66" s="343">
        <f>SUM(Input[[#This Row],[Oth Exp E&amp;G]],Input[[#This Row],[Oth Exp Desg]],Input[[#This Row],[Oth Exp R Exp]],Input[[#This Row],[Oth Exp Loan]],Input[[#This Row],[Oth Exp Annuity]],Input[[#This Row],[Oth Exp Unexp]],Input[[#This Row],[Oth Exp R of Ind]],Input[[#This Row],[Oth Exp Inv in P]],Input[[#This Row],[Oth Exp Inv in P]])</f>
        <v>94055</v>
      </c>
    </row>
    <row r="67" spans="1:591" s="344" customFormat="1" ht="27" customHeight="1" x14ac:dyDescent="0.55000000000000004">
      <c r="A67" s="339" t="s">
        <v>43</v>
      </c>
      <c r="B67" s="334" t="s">
        <v>829</v>
      </c>
      <c r="C67" s="334" t="s">
        <v>14</v>
      </c>
      <c r="D67" s="334">
        <v>430</v>
      </c>
      <c r="E67" s="334" t="s">
        <v>1623</v>
      </c>
      <c r="F67" s="335">
        <v>25554</v>
      </c>
      <c r="G67" s="336">
        <v>236684682</v>
      </c>
      <c r="H67" s="336">
        <v>0</v>
      </c>
      <c r="I67" s="336">
        <v>0</v>
      </c>
      <c r="J67" s="336">
        <v>0</v>
      </c>
      <c r="K67" s="336">
        <v>0</v>
      </c>
      <c r="L67" s="336">
        <v>0</v>
      </c>
      <c r="M67" s="336">
        <v>0</v>
      </c>
      <c r="N67" s="336">
        <v>0</v>
      </c>
      <c r="O67" s="336">
        <v>0</v>
      </c>
      <c r="P67" s="336">
        <v>5938</v>
      </c>
      <c r="Q67" s="336">
        <v>1875189</v>
      </c>
      <c r="R67" s="336">
        <v>0</v>
      </c>
      <c r="S67" s="336">
        <v>39340193</v>
      </c>
      <c r="T67" s="336">
        <v>0</v>
      </c>
      <c r="U67" s="336">
        <v>0</v>
      </c>
      <c r="V67" s="336">
        <v>0</v>
      </c>
      <c r="W67" s="336">
        <v>0</v>
      </c>
      <c r="X67" s="336">
        <v>0</v>
      </c>
      <c r="Y67" s="336">
        <v>0</v>
      </c>
      <c r="Z67" s="336">
        <v>0</v>
      </c>
      <c r="AA67" s="336">
        <v>0</v>
      </c>
      <c r="AB67" s="336">
        <v>0</v>
      </c>
      <c r="AC67" s="336">
        <v>0</v>
      </c>
      <c r="AD67" s="336">
        <v>0</v>
      </c>
      <c r="AE67" s="336">
        <v>0</v>
      </c>
      <c r="AF67" s="336">
        <v>0</v>
      </c>
      <c r="AG67" s="336">
        <v>0</v>
      </c>
      <c r="AH67" s="336">
        <v>0</v>
      </c>
      <c r="AI67" s="336">
        <v>0</v>
      </c>
      <c r="AJ67" s="336">
        <v>0</v>
      </c>
      <c r="AK67" s="336">
        <v>0</v>
      </c>
      <c r="AL67" s="336">
        <v>0</v>
      </c>
      <c r="AM67" s="336">
        <v>0</v>
      </c>
      <c r="AN67" s="336">
        <v>0</v>
      </c>
      <c r="AO67" s="336">
        <v>0</v>
      </c>
      <c r="AP67" s="336">
        <v>0</v>
      </c>
      <c r="AQ67" s="336">
        <v>-254720</v>
      </c>
      <c r="AR67" s="336">
        <v>0</v>
      </c>
      <c r="AS67" s="336">
        <v>0</v>
      </c>
      <c r="AT67" s="336">
        <v>0</v>
      </c>
      <c r="AU67" s="336">
        <v>0</v>
      </c>
      <c r="AV67" s="336">
        <v>0</v>
      </c>
      <c r="AW67" s="336">
        <v>0</v>
      </c>
      <c r="AX67" s="336">
        <v>0</v>
      </c>
      <c r="AY67" s="336">
        <v>0</v>
      </c>
      <c r="AZ67" s="336">
        <v>0</v>
      </c>
      <c r="BA67" s="336">
        <v>0</v>
      </c>
      <c r="BB67" s="336">
        <v>0</v>
      </c>
      <c r="BC67" s="336">
        <v>0</v>
      </c>
      <c r="BD67" s="336">
        <v>0</v>
      </c>
      <c r="BE67" s="336">
        <v>0</v>
      </c>
      <c r="BF67" s="336">
        <v>0</v>
      </c>
      <c r="BG67" s="336">
        <v>0</v>
      </c>
      <c r="BH67" s="336">
        <v>0</v>
      </c>
      <c r="BI67" s="336">
        <v>-500</v>
      </c>
      <c r="BJ67" s="336">
        <v>0</v>
      </c>
      <c r="BK67" s="336">
        <v>0</v>
      </c>
      <c r="BL67" s="336">
        <v>0</v>
      </c>
      <c r="BM67" s="336">
        <v>0</v>
      </c>
      <c r="BN67" s="336">
        <v>0</v>
      </c>
      <c r="BO67" s="336">
        <v>0</v>
      </c>
      <c r="BP67" s="336">
        <v>0</v>
      </c>
      <c r="BQ67" s="336">
        <v>0</v>
      </c>
      <c r="BR67" s="336">
        <v>0</v>
      </c>
      <c r="BS67" s="336">
        <v>0</v>
      </c>
      <c r="BT67" s="336">
        <v>0</v>
      </c>
      <c r="BU67" s="336">
        <v>0</v>
      </c>
      <c r="BV67" s="336">
        <v>0</v>
      </c>
      <c r="BW67" s="336">
        <v>0</v>
      </c>
      <c r="BX67" s="336">
        <v>0</v>
      </c>
      <c r="BY67" s="336">
        <v>0</v>
      </c>
      <c r="BZ67" s="336">
        <v>0</v>
      </c>
      <c r="CA67" s="336">
        <v>756761</v>
      </c>
      <c r="CB67" s="336">
        <v>772635</v>
      </c>
      <c r="CC67" s="336">
        <v>0</v>
      </c>
      <c r="CD67" s="336">
        <v>0</v>
      </c>
      <c r="CE67" s="336">
        <v>0</v>
      </c>
      <c r="CF67" s="336">
        <v>0</v>
      </c>
      <c r="CG67" s="336">
        <v>0</v>
      </c>
      <c r="CH67" s="336">
        <v>0</v>
      </c>
      <c r="CI67" s="336">
        <v>0</v>
      </c>
      <c r="CJ67" s="336">
        <v>0</v>
      </c>
      <c r="CK67" s="336">
        <v>0</v>
      </c>
      <c r="CL67" s="336">
        <v>0</v>
      </c>
      <c r="CM67" s="336">
        <v>0</v>
      </c>
      <c r="CN67" s="336">
        <v>0</v>
      </c>
      <c r="CO67" s="336">
        <v>0</v>
      </c>
      <c r="CP67" s="336">
        <v>0</v>
      </c>
      <c r="CQ67" s="336">
        <v>0</v>
      </c>
      <c r="CR67" s="336">
        <v>0</v>
      </c>
      <c r="CS67" s="336">
        <v>0</v>
      </c>
      <c r="CT67" s="336">
        <v>0</v>
      </c>
      <c r="CU67" s="336">
        <v>0</v>
      </c>
      <c r="CV67" s="336">
        <v>0</v>
      </c>
      <c r="CW67" s="336">
        <v>0</v>
      </c>
      <c r="CX67" s="336">
        <v>0</v>
      </c>
      <c r="CY67" s="336">
        <v>0</v>
      </c>
      <c r="CZ67" s="336">
        <v>0</v>
      </c>
      <c r="DA67" s="336">
        <v>0</v>
      </c>
      <c r="DB67" s="336">
        <v>-8500</v>
      </c>
      <c r="DC67" s="336">
        <v>0</v>
      </c>
      <c r="DD67" s="336">
        <v>0</v>
      </c>
      <c r="DE67" s="336">
        <v>0</v>
      </c>
      <c r="DF67" s="336">
        <v>0</v>
      </c>
      <c r="DG67" s="336">
        <v>0</v>
      </c>
      <c r="DH67" s="336">
        <v>0</v>
      </c>
      <c r="DI67" s="336">
        <v>0</v>
      </c>
      <c r="DJ67" s="336">
        <v>0</v>
      </c>
      <c r="DK67" s="336">
        <v>0</v>
      </c>
      <c r="DL67" s="336">
        <v>-11470</v>
      </c>
      <c r="DM67" s="336">
        <v>0</v>
      </c>
      <c r="DN67" s="336">
        <v>0</v>
      </c>
      <c r="DO67" s="336">
        <v>0</v>
      </c>
      <c r="DP67" s="336">
        <v>0</v>
      </c>
      <c r="DQ67" s="336">
        <v>0</v>
      </c>
      <c r="DR67" s="336">
        <v>0</v>
      </c>
      <c r="DS67" s="336">
        <v>0</v>
      </c>
      <c r="DT67" s="336">
        <v>0</v>
      </c>
      <c r="DU67" s="336">
        <v>0</v>
      </c>
      <c r="DV67" s="336">
        <v>0</v>
      </c>
      <c r="DW67" s="336">
        <v>0</v>
      </c>
      <c r="DX67" s="336">
        <v>0</v>
      </c>
      <c r="DY67" s="336">
        <v>0</v>
      </c>
      <c r="DZ67" s="336">
        <v>0</v>
      </c>
      <c r="EA67" s="336">
        <v>0</v>
      </c>
      <c r="EB67" s="336">
        <v>0</v>
      </c>
      <c r="EC67" s="336">
        <v>0</v>
      </c>
      <c r="ED67" s="336">
        <v>0</v>
      </c>
      <c r="EE67" s="336">
        <v>0</v>
      </c>
      <c r="EF67" s="336">
        <v>0</v>
      </c>
      <c r="EG67" s="336">
        <v>0</v>
      </c>
      <c r="EH67" s="336">
        <v>0</v>
      </c>
      <c r="EI67" s="336">
        <v>0</v>
      </c>
      <c r="EJ67" s="336">
        <v>0</v>
      </c>
      <c r="EK67" s="336">
        <v>0</v>
      </c>
      <c r="EL67" s="336">
        <v>0</v>
      </c>
      <c r="EM67" s="336">
        <v>0</v>
      </c>
      <c r="EN67" s="336">
        <v>0</v>
      </c>
      <c r="EO67" s="336">
        <v>0</v>
      </c>
      <c r="EP67" s="336">
        <v>0</v>
      </c>
      <c r="EQ67" s="336">
        <v>0</v>
      </c>
      <c r="ER67" s="336">
        <v>0</v>
      </c>
      <c r="ES67" s="336">
        <v>0</v>
      </c>
      <c r="ET67" s="336">
        <v>0</v>
      </c>
      <c r="EU67" s="336">
        <v>0</v>
      </c>
      <c r="EV67" s="336">
        <v>0</v>
      </c>
      <c r="EW67" s="336">
        <v>0</v>
      </c>
      <c r="EX67" s="336">
        <v>0</v>
      </c>
      <c r="EY67" s="336">
        <v>0</v>
      </c>
      <c r="EZ67" s="336">
        <v>0</v>
      </c>
      <c r="FA67" s="336">
        <v>0</v>
      </c>
      <c r="FB67" s="336">
        <v>0</v>
      </c>
      <c r="FC67" s="336">
        <v>0</v>
      </c>
      <c r="FD67" s="336">
        <v>0</v>
      </c>
      <c r="FE67" s="336">
        <v>0</v>
      </c>
      <c r="FF67" s="336">
        <v>0</v>
      </c>
      <c r="FG67" s="336">
        <v>0</v>
      </c>
      <c r="FH67" s="336">
        <v>0</v>
      </c>
      <c r="FI67" s="336">
        <v>0</v>
      </c>
      <c r="FJ67" s="336">
        <v>0</v>
      </c>
      <c r="FK67" s="336">
        <v>0</v>
      </c>
      <c r="FL67" s="336">
        <v>0</v>
      </c>
      <c r="FM67" s="336">
        <v>0</v>
      </c>
      <c r="FN67" s="336">
        <v>352454</v>
      </c>
      <c r="FO67" s="336">
        <v>0</v>
      </c>
      <c r="FP67" s="336">
        <v>0</v>
      </c>
      <c r="FQ67" s="336">
        <v>0</v>
      </c>
      <c r="FR67" s="336">
        <v>0</v>
      </c>
      <c r="FS67" s="336">
        <v>0</v>
      </c>
      <c r="FT67" s="336">
        <v>0</v>
      </c>
      <c r="FU67" s="336">
        <v>0</v>
      </c>
      <c r="FV67" s="336">
        <v>0</v>
      </c>
      <c r="FW67" s="336">
        <v>0</v>
      </c>
      <c r="FX67" s="336">
        <v>0</v>
      </c>
      <c r="FY67" s="336">
        <v>0</v>
      </c>
      <c r="FZ67" s="336">
        <v>0</v>
      </c>
      <c r="GA67" s="336">
        <v>0</v>
      </c>
      <c r="GB67" s="336">
        <v>0</v>
      </c>
      <c r="GC67" s="336">
        <v>0</v>
      </c>
      <c r="GD67" s="336">
        <v>0</v>
      </c>
      <c r="GE67" s="336">
        <v>0</v>
      </c>
      <c r="GF67" s="336">
        <v>0</v>
      </c>
      <c r="GG67" s="336">
        <v>0</v>
      </c>
      <c r="GH67" s="336">
        <v>0</v>
      </c>
      <c r="GI67" s="336">
        <v>0</v>
      </c>
      <c r="GJ67" s="336">
        <v>0</v>
      </c>
      <c r="GK67" s="336">
        <v>0</v>
      </c>
      <c r="GL67" s="336">
        <v>0</v>
      </c>
      <c r="GM67" s="336">
        <v>0</v>
      </c>
      <c r="GN67" s="336">
        <v>0</v>
      </c>
      <c r="GO67" s="336">
        <v>0</v>
      </c>
      <c r="GP67" s="336">
        <v>0</v>
      </c>
      <c r="GQ67" s="336">
        <v>0</v>
      </c>
      <c r="GR67" s="336">
        <v>0</v>
      </c>
      <c r="GS67" s="336">
        <v>0</v>
      </c>
      <c r="GT67" s="336">
        <v>0</v>
      </c>
      <c r="GU67" s="336">
        <v>0</v>
      </c>
      <c r="GV67" s="336">
        <v>0</v>
      </c>
      <c r="GW67" s="336">
        <v>0</v>
      </c>
      <c r="GX67" s="336">
        <v>-5260</v>
      </c>
      <c r="GY67" s="336">
        <v>0</v>
      </c>
      <c r="GZ67" s="336">
        <v>0</v>
      </c>
      <c r="HA67" s="336">
        <v>0</v>
      </c>
      <c r="HB67" s="336">
        <v>0</v>
      </c>
      <c r="HC67" s="336">
        <v>0</v>
      </c>
      <c r="HD67" s="336">
        <v>0</v>
      </c>
      <c r="HE67" s="336">
        <v>0</v>
      </c>
      <c r="HF67" s="336">
        <v>0</v>
      </c>
      <c r="HG67" s="336">
        <v>0</v>
      </c>
      <c r="HH67" s="336">
        <v>0</v>
      </c>
      <c r="HI67" s="336">
        <v>0</v>
      </c>
      <c r="HJ67" s="336">
        <v>0</v>
      </c>
      <c r="HK67" s="336">
        <v>0</v>
      </c>
      <c r="HL67" s="336">
        <v>0</v>
      </c>
      <c r="HM67" s="336">
        <v>0</v>
      </c>
      <c r="HN67" s="336">
        <v>0</v>
      </c>
      <c r="HO67" s="336">
        <v>0</v>
      </c>
      <c r="HP67" s="336">
        <v>91106518</v>
      </c>
      <c r="HQ67" s="336">
        <v>0</v>
      </c>
      <c r="HR67" s="336">
        <v>230064882</v>
      </c>
      <c r="HS67" s="336">
        <v>0</v>
      </c>
      <c r="HT67" s="336">
        <v>0</v>
      </c>
      <c r="HU67" s="336">
        <v>0</v>
      </c>
      <c r="HV67" s="336">
        <v>0</v>
      </c>
      <c r="HW67" s="336">
        <v>0</v>
      </c>
      <c r="HX67" s="336">
        <v>0</v>
      </c>
      <c r="HY67" s="336">
        <v>491337868</v>
      </c>
      <c r="HZ67" s="336">
        <v>0</v>
      </c>
      <c r="IA67" s="336">
        <v>0</v>
      </c>
      <c r="IB67" s="336">
        <v>0</v>
      </c>
      <c r="IC67" s="336">
        <v>0</v>
      </c>
      <c r="ID67" s="336">
        <v>0</v>
      </c>
      <c r="IE67" s="336">
        <v>0</v>
      </c>
      <c r="IF67" s="336">
        <v>0</v>
      </c>
      <c r="IG67" s="336">
        <v>5974299794</v>
      </c>
      <c r="IH67" s="336">
        <v>0</v>
      </c>
      <c r="II67" s="336">
        <v>0</v>
      </c>
      <c r="IJ67" s="336">
        <v>0</v>
      </c>
      <c r="IK67" s="336">
        <v>0</v>
      </c>
      <c r="IL67" s="336">
        <v>0</v>
      </c>
      <c r="IM67" s="336">
        <v>0</v>
      </c>
      <c r="IN67" s="336">
        <v>0</v>
      </c>
      <c r="IO67" s="336">
        <v>0</v>
      </c>
      <c r="IP67" s="336">
        <v>260448564</v>
      </c>
      <c r="IQ67" s="336">
        <v>323977267</v>
      </c>
      <c r="IR67" s="336">
        <v>0</v>
      </c>
      <c r="IS67" s="336">
        <v>31818994</v>
      </c>
      <c r="IT67" s="336">
        <v>0</v>
      </c>
      <c r="IU67" s="336">
        <v>137193</v>
      </c>
      <c r="IV67" s="336">
        <v>328499</v>
      </c>
      <c r="IW67" s="336">
        <v>0</v>
      </c>
      <c r="IX67" s="336">
        <v>0</v>
      </c>
      <c r="IY67" s="336">
        <v>0</v>
      </c>
      <c r="IZ67" s="336">
        <v>0</v>
      </c>
      <c r="JA67" s="336">
        <v>0</v>
      </c>
      <c r="JB67" s="336">
        <v>0</v>
      </c>
      <c r="JC67" s="336">
        <v>0</v>
      </c>
      <c r="JD67" s="336">
        <v>0</v>
      </c>
      <c r="JE67" s="336">
        <v>0</v>
      </c>
      <c r="JF67" s="336">
        <v>0</v>
      </c>
      <c r="JG67" s="336">
        <v>0</v>
      </c>
      <c r="JH67" s="336">
        <v>0</v>
      </c>
      <c r="JI67" s="336">
        <v>109707819</v>
      </c>
      <c r="JJ67" s="336">
        <v>0</v>
      </c>
      <c r="JK67" s="336">
        <v>368095910</v>
      </c>
      <c r="JL67" s="336">
        <v>0</v>
      </c>
      <c r="JM67" s="336">
        <v>0</v>
      </c>
      <c r="JN67" s="336">
        <v>0</v>
      </c>
      <c r="JO67" s="336">
        <v>0</v>
      </c>
      <c r="JP67" s="336">
        <v>0</v>
      </c>
      <c r="JQ67" s="336">
        <v>0</v>
      </c>
      <c r="JR67" s="336">
        <v>2070126</v>
      </c>
      <c r="JS67" s="336">
        <v>0</v>
      </c>
      <c r="JT67" s="336">
        <v>0</v>
      </c>
      <c r="JU67" s="336">
        <v>0</v>
      </c>
      <c r="JV67" s="336">
        <v>0</v>
      </c>
      <c r="JW67" s="336">
        <v>0</v>
      </c>
      <c r="JX67" s="336">
        <v>0</v>
      </c>
      <c r="JY67" s="336">
        <v>0</v>
      </c>
      <c r="JZ67" s="336">
        <v>0</v>
      </c>
      <c r="KA67" s="336">
        <v>0</v>
      </c>
      <c r="KB67" s="336">
        <v>44056984</v>
      </c>
      <c r="KC67" s="336">
        <v>0</v>
      </c>
      <c r="KD67" s="336">
        <v>0</v>
      </c>
      <c r="KE67" s="336">
        <v>0</v>
      </c>
      <c r="KF67" s="336">
        <v>0</v>
      </c>
      <c r="KG67" s="336">
        <v>0</v>
      </c>
      <c r="KH67" s="336">
        <v>0</v>
      </c>
      <c r="KI67" s="336">
        <v>8161761</v>
      </c>
      <c r="KJ67" s="336">
        <v>87994235</v>
      </c>
      <c r="KK67" s="336">
        <v>0</v>
      </c>
      <c r="KL67" s="336">
        <v>3618388</v>
      </c>
      <c r="KM67" s="336">
        <v>0</v>
      </c>
      <c r="KN67" s="336">
        <v>0</v>
      </c>
      <c r="KO67" s="336">
        <v>0</v>
      </c>
      <c r="KP67" s="336">
        <v>0</v>
      </c>
      <c r="KQ67" s="336">
        <v>-1704122</v>
      </c>
      <c r="KR67" s="336">
        <v>89237277</v>
      </c>
      <c r="KS67" s="336">
        <v>2456621</v>
      </c>
      <c r="KT67" s="336">
        <v>0</v>
      </c>
      <c r="KU67" s="336">
        <v>1840282</v>
      </c>
      <c r="KV67" s="336">
        <v>0</v>
      </c>
      <c r="KW67" s="336">
        <v>0</v>
      </c>
      <c r="KX67" s="336">
        <v>0</v>
      </c>
      <c r="KY67" s="336">
        <v>0</v>
      </c>
      <c r="KZ67" s="336">
        <v>0</v>
      </c>
      <c r="LA67" s="336">
        <v>287033476</v>
      </c>
      <c r="LB67" s="336">
        <v>195926894</v>
      </c>
      <c r="LC67" s="336">
        <v>0</v>
      </c>
      <c r="LD67" s="336">
        <v>613360005</v>
      </c>
      <c r="LE67" s="336">
        <v>0</v>
      </c>
      <c r="LF67" s="336">
        <v>0</v>
      </c>
      <c r="LG67" s="336">
        <v>0</v>
      </c>
      <c r="LH67" s="336">
        <v>0</v>
      </c>
      <c r="LI67" s="336">
        <v>0</v>
      </c>
      <c r="LJ67" s="336">
        <v>14443870</v>
      </c>
      <c r="LK67" s="336">
        <v>7092984</v>
      </c>
      <c r="LL67" s="336">
        <v>0</v>
      </c>
      <c r="LM67" s="336">
        <v>8049193</v>
      </c>
      <c r="LN67" s="336">
        <v>0</v>
      </c>
      <c r="LO67" s="336">
        <v>0</v>
      </c>
      <c r="LP67" s="336">
        <v>0</v>
      </c>
      <c r="LQ67" s="336">
        <v>0</v>
      </c>
      <c r="LR67" s="336">
        <v>0</v>
      </c>
      <c r="LS67" s="336">
        <v>4070783529</v>
      </c>
      <c r="LT67" s="336">
        <v>759520522</v>
      </c>
      <c r="LU67" s="336">
        <v>0</v>
      </c>
      <c r="LV67" s="336">
        <v>8938403</v>
      </c>
      <c r="LW67" s="336">
        <v>0</v>
      </c>
      <c r="LX67" s="336">
        <v>0</v>
      </c>
      <c r="LY67" s="336">
        <v>0</v>
      </c>
      <c r="LZ67" s="336">
        <v>0</v>
      </c>
      <c r="MA67" s="336">
        <v>0</v>
      </c>
      <c r="MB67" s="336">
        <v>185437848</v>
      </c>
      <c r="MC67" s="336">
        <v>1385054</v>
      </c>
      <c r="MD67" s="336">
        <v>0</v>
      </c>
      <c r="ME67" s="336">
        <v>308685</v>
      </c>
      <c r="MF67" s="336">
        <v>0</v>
      </c>
      <c r="MG67" s="336">
        <v>0</v>
      </c>
      <c r="MH67" s="336">
        <v>0</v>
      </c>
      <c r="MI67" s="336">
        <v>0</v>
      </c>
      <c r="MJ67" s="336">
        <v>0</v>
      </c>
      <c r="MK67" s="336">
        <v>1055204</v>
      </c>
      <c r="ML67" s="336">
        <v>900</v>
      </c>
      <c r="MM67" s="336">
        <v>0</v>
      </c>
      <c r="MN67" s="336">
        <v>1972964</v>
      </c>
      <c r="MO67" s="336">
        <v>0</v>
      </c>
      <c r="MP67" s="336">
        <v>0</v>
      </c>
      <c r="MQ67" s="336">
        <v>0</v>
      </c>
      <c r="MR67" s="336">
        <v>0</v>
      </c>
      <c r="MS67" s="336">
        <v>0</v>
      </c>
      <c r="MT67" s="336">
        <v>169366566</v>
      </c>
      <c r="MU67" s="336">
        <v>12666337</v>
      </c>
      <c r="MV67" s="336">
        <v>0</v>
      </c>
      <c r="MW67" s="336">
        <v>4800597</v>
      </c>
      <c r="MX67" s="336">
        <v>0</v>
      </c>
      <c r="MY67" s="336">
        <v>0</v>
      </c>
      <c r="MZ67" s="336">
        <v>0</v>
      </c>
      <c r="NA67" s="336">
        <v>0</v>
      </c>
      <c r="NB67" s="336">
        <v>0</v>
      </c>
      <c r="NC67" s="336">
        <v>290962927</v>
      </c>
      <c r="ND67" s="336">
        <v>301711</v>
      </c>
      <c r="NE67" s="336">
        <v>0</v>
      </c>
      <c r="NF67" s="336">
        <v>36727</v>
      </c>
      <c r="NG67" s="336">
        <v>0</v>
      </c>
      <c r="NH67" s="336">
        <v>0</v>
      </c>
      <c r="NI67" s="336">
        <v>0</v>
      </c>
      <c r="NJ67" s="336">
        <v>0</v>
      </c>
      <c r="NK67" s="336">
        <v>0</v>
      </c>
      <c r="NL67" s="336">
        <v>5938</v>
      </c>
      <c r="NM67" s="336">
        <v>1017751</v>
      </c>
      <c r="NN67" s="336">
        <v>0</v>
      </c>
      <c r="NO67" s="336">
        <v>1956577</v>
      </c>
      <c r="NP67" s="336">
        <v>0</v>
      </c>
      <c r="NQ67" s="336">
        <v>0</v>
      </c>
      <c r="NR67" s="336">
        <v>0</v>
      </c>
      <c r="NS67" s="336">
        <v>0</v>
      </c>
      <c r="NT67" s="336">
        <v>0</v>
      </c>
      <c r="NU67" s="336">
        <v>0</v>
      </c>
      <c r="NV67" s="336">
        <v>0</v>
      </c>
      <c r="NW67" s="336">
        <v>25149095</v>
      </c>
      <c r="NX67" s="336">
        <v>0</v>
      </c>
      <c r="NY67" s="336">
        <v>0</v>
      </c>
      <c r="NZ67" s="336">
        <v>0</v>
      </c>
      <c r="OA67" s="336">
        <v>0</v>
      </c>
      <c r="OB67" s="336">
        <v>0</v>
      </c>
      <c r="OC67" s="336">
        <v>0</v>
      </c>
      <c r="OD67" s="336">
        <v>71017106</v>
      </c>
      <c r="OE67" s="336">
        <v>21452859</v>
      </c>
      <c r="OF67" s="336">
        <v>75496</v>
      </c>
      <c r="OG67" s="336">
        <v>9370486</v>
      </c>
      <c r="OH67" s="336">
        <v>0</v>
      </c>
      <c r="OI67" s="336">
        <v>0</v>
      </c>
      <c r="OJ67" s="336">
        <v>0</v>
      </c>
      <c r="OK67" s="336">
        <v>0</v>
      </c>
      <c r="OL67" s="336">
        <v>0</v>
      </c>
      <c r="OM67" s="336">
        <v>3999403</v>
      </c>
      <c r="ON67" s="336">
        <v>33356837</v>
      </c>
      <c r="OO67" s="336">
        <v>0</v>
      </c>
      <c r="OP67" s="336">
        <v>0</v>
      </c>
      <c r="OQ67" s="336">
        <v>0</v>
      </c>
      <c r="OR67" s="336">
        <v>0</v>
      </c>
      <c r="OS67" s="336">
        <v>0</v>
      </c>
      <c r="OT67" s="336">
        <v>0</v>
      </c>
      <c r="OU67" s="336">
        <v>0</v>
      </c>
      <c r="OV67" s="336">
        <v>0</v>
      </c>
      <c r="OW67" s="336">
        <v>0</v>
      </c>
      <c r="OX67" s="336">
        <v>0</v>
      </c>
      <c r="OY67" s="336">
        <v>0</v>
      </c>
      <c r="OZ67" s="336">
        <v>0</v>
      </c>
      <c r="PA67" s="336">
        <v>0</v>
      </c>
      <c r="PB67" s="336">
        <v>-518446348</v>
      </c>
      <c r="PC67" s="336">
        <v>0</v>
      </c>
      <c r="PD67" s="336">
        <v>0</v>
      </c>
      <c r="PE67" s="336">
        <v>-509424181</v>
      </c>
      <c r="PF67" s="336">
        <v>205710630</v>
      </c>
      <c r="PG67" s="336">
        <v>-3393409</v>
      </c>
      <c r="PH67" s="336">
        <v>10169697</v>
      </c>
      <c r="PI67" s="336">
        <v>0</v>
      </c>
      <c r="PJ67" s="336">
        <v>14963196</v>
      </c>
      <c r="PK67" s="336">
        <v>353489590</v>
      </c>
      <c r="PL67" s="336">
        <v>0</v>
      </c>
      <c r="PM67" s="336">
        <v>62115299</v>
      </c>
      <c r="PN67" s="336">
        <v>0</v>
      </c>
      <c r="PO67" s="336">
        <v>0</v>
      </c>
      <c r="PP67" s="336">
        <v>0</v>
      </c>
      <c r="PQ67" s="336">
        <v>0</v>
      </c>
      <c r="PR67" s="336">
        <v>0</v>
      </c>
      <c r="PS67" s="336">
        <v>0</v>
      </c>
      <c r="PT67" s="336">
        <v>-57965240</v>
      </c>
      <c r="PU67" s="336">
        <v>0</v>
      </c>
      <c r="PV67" s="336">
        <v>0</v>
      </c>
      <c r="PW67" s="336">
        <v>-76837924</v>
      </c>
      <c r="PX67" s="336">
        <v>0</v>
      </c>
      <c r="PY67" s="336">
        <v>-5789565</v>
      </c>
      <c r="PZ67" s="336">
        <v>0</v>
      </c>
      <c r="QA67" s="336">
        <v>0</v>
      </c>
      <c r="QB67" s="336">
        <v>0</v>
      </c>
      <c r="QC67" s="336">
        <v>0</v>
      </c>
      <c r="QD67" s="336">
        <v>0</v>
      </c>
      <c r="QE67" s="336">
        <v>0</v>
      </c>
      <c r="QF67" s="336">
        <v>451506890</v>
      </c>
      <c r="QG67" s="336">
        <v>116172492</v>
      </c>
      <c r="QH67" s="336">
        <v>0</v>
      </c>
      <c r="QI67" s="336">
        <v>0</v>
      </c>
      <c r="QJ67" s="336">
        <v>0</v>
      </c>
      <c r="QK67" s="336">
        <v>87723079</v>
      </c>
      <c r="QL67" s="336">
        <v>0</v>
      </c>
      <c r="QM67" s="336">
        <v>0</v>
      </c>
      <c r="QN67" s="336">
        <v>0</v>
      </c>
      <c r="QO67" s="336">
        <v>0</v>
      </c>
      <c r="QP67" s="336">
        <v>0</v>
      </c>
      <c r="QQ67" s="336">
        <v>0</v>
      </c>
      <c r="QR67" s="336">
        <v>554043</v>
      </c>
      <c r="QS67" s="336">
        <v>0</v>
      </c>
      <c r="QT67" s="336">
        <v>22701691</v>
      </c>
      <c r="QU67" s="336">
        <v>0</v>
      </c>
      <c r="QV67" s="336">
        <v>0</v>
      </c>
      <c r="QW67" s="336">
        <v>0</v>
      </c>
      <c r="QX67" s="336">
        <v>0</v>
      </c>
      <c r="QY67" s="336">
        <v>0</v>
      </c>
      <c r="QZ67" s="336">
        <v>0</v>
      </c>
      <c r="RA67" s="336">
        <v>0</v>
      </c>
      <c r="RB67" s="336">
        <v>0</v>
      </c>
      <c r="RC67" s="336">
        <v>0</v>
      </c>
      <c r="RD67" s="336">
        <v>0</v>
      </c>
      <c r="RE67" s="336">
        <v>0</v>
      </c>
      <c r="RF67" s="336">
        <v>0</v>
      </c>
      <c r="RG67" s="336">
        <v>-366542</v>
      </c>
      <c r="RH67" s="336">
        <v>0</v>
      </c>
      <c r="RI67" s="336">
        <v>0</v>
      </c>
      <c r="RJ67" s="336">
        <v>0</v>
      </c>
      <c r="RK67" s="336">
        <v>0</v>
      </c>
      <c r="RL67" s="336">
        <v>0</v>
      </c>
      <c r="RM67" s="336">
        <v>0</v>
      </c>
      <c r="RN67" s="336">
        <v>0</v>
      </c>
      <c r="RO67" s="336">
        <v>-363003962</v>
      </c>
      <c r="RP67" s="336">
        <v>0</v>
      </c>
      <c r="RQ67" s="336">
        <v>0</v>
      </c>
      <c r="RR67" s="336">
        <v>0</v>
      </c>
      <c r="RS67" s="336">
        <v>0</v>
      </c>
      <c r="RT67" s="336">
        <v>0</v>
      </c>
      <c r="RU67" s="336">
        <v>0</v>
      </c>
      <c r="RV67" s="336">
        <v>0</v>
      </c>
      <c r="RW67" s="336">
        <v>0</v>
      </c>
      <c r="RX67" s="336">
        <v>0</v>
      </c>
      <c r="RY67" s="336">
        <v>0</v>
      </c>
      <c r="RZ67" s="336">
        <v>0</v>
      </c>
      <c r="SA67" s="336">
        <v>0</v>
      </c>
      <c r="SB67" s="336">
        <v>0</v>
      </c>
      <c r="SC67" s="336">
        <v>0</v>
      </c>
      <c r="SD67" s="336">
        <v>0</v>
      </c>
      <c r="SE67" s="336">
        <v>0</v>
      </c>
      <c r="SF67" s="336">
        <v>0</v>
      </c>
      <c r="SG67" s="336">
        <v>0</v>
      </c>
      <c r="SH67" s="336">
        <v>0</v>
      </c>
      <c r="SI67" s="336">
        <v>0</v>
      </c>
      <c r="SJ67" s="336">
        <v>0</v>
      </c>
      <c r="SK67" s="336">
        <v>0</v>
      </c>
      <c r="SL67" s="336">
        <v>0</v>
      </c>
      <c r="SM67" s="336">
        <v>0</v>
      </c>
      <c r="SN67" s="336">
        <v>0</v>
      </c>
      <c r="SO67" s="336">
        <v>0</v>
      </c>
      <c r="SP67" s="336">
        <v>0</v>
      </c>
      <c r="SQ67" s="336">
        <v>0</v>
      </c>
      <c r="SR67" s="336">
        <v>0</v>
      </c>
      <c r="SS67" s="336">
        <v>0</v>
      </c>
      <c r="ST67" s="336">
        <v>0</v>
      </c>
      <c r="SU67" s="336">
        <v>0</v>
      </c>
      <c r="SV67" s="336">
        <v>0</v>
      </c>
      <c r="SW67" s="336">
        <v>0</v>
      </c>
      <c r="SX67" s="336">
        <v>0</v>
      </c>
      <c r="SY67" s="336">
        <v>620362295</v>
      </c>
      <c r="SZ67" s="336" t="s">
        <v>1420</v>
      </c>
      <c r="TA67" s="336" t="s">
        <v>1420</v>
      </c>
      <c r="TB67" s="336" t="s">
        <v>1420</v>
      </c>
      <c r="TC67" s="336">
        <v>85574279</v>
      </c>
      <c r="TD67" s="336">
        <v>35518339</v>
      </c>
      <c r="TE67" s="336">
        <v>95952</v>
      </c>
      <c r="TF67" s="336">
        <v>-38188900</v>
      </c>
      <c r="TG67" s="336">
        <v>32412</v>
      </c>
      <c r="TH67" s="336">
        <v>349126</v>
      </c>
      <c r="TI67" s="336">
        <v>15349515</v>
      </c>
      <c r="TJ67" s="336">
        <v>3109728</v>
      </c>
      <c r="TK67" s="336">
        <v>0</v>
      </c>
      <c r="TL67" s="336">
        <v>75496</v>
      </c>
      <c r="TM67" s="336">
        <v>0</v>
      </c>
      <c r="TN67" s="336">
        <v>0</v>
      </c>
      <c r="TO67" s="336">
        <v>4359862</v>
      </c>
      <c r="TP67" s="336">
        <v>0</v>
      </c>
      <c r="TQ67" s="336">
        <v>0</v>
      </c>
      <c r="TR67" s="336">
        <v>0</v>
      </c>
      <c r="TS67" s="336">
        <v>0</v>
      </c>
      <c r="TT67" s="336">
        <v>0</v>
      </c>
      <c r="TU67" s="336">
        <v>0</v>
      </c>
      <c r="TV67" s="336">
        <v>0</v>
      </c>
      <c r="TW67" s="336">
        <v>0</v>
      </c>
      <c r="TX67" s="336">
        <v>705259</v>
      </c>
      <c r="TY67" s="336">
        <v>0</v>
      </c>
      <c r="TZ67" s="336">
        <v>0</v>
      </c>
      <c r="UA67" s="336">
        <v>0</v>
      </c>
      <c r="UB67" s="336">
        <v>0</v>
      </c>
      <c r="UC67" s="336">
        <v>0</v>
      </c>
      <c r="UD67" s="336">
        <v>0</v>
      </c>
      <c r="UE67" s="336">
        <v>0</v>
      </c>
      <c r="UF67" s="336">
        <v>12576212129</v>
      </c>
      <c r="UG67" s="336">
        <v>6601912335</v>
      </c>
      <c r="UH67" s="336">
        <v>93534180</v>
      </c>
      <c r="UI67" s="336">
        <v>1096320375</v>
      </c>
      <c r="UJ67" s="336">
        <v>29586047</v>
      </c>
      <c r="UK67" s="336">
        <v>4839242454</v>
      </c>
      <c r="UL67" s="336">
        <v>187131587</v>
      </c>
      <c r="UM67" s="336">
        <v>3029068</v>
      </c>
      <c r="UN67" s="336">
        <v>186833500</v>
      </c>
      <c r="UO67" s="336">
        <v>291301365</v>
      </c>
      <c r="UP67" s="336">
        <v>2980266</v>
      </c>
      <c r="UQ67" s="336">
        <v>25149095</v>
      </c>
      <c r="UR67"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101915947</v>
      </c>
      <c r="US67" s="338">
        <f>SUM(Input[[#This Row],[Oth Exp E&amp;G]],Input[[#This Row],[Oth Exp Desg]],Input[[#This Row],[Oth Exp Aux]],Input[[#This Row],[Oth Exp R Exp]],Input[[#This Row],[Oth Exp Loan]],Input[[#This Row],[Oth Exp Annuity]],Input[[#This Row],[Oth Exp Unexp]],Input[[#This Row],[Oth Exp R of Ind]],Input[[#This Row],[Oth Exp Inv in P]])</f>
        <v>37356240</v>
      </c>
      <c r="UT67" s="336">
        <v>885494923</v>
      </c>
      <c r="UU67" s="336">
        <v>655402461</v>
      </c>
      <c r="UV67" s="339" t="s">
        <v>1532</v>
      </c>
      <c r="UW67" s="340">
        <v>7137458630</v>
      </c>
      <c r="UX67" s="339" t="s">
        <v>1533</v>
      </c>
      <c r="UY67" s="339" t="s">
        <v>1534</v>
      </c>
      <c r="UZ67" s="340">
        <v>7137453596</v>
      </c>
      <c r="VA67" s="339" t="s">
        <v>1535</v>
      </c>
      <c r="VB67" s="341" cm="1">
        <f t="array" ref="VB67">IFERROR(_xlfn.IFS(Input[[#This Row],[Type]]="HRI",VLOOKUP(Input[[#This Row],[Institution Name]],FTSEHRI[],9,FALSE),Input[[#This Row],[Type]]="UNIV",VLOOKUP(Input[[#This Row],[Institution Name]],FTSEUNIV[],9,FALSE),OR(Input[[#This Row],[Type]]="TSTC",Input[[#This Row],[Type]]="LSC"),VLOOKUP(Input[[#This Row],[Institution Name]],FTSETSTC[],8,FALSE)),"N/A")</f>
        <v>382.82</v>
      </c>
      <c r="VC67" s="342" t="str" cm="1">
        <f t="array" ref="VC67">IFERROR(_xlfn.IFS(Input[[#This Row],[Type]]="HRI",VLOOKUP(Input[[#This Row],[Institution Name]],FTSEHRI[],11,FALSE),Input[[#This Row],[Type]]="UNIV",VLOOKUP(Input[[#This Row],[Institution Name]],FTSEUNIV[],11,FALSE),Input[[#This Row],[Type]]="TSTC",VLOOKUP(Input[[#This Row],[Institution Name]],FTSETSTC[],10,FALSE)),"N/A")</f>
        <v>N/A</v>
      </c>
      <c r="VD67"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277906002</v>
      </c>
      <c r="VE67"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67" s="338">
        <f>SUM(Input[[#This Row],[Fed G&amp;C E&amp;G]],Input[[#This Row],[Fed G&amp;C Desg]],Input[[#This Row],[Fed G&amp;C R Exp]],Input[[#This Row],[Fed G&amp;C Loan]],Input[[#This Row],[Fed G&amp;C Annuity]],Input[[#This Row],[Fed G&amp;C Unexp]],Input[[#This Row],[Fed G&amp;C R of Ind]],Input[[#This Row],[Fed G&amp;C Inv in P]])</f>
        <v>321171400</v>
      </c>
      <c r="VG67"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1194654634</v>
      </c>
      <c r="VH67"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1509426</v>
      </c>
      <c r="VI67"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347194</v>
      </c>
      <c r="VJ67" s="338">
        <f>SUM(Input[[#This Row],[Oth Inc E&amp;G]],Input[[#This Row],[Oth Exp Desg]],Input[[#This Row],[Oth Exp R Exp]],Input[[#This Row],[Oth Exp Loan]],Input[[#This Row],[Oth Exp Annuity]],Input[[#This Row],[Oth Exp Unexp]],Input[[#This Row],[Oth Exp R of Ind]],Input[[#This Row],[Oth Exp Inv in P]])</f>
        <v>41518598</v>
      </c>
      <c r="VK67" s="343">
        <f>SUM(Input[[#This Row],[Instr E&amp;G]],Input[[#This Row],[Instr Desg]],Input[[#This Row],[Instr R Exp]],Input[[#This Row],[Instr Loan]],Input[[#This Row],[Instr Annuity]],Input[[#This Row],[Instr Unexp]],Input[[#This Row],[Instr R of Ind]],Input[[#This Row],[Instr Inv in P]])</f>
        <v>93534180</v>
      </c>
      <c r="VL67" s="343">
        <f>SUM(Input[[#This Row],[Res E&amp;G]],Input[[#This Row],[Res Desg]],Input[[#This Row],[Res R Exp]],Input[[#This Row],[Res Loan]],Input[[#This Row],[Res Annuity]],Input[[#This Row],[Res Unexp]],Input[[#This Row],[Res R of Ind]],Input[[#This Row],[Res Inv in P]])</f>
        <v>1096320375</v>
      </c>
      <c r="VM67" s="343">
        <f>SUM(Input[[#This Row],[Acad Sup E&amp;G]],Input[[#This Row],[Acad Sup Desg]],Input[[#This Row],[Acad Sup R Exp]],Input[[#This Row],[Acad Sup Loan]],Input[[#This Row],[Acad Sup Annuity]],Input[[#This Row],[Acad Sup Unexp]],Input[[#This Row],[Acad Sup R of Ind]],Input[[#This Row],[Acad Sup Inv in P]])</f>
        <v>187131587</v>
      </c>
      <c r="VN67" s="343">
        <f>SUM(Input[[#This Row],[Stu Svc E&amp;G]],Input[[#This Row],[Stu Svc Desg]],Input[[#This Row],[Stu Svc R Exp]],Input[[#This Row],[Stu Svc Loan]],Input[[#This Row],[Stu Svc Annuity]],Input[[#This Row],[Stu Svc Unexp]],Input[[#This Row],[Stu Svc R of Ind]],Input[[#This Row],[Stu Svc Inv in P]])</f>
        <v>3029068</v>
      </c>
      <c r="VO67" s="343">
        <f>SUM(Input[[#This Row],[Inst. Spt E&amp;G]],Input[[#This Row],[Inst. Spt Desg]],Input[[#This Row],[Inst. Spt R Exp]],Input[[#This Row],[Inst. Spt Loan]],Input[[#This Row],[Inst. Spt Annuity]],Input[[#This Row],[Inst. Spt Unexp]],Input[[#This Row],[Inst. Spt R of Ind]],Input[[#This Row],[Inst. Spt Inv in P]])</f>
        <v>186833500</v>
      </c>
      <c r="VP67" s="343">
        <f>SUM(Input[[#This Row],[M&amp;O Plnt E&amp;G]],Input[[#This Row],[M&amp;O Plnt Desg]],Input[[#This Row],[M&amp;O Plnt R Exp]],Input[[#This Row],[M&amp;O Plnt Loan]],Input[[#This Row],[M&amp;O Plnt Annuity]],Input[[#This Row],[M&amp;O Plnt Unexp]],Input[[#This Row],[M&amp;O Plnt R of Ind]],Input[[#This Row],[M&amp;O Plnt Inv in P]])</f>
        <v>291301365</v>
      </c>
      <c r="VQ67" s="343">
        <f>SUM(Input[[#This Row],[Schl &amp; Fell E&amp;G]],Input[[#This Row],[Schl &amp; Fell Desg]],Input[[#This Row],[Schl &amp; Fell R Exp]],Input[[#This Row],[Schl &amp; Fell Loan]],Input[[#This Row],[Schl &amp; Fell Annuity]],Input[[#This Row],[Schl &amp; Fell Unexp]],Input[[#This Row],[Schl &amp; Fell R of Ind]],Input[[#This Row],[Schl &amp; Fell Inv in P]])</f>
        <v>2980266</v>
      </c>
      <c r="VR67" s="343">
        <f>SUM(Input[[#This Row],[Cap Out fund E&amp;G]],Input[[#This Row],[Cap Out fund Desg]],Input[[#This Row],[Cap Out fund R Exp]],Input[[#This Row],[Cap Out fund Loan]],Input[[#This Row],[Cap Out fund Annuity]],Input[[#This Row],[Cap Out fund Unexp]],Input[[#This Row],[Cap Out fund R of Ind]],Input[[#This Row],[Cap Out fund Inv in P]])</f>
        <v>101840451</v>
      </c>
      <c r="VS67" s="343">
        <f>SUM(Input[[#This Row],[Oth Exp E&amp;G]],Input[[#This Row],[Oth Exp Desg]],Input[[#This Row],[Oth Exp R Exp]],Input[[#This Row],[Oth Exp Loan]],Input[[#This Row],[Oth Exp Annuity]],Input[[#This Row],[Oth Exp Unexp]],Input[[#This Row],[Oth Exp R of Ind]],Input[[#This Row],[Oth Exp Inv in P]],Input[[#This Row],[Oth Exp Inv in P]])</f>
        <v>37356240</v>
      </c>
    </row>
    <row r="68" spans="1:591" s="344" customFormat="1" ht="27" customHeight="1" x14ac:dyDescent="0.55000000000000004">
      <c r="A68" s="339" t="s">
        <v>40</v>
      </c>
      <c r="B68" s="334" t="s">
        <v>829</v>
      </c>
      <c r="C68" s="334" t="s">
        <v>14</v>
      </c>
      <c r="D68" s="334">
        <v>400</v>
      </c>
      <c r="E68" s="334" t="s">
        <v>1623</v>
      </c>
      <c r="F68" s="335">
        <v>104952</v>
      </c>
      <c r="G68" s="336">
        <v>410657738</v>
      </c>
      <c r="H68" s="336">
        <v>0</v>
      </c>
      <c r="I68" s="336">
        <v>0</v>
      </c>
      <c r="J68" s="336">
        <v>0</v>
      </c>
      <c r="K68" s="336">
        <v>0</v>
      </c>
      <c r="L68" s="336">
        <v>0</v>
      </c>
      <c r="M68" s="336">
        <v>0</v>
      </c>
      <c r="N68" s="336">
        <v>0</v>
      </c>
      <c r="O68" s="336">
        <v>0</v>
      </c>
      <c r="P68" s="336">
        <v>0</v>
      </c>
      <c r="Q68" s="336">
        <v>0</v>
      </c>
      <c r="R68" s="336">
        <v>0</v>
      </c>
      <c r="S68" s="336">
        <v>15316403</v>
      </c>
      <c r="T68" s="336">
        <v>0</v>
      </c>
      <c r="U68" s="336">
        <v>0</v>
      </c>
      <c r="V68" s="336">
        <v>0</v>
      </c>
      <c r="W68" s="336">
        <v>0</v>
      </c>
      <c r="X68" s="336">
        <v>0</v>
      </c>
      <c r="Y68" s="336">
        <v>0</v>
      </c>
      <c r="Z68" s="336">
        <v>0</v>
      </c>
      <c r="AA68" s="336">
        <v>0</v>
      </c>
      <c r="AB68" s="336">
        <v>0</v>
      </c>
      <c r="AC68" s="336">
        <v>0</v>
      </c>
      <c r="AD68" s="336">
        <v>0</v>
      </c>
      <c r="AE68" s="336">
        <v>0</v>
      </c>
      <c r="AF68" s="336">
        <v>0</v>
      </c>
      <c r="AG68" s="336">
        <v>0</v>
      </c>
      <c r="AH68" s="336">
        <v>0</v>
      </c>
      <c r="AI68" s="336">
        <v>0</v>
      </c>
      <c r="AJ68" s="336">
        <v>0</v>
      </c>
      <c r="AK68" s="336">
        <v>0</v>
      </c>
      <c r="AL68" s="336">
        <v>0</v>
      </c>
      <c r="AM68" s="336">
        <v>0</v>
      </c>
      <c r="AN68" s="336">
        <v>0</v>
      </c>
      <c r="AO68" s="336">
        <v>0</v>
      </c>
      <c r="AP68" s="336">
        <v>0</v>
      </c>
      <c r="AQ68" s="336">
        <v>-1378056</v>
      </c>
      <c r="AR68" s="336">
        <v>-4789</v>
      </c>
      <c r="AS68" s="336">
        <v>0</v>
      </c>
      <c r="AT68" s="336">
        <v>0</v>
      </c>
      <c r="AU68" s="336">
        <v>0</v>
      </c>
      <c r="AV68" s="336">
        <v>0</v>
      </c>
      <c r="AW68" s="336">
        <v>0</v>
      </c>
      <c r="AX68" s="336">
        <v>0</v>
      </c>
      <c r="AY68" s="336">
        <v>0</v>
      </c>
      <c r="AZ68" s="336">
        <v>0</v>
      </c>
      <c r="BA68" s="336">
        <v>0</v>
      </c>
      <c r="BB68" s="336">
        <v>0</v>
      </c>
      <c r="BC68" s="336">
        <v>0</v>
      </c>
      <c r="BD68" s="336">
        <v>0</v>
      </c>
      <c r="BE68" s="336">
        <v>0</v>
      </c>
      <c r="BF68" s="336">
        <v>0</v>
      </c>
      <c r="BG68" s="336">
        <v>0</v>
      </c>
      <c r="BH68" s="336">
        <v>0</v>
      </c>
      <c r="BI68" s="336">
        <v>0</v>
      </c>
      <c r="BJ68" s="336">
        <v>0</v>
      </c>
      <c r="BK68" s="336">
        <v>0</v>
      </c>
      <c r="BL68" s="336">
        <v>0</v>
      </c>
      <c r="BM68" s="336">
        <v>0</v>
      </c>
      <c r="BN68" s="336">
        <v>0</v>
      </c>
      <c r="BO68" s="336">
        <v>0</v>
      </c>
      <c r="BP68" s="336">
        <v>0</v>
      </c>
      <c r="BQ68" s="336">
        <v>0</v>
      </c>
      <c r="BR68" s="336">
        <v>0</v>
      </c>
      <c r="BS68" s="336">
        <v>0</v>
      </c>
      <c r="BT68" s="336">
        <v>0</v>
      </c>
      <c r="BU68" s="336">
        <v>0</v>
      </c>
      <c r="BV68" s="336">
        <v>0</v>
      </c>
      <c r="BW68" s="336">
        <v>0</v>
      </c>
      <c r="BX68" s="336">
        <v>0</v>
      </c>
      <c r="BY68" s="336">
        <v>0</v>
      </c>
      <c r="BZ68" s="336">
        <v>0</v>
      </c>
      <c r="CA68" s="336">
        <v>13406389</v>
      </c>
      <c r="CB68" s="336">
        <v>26664782</v>
      </c>
      <c r="CC68" s="336">
        <v>0</v>
      </c>
      <c r="CD68" s="336">
        <v>0</v>
      </c>
      <c r="CE68" s="336">
        <v>0</v>
      </c>
      <c r="CF68" s="336">
        <v>0</v>
      </c>
      <c r="CG68" s="336">
        <v>0</v>
      </c>
      <c r="CH68" s="336">
        <v>0</v>
      </c>
      <c r="CI68" s="336">
        <v>0</v>
      </c>
      <c r="CJ68" s="336">
        <v>0</v>
      </c>
      <c r="CK68" s="336">
        <v>0</v>
      </c>
      <c r="CL68" s="336">
        <v>0</v>
      </c>
      <c r="CM68" s="336">
        <v>0</v>
      </c>
      <c r="CN68" s="336">
        <v>0</v>
      </c>
      <c r="CO68" s="336">
        <v>0</v>
      </c>
      <c r="CP68" s="336">
        <v>0</v>
      </c>
      <c r="CQ68" s="336">
        <v>0</v>
      </c>
      <c r="CR68" s="336">
        <v>0</v>
      </c>
      <c r="CS68" s="336">
        <v>0</v>
      </c>
      <c r="CT68" s="336">
        <v>0</v>
      </c>
      <c r="CU68" s="336">
        <v>0</v>
      </c>
      <c r="CV68" s="336">
        <v>0</v>
      </c>
      <c r="CW68" s="336">
        <v>0</v>
      </c>
      <c r="CX68" s="336">
        <v>0</v>
      </c>
      <c r="CY68" s="336">
        <v>0</v>
      </c>
      <c r="CZ68" s="336">
        <v>0</v>
      </c>
      <c r="DA68" s="336">
        <v>0</v>
      </c>
      <c r="DB68" s="336">
        <v>-255983</v>
      </c>
      <c r="DC68" s="336">
        <v>-672272</v>
      </c>
      <c r="DD68" s="336">
        <v>0</v>
      </c>
      <c r="DE68" s="336">
        <v>0</v>
      </c>
      <c r="DF68" s="336">
        <v>0</v>
      </c>
      <c r="DG68" s="336">
        <v>0</v>
      </c>
      <c r="DH68" s="336">
        <v>0</v>
      </c>
      <c r="DI68" s="336">
        <v>0</v>
      </c>
      <c r="DJ68" s="336">
        <v>0</v>
      </c>
      <c r="DK68" s="336">
        <v>0</v>
      </c>
      <c r="DL68" s="336">
        <v>0</v>
      </c>
      <c r="DM68" s="336">
        <v>0</v>
      </c>
      <c r="DN68" s="336">
        <v>0</v>
      </c>
      <c r="DO68" s="336">
        <v>0</v>
      </c>
      <c r="DP68" s="336">
        <v>0</v>
      </c>
      <c r="DQ68" s="336">
        <v>0</v>
      </c>
      <c r="DR68" s="336">
        <v>0</v>
      </c>
      <c r="DS68" s="336">
        <v>0</v>
      </c>
      <c r="DT68" s="336">
        <v>-2021553</v>
      </c>
      <c r="DU68" s="336">
        <v>-1774685</v>
      </c>
      <c r="DV68" s="336">
        <v>0</v>
      </c>
      <c r="DW68" s="336">
        <v>0</v>
      </c>
      <c r="DX68" s="336">
        <v>0</v>
      </c>
      <c r="DY68" s="336">
        <v>0</v>
      </c>
      <c r="DZ68" s="336">
        <v>0</v>
      </c>
      <c r="EA68" s="336">
        <v>0</v>
      </c>
      <c r="EB68" s="336">
        <v>0</v>
      </c>
      <c r="EC68" s="336">
        <v>0</v>
      </c>
      <c r="ED68" s="336">
        <v>0</v>
      </c>
      <c r="EE68" s="336">
        <v>0</v>
      </c>
      <c r="EF68" s="336">
        <v>0</v>
      </c>
      <c r="EG68" s="336">
        <v>0</v>
      </c>
      <c r="EH68" s="336">
        <v>0</v>
      </c>
      <c r="EI68" s="336">
        <v>0</v>
      </c>
      <c r="EJ68" s="336">
        <v>0</v>
      </c>
      <c r="EK68" s="336">
        <v>0</v>
      </c>
      <c r="EL68" s="336">
        <v>0</v>
      </c>
      <c r="EM68" s="336">
        <v>0</v>
      </c>
      <c r="EN68" s="336">
        <v>0</v>
      </c>
      <c r="EO68" s="336">
        <v>0</v>
      </c>
      <c r="EP68" s="336">
        <v>0</v>
      </c>
      <c r="EQ68" s="336">
        <v>0</v>
      </c>
      <c r="ER68" s="336">
        <v>0</v>
      </c>
      <c r="ES68" s="336">
        <v>0</v>
      </c>
      <c r="ET68" s="336">
        <v>0</v>
      </c>
      <c r="EU68" s="336">
        <v>0</v>
      </c>
      <c r="EV68" s="336">
        <v>0</v>
      </c>
      <c r="EW68" s="336">
        <v>0</v>
      </c>
      <c r="EX68" s="336">
        <v>0</v>
      </c>
      <c r="EY68" s="336">
        <v>0</v>
      </c>
      <c r="EZ68" s="336">
        <v>0</v>
      </c>
      <c r="FA68" s="336">
        <v>0</v>
      </c>
      <c r="FB68" s="336">
        <v>0</v>
      </c>
      <c r="FC68" s="336">
        <v>0</v>
      </c>
      <c r="FD68" s="336">
        <v>0</v>
      </c>
      <c r="FE68" s="336">
        <v>0</v>
      </c>
      <c r="FF68" s="336">
        <v>0</v>
      </c>
      <c r="FG68" s="336">
        <v>0</v>
      </c>
      <c r="FH68" s="336">
        <v>0</v>
      </c>
      <c r="FI68" s="336">
        <v>0</v>
      </c>
      <c r="FJ68" s="336">
        <v>0</v>
      </c>
      <c r="FK68" s="336">
        <v>0</v>
      </c>
      <c r="FL68" s="336">
        <v>0</v>
      </c>
      <c r="FM68" s="336">
        <v>3465178</v>
      </c>
      <c r="FN68" s="336">
        <v>10629057</v>
      </c>
      <c r="FO68" s="336">
        <v>841454</v>
      </c>
      <c r="FP68" s="336">
        <v>0</v>
      </c>
      <c r="FQ68" s="336">
        <v>0</v>
      </c>
      <c r="FR68" s="336">
        <v>0</v>
      </c>
      <c r="FS68" s="336">
        <v>0</v>
      </c>
      <c r="FT68" s="336">
        <v>0</v>
      </c>
      <c r="FU68" s="336">
        <v>0</v>
      </c>
      <c r="FV68" s="336">
        <v>0</v>
      </c>
      <c r="FW68" s="336">
        <v>0</v>
      </c>
      <c r="FX68" s="336">
        <v>0</v>
      </c>
      <c r="FY68" s="336">
        <v>0</v>
      </c>
      <c r="FZ68" s="336">
        <v>0</v>
      </c>
      <c r="GA68" s="336">
        <v>0</v>
      </c>
      <c r="GB68" s="336">
        <v>0</v>
      </c>
      <c r="GC68" s="336">
        <v>0</v>
      </c>
      <c r="GD68" s="336">
        <v>0</v>
      </c>
      <c r="GE68" s="336">
        <v>0</v>
      </c>
      <c r="GF68" s="336">
        <v>0</v>
      </c>
      <c r="GG68" s="336">
        <v>0</v>
      </c>
      <c r="GH68" s="336">
        <v>0</v>
      </c>
      <c r="GI68" s="336">
        <v>0</v>
      </c>
      <c r="GJ68" s="336">
        <v>0</v>
      </c>
      <c r="GK68" s="336">
        <v>0</v>
      </c>
      <c r="GL68" s="336">
        <v>0</v>
      </c>
      <c r="GM68" s="336">
        <v>0</v>
      </c>
      <c r="GN68" s="336">
        <v>0</v>
      </c>
      <c r="GO68" s="336">
        <v>0</v>
      </c>
      <c r="GP68" s="336">
        <v>0</v>
      </c>
      <c r="GQ68" s="336">
        <v>0</v>
      </c>
      <c r="GR68" s="336">
        <v>0</v>
      </c>
      <c r="GS68" s="336">
        <v>0</v>
      </c>
      <c r="GT68" s="336">
        <v>0</v>
      </c>
      <c r="GU68" s="336">
        <v>0</v>
      </c>
      <c r="GV68" s="336">
        <v>0</v>
      </c>
      <c r="GW68" s="336">
        <v>0</v>
      </c>
      <c r="GX68" s="336">
        <v>0</v>
      </c>
      <c r="GY68" s="336">
        <v>0</v>
      </c>
      <c r="GZ68" s="336">
        <v>0</v>
      </c>
      <c r="HA68" s="336">
        <v>0</v>
      </c>
      <c r="HB68" s="336">
        <v>0</v>
      </c>
      <c r="HC68" s="336">
        <v>0</v>
      </c>
      <c r="HD68" s="336">
        <v>0</v>
      </c>
      <c r="HE68" s="336">
        <v>0</v>
      </c>
      <c r="HF68" s="336">
        <v>-433420</v>
      </c>
      <c r="HG68" s="336">
        <v>-707421</v>
      </c>
      <c r="HH68" s="336">
        <v>-13555</v>
      </c>
      <c r="HI68" s="336">
        <v>0</v>
      </c>
      <c r="HJ68" s="336">
        <v>0</v>
      </c>
      <c r="HK68" s="336">
        <v>0</v>
      </c>
      <c r="HL68" s="336">
        <v>0</v>
      </c>
      <c r="HM68" s="336">
        <v>0</v>
      </c>
      <c r="HN68" s="336">
        <v>0</v>
      </c>
      <c r="HO68" s="336">
        <v>13140474</v>
      </c>
      <c r="HP68" s="336">
        <v>48541750</v>
      </c>
      <c r="HQ68" s="336">
        <v>0</v>
      </c>
      <c r="HR68" s="336">
        <v>146588322</v>
      </c>
      <c r="HS68" s="336">
        <v>0</v>
      </c>
      <c r="HT68" s="336">
        <v>0</v>
      </c>
      <c r="HU68" s="336">
        <v>966323</v>
      </c>
      <c r="HV68" s="336">
        <v>0</v>
      </c>
      <c r="HW68" s="336">
        <v>0</v>
      </c>
      <c r="HX68" s="336">
        <v>0</v>
      </c>
      <c r="HY68" s="336">
        <v>284744416</v>
      </c>
      <c r="HZ68" s="336">
        <v>0</v>
      </c>
      <c r="IA68" s="336">
        <v>0</v>
      </c>
      <c r="IB68" s="336">
        <v>0</v>
      </c>
      <c r="IC68" s="336">
        <v>0</v>
      </c>
      <c r="ID68" s="336">
        <v>0</v>
      </c>
      <c r="IE68" s="336">
        <v>0</v>
      </c>
      <c r="IF68" s="336">
        <v>0</v>
      </c>
      <c r="IG68" s="336">
        <v>893912842</v>
      </c>
      <c r="IH68" s="336">
        <v>1044006499</v>
      </c>
      <c r="II68" s="336">
        <v>0</v>
      </c>
      <c r="IJ68" s="336">
        <v>0</v>
      </c>
      <c r="IK68" s="336">
        <v>0</v>
      </c>
      <c r="IL68" s="336">
        <v>0</v>
      </c>
      <c r="IM68" s="336">
        <v>0</v>
      </c>
      <c r="IN68" s="336">
        <v>0</v>
      </c>
      <c r="IO68" s="336">
        <v>0</v>
      </c>
      <c r="IP68" s="336">
        <v>8200827</v>
      </c>
      <c r="IQ68" s="336">
        <v>44089509</v>
      </c>
      <c r="IR68" s="336">
        <v>0</v>
      </c>
      <c r="IS68" s="336">
        <v>24873178</v>
      </c>
      <c r="IT68" s="336">
        <v>203070</v>
      </c>
      <c r="IU68" s="336">
        <v>6378585</v>
      </c>
      <c r="IV68" s="336">
        <v>0</v>
      </c>
      <c r="IW68" s="336">
        <v>0</v>
      </c>
      <c r="IX68" s="336">
        <v>0</v>
      </c>
      <c r="IY68" s="336">
        <v>15000</v>
      </c>
      <c r="IZ68" s="336">
        <v>161250</v>
      </c>
      <c r="JA68" s="336">
        <v>0</v>
      </c>
      <c r="JB68" s="336">
        <v>459834</v>
      </c>
      <c r="JC68" s="336">
        <v>0</v>
      </c>
      <c r="JD68" s="336">
        <v>0</v>
      </c>
      <c r="JE68" s="336">
        <v>0</v>
      </c>
      <c r="JF68" s="336">
        <v>0</v>
      </c>
      <c r="JG68" s="336">
        <v>0</v>
      </c>
      <c r="JH68" s="336">
        <v>2215301</v>
      </c>
      <c r="JI68" s="336">
        <v>58447246</v>
      </c>
      <c r="JJ68" s="336">
        <v>367510</v>
      </c>
      <c r="JK68" s="336">
        <v>26411842</v>
      </c>
      <c r="JL68" s="336">
        <v>0</v>
      </c>
      <c r="JM68" s="336">
        <v>0</v>
      </c>
      <c r="JN68" s="336">
        <v>22082440</v>
      </c>
      <c r="JO68" s="336">
        <v>0</v>
      </c>
      <c r="JP68" s="336">
        <v>0</v>
      </c>
      <c r="JQ68" s="336">
        <v>0</v>
      </c>
      <c r="JR68" s="336">
        <v>2415469</v>
      </c>
      <c r="JS68" s="336">
        <v>0</v>
      </c>
      <c r="JT68" s="336">
        <v>11662828</v>
      </c>
      <c r="JU68" s="336">
        <v>0</v>
      </c>
      <c r="JV68" s="336">
        <v>0</v>
      </c>
      <c r="JW68" s="336">
        <v>0</v>
      </c>
      <c r="JX68" s="336">
        <v>0</v>
      </c>
      <c r="JY68" s="336">
        <v>0</v>
      </c>
      <c r="JZ68" s="336">
        <v>0</v>
      </c>
      <c r="KA68" s="336">
        <v>0</v>
      </c>
      <c r="KB68" s="336">
        <v>14977429</v>
      </c>
      <c r="KC68" s="336">
        <v>0</v>
      </c>
      <c r="KD68" s="336">
        <v>0</v>
      </c>
      <c r="KE68" s="336">
        <v>0</v>
      </c>
      <c r="KF68" s="336">
        <v>0</v>
      </c>
      <c r="KG68" s="336">
        <v>0</v>
      </c>
      <c r="KH68" s="336">
        <v>0</v>
      </c>
      <c r="KI68" s="336">
        <v>3741123</v>
      </c>
      <c r="KJ68" s="336">
        <v>155132518</v>
      </c>
      <c r="KK68" s="336">
        <v>0</v>
      </c>
      <c r="KL68" s="336">
        <v>775563</v>
      </c>
      <c r="KM68" s="336">
        <v>134058</v>
      </c>
      <c r="KN68" s="336">
        <v>0</v>
      </c>
      <c r="KO68" s="336">
        <v>1238419</v>
      </c>
      <c r="KP68" s="336">
        <v>0</v>
      </c>
      <c r="KQ68" s="336">
        <v>-233347</v>
      </c>
      <c r="KR68" s="336">
        <v>92115886</v>
      </c>
      <c r="KS68" s="336">
        <v>400266040</v>
      </c>
      <c r="KT68" s="336">
        <v>0</v>
      </c>
      <c r="KU68" s="336">
        <v>21172674</v>
      </c>
      <c r="KV68" s="336">
        <v>0</v>
      </c>
      <c r="KW68" s="336">
        <v>0</v>
      </c>
      <c r="KX68" s="336">
        <v>0</v>
      </c>
      <c r="KY68" s="336">
        <v>0</v>
      </c>
      <c r="KZ68" s="336">
        <v>0</v>
      </c>
      <c r="LA68" s="336">
        <v>920803</v>
      </c>
      <c r="LB68" s="336">
        <v>25224936</v>
      </c>
      <c r="LC68" s="336">
        <v>0</v>
      </c>
      <c r="LD68" s="336">
        <v>135403777</v>
      </c>
      <c r="LE68" s="336">
        <v>0</v>
      </c>
      <c r="LF68" s="336">
        <v>0</v>
      </c>
      <c r="LG68" s="336">
        <v>0</v>
      </c>
      <c r="LH68" s="336">
        <v>0</v>
      </c>
      <c r="LI68" s="336">
        <v>0</v>
      </c>
      <c r="LJ68" s="336">
        <v>5191648</v>
      </c>
      <c r="LK68" s="336">
        <v>2242424</v>
      </c>
      <c r="LL68" s="336">
        <v>0</v>
      </c>
      <c r="LM68" s="336">
        <v>24083210</v>
      </c>
      <c r="LN68" s="336">
        <v>0</v>
      </c>
      <c r="LO68" s="336">
        <v>0</v>
      </c>
      <c r="LP68" s="336">
        <v>0</v>
      </c>
      <c r="LQ68" s="336">
        <v>0</v>
      </c>
      <c r="LR68" s="336">
        <v>0</v>
      </c>
      <c r="LS68" s="336">
        <v>902373000</v>
      </c>
      <c r="LT68" s="336">
        <v>1113207665</v>
      </c>
      <c r="LU68" s="336">
        <v>0</v>
      </c>
      <c r="LV68" s="336">
        <v>21555371</v>
      </c>
      <c r="LW68" s="336">
        <v>0</v>
      </c>
      <c r="LX68" s="336">
        <v>0</v>
      </c>
      <c r="LY68" s="336">
        <v>0</v>
      </c>
      <c r="LZ68" s="336">
        <v>0</v>
      </c>
      <c r="MA68" s="336">
        <v>0</v>
      </c>
      <c r="MB68" s="336">
        <v>32410129</v>
      </c>
      <c r="MC68" s="336">
        <v>26113640</v>
      </c>
      <c r="MD68" s="336">
        <v>0</v>
      </c>
      <c r="ME68" s="336">
        <v>2895158</v>
      </c>
      <c r="MF68" s="336">
        <v>0</v>
      </c>
      <c r="MG68" s="336">
        <v>0</v>
      </c>
      <c r="MH68" s="336">
        <v>0</v>
      </c>
      <c r="MI68" s="336">
        <v>0</v>
      </c>
      <c r="MJ68" s="336">
        <v>0</v>
      </c>
      <c r="MK68" s="336">
        <v>6032052</v>
      </c>
      <c r="ML68" s="336">
        <v>2433706</v>
      </c>
      <c r="MM68" s="336">
        <v>0</v>
      </c>
      <c r="MN68" s="336">
        <v>483920</v>
      </c>
      <c r="MO68" s="336">
        <v>0</v>
      </c>
      <c r="MP68" s="336">
        <v>0</v>
      </c>
      <c r="MQ68" s="336">
        <v>0</v>
      </c>
      <c r="MR68" s="336">
        <v>0</v>
      </c>
      <c r="MS68" s="336">
        <v>0</v>
      </c>
      <c r="MT68" s="336">
        <v>90303695</v>
      </c>
      <c r="MU68" s="336">
        <v>1582239</v>
      </c>
      <c r="MV68" s="336">
        <v>0</v>
      </c>
      <c r="MW68" s="336">
        <v>975552</v>
      </c>
      <c r="MX68" s="336">
        <v>0</v>
      </c>
      <c r="MY68" s="336">
        <v>0</v>
      </c>
      <c r="MZ68" s="336">
        <v>0</v>
      </c>
      <c r="NA68" s="336">
        <v>0</v>
      </c>
      <c r="NB68" s="336">
        <v>0</v>
      </c>
      <c r="NC68" s="336">
        <v>44295216</v>
      </c>
      <c r="ND68" s="336">
        <v>11336987</v>
      </c>
      <c r="NE68" s="336">
        <v>0</v>
      </c>
      <c r="NF68" s="336">
        <v>4214990</v>
      </c>
      <c r="NG68" s="336">
        <v>0</v>
      </c>
      <c r="NH68" s="336">
        <v>0</v>
      </c>
      <c r="NI68" s="336">
        <v>9854916</v>
      </c>
      <c r="NJ68" s="336">
        <v>0</v>
      </c>
      <c r="NK68" s="336">
        <v>0</v>
      </c>
      <c r="NL68" s="336">
        <v>0</v>
      </c>
      <c r="NM68" s="336">
        <v>3190206</v>
      </c>
      <c r="NN68" s="336">
        <v>0</v>
      </c>
      <c r="NO68" s="336">
        <v>7207261</v>
      </c>
      <c r="NP68" s="336">
        <v>0</v>
      </c>
      <c r="NQ68" s="336">
        <v>0</v>
      </c>
      <c r="NR68" s="336">
        <v>0</v>
      </c>
      <c r="NS68" s="336">
        <v>0</v>
      </c>
      <c r="NT68" s="336">
        <v>0</v>
      </c>
      <c r="NU68" s="336">
        <v>0</v>
      </c>
      <c r="NV68" s="336">
        <v>0</v>
      </c>
      <c r="NW68" s="336">
        <v>10304863</v>
      </c>
      <c r="NX68" s="336">
        <v>165199</v>
      </c>
      <c r="NY68" s="336">
        <v>0</v>
      </c>
      <c r="NZ68" s="336">
        <v>0</v>
      </c>
      <c r="OA68" s="336">
        <v>0</v>
      </c>
      <c r="OB68" s="336">
        <v>0</v>
      </c>
      <c r="OC68" s="336">
        <v>0</v>
      </c>
      <c r="OD68" s="336">
        <v>237819</v>
      </c>
      <c r="OE68" s="336">
        <v>24275650</v>
      </c>
      <c r="OF68" s="336">
        <v>5817</v>
      </c>
      <c r="OG68" s="336">
        <v>9058422</v>
      </c>
      <c r="OH68" s="336">
        <v>0</v>
      </c>
      <c r="OI68" s="336">
        <v>0</v>
      </c>
      <c r="OJ68" s="336">
        <v>0</v>
      </c>
      <c r="OK68" s="336">
        <v>0</v>
      </c>
      <c r="OL68" s="336">
        <v>0</v>
      </c>
      <c r="OM68" s="336">
        <v>1949376</v>
      </c>
      <c r="ON68" s="336">
        <v>1727494</v>
      </c>
      <c r="OO68" s="336">
        <v>0</v>
      </c>
      <c r="OP68" s="336">
        <v>925</v>
      </c>
      <c r="OQ68" s="336">
        <v>89706</v>
      </c>
      <c r="OR68" s="336">
        <v>0</v>
      </c>
      <c r="OS68" s="336">
        <v>32637</v>
      </c>
      <c r="OT68" s="336">
        <v>0</v>
      </c>
      <c r="OU68" s="336">
        <v>0</v>
      </c>
      <c r="OV68" s="336">
        <v>0</v>
      </c>
      <c r="OW68" s="336">
        <v>0</v>
      </c>
      <c r="OX68" s="336">
        <v>0</v>
      </c>
      <c r="OY68" s="336">
        <v>0</v>
      </c>
      <c r="OZ68" s="336">
        <v>0</v>
      </c>
      <c r="PA68" s="336">
        <v>0</v>
      </c>
      <c r="PB68" s="336">
        <v>-217480446</v>
      </c>
      <c r="PC68" s="336">
        <v>0</v>
      </c>
      <c r="PD68" s="336">
        <v>0</v>
      </c>
      <c r="PE68" s="336">
        <v>-213400824</v>
      </c>
      <c r="PF68" s="336">
        <v>90668499</v>
      </c>
      <c r="PG68" s="336">
        <v>0</v>
      </c>
      <c r="PH68" s="336">
        <v>-6185527</v>
      </c>
      <c r="PI68" s="336">
        <v>70187</v>
      </c>
      <c r="PJ68" s="336">
        <v>3635541</v>
      </c>
      <c r="PK68" s="336">
        <v>-150910480</v>
      </c>
      <c r="PL68" s="336">
        <v>0</v>
      </c>
      <c r="PM68" s="336">
        <v>291341386</v>
      </c>
      <c r="PN68" s="336">
        <v>0</v>
      </c>
      <c r="PO68" s="336">
        <v>0</v>
      </c>
      <c r="PP68" s="336">
        <v>0</v>
      </c>
      <c r="PQ68" s="336">
        <v>0</v>
      </c>
      <c r="PR68" s="336">
        <v>0</v>
      </c>
      <c r="PS68" s="336">
        <v>0</v>
      </c>
      <c r="PT68" s="336">
        <v>390174035</v>
      </c>
      <c r="PU68" s="336">
        <v>0</v>
      </c>
      <c r="PV68" s="336">
        <v>0</v>
      </c>
      <c r="PW68" s="336">
        <v>-110108559</v>
      </c>
      <c r="PX68" s="336">
        <v>-16471241</v>
      </c>
      <c r="PY68" s="336">
        <v>-2058293</v>
      </c>
      <c r="PZ68" s="336">
        <v>0</v>
      </c>
      <c r="QA68" s="336">
        <v>0</v>
      </c>
      <c r="QB68" s="336">
        <v>0</v>
      </c>
      <c r="QC68" s="336">
        <v>-8993787</v>
      </c>
      <c r="QD68" s="336">
        <v>0</v>
      </c>
      <c r="QE68" s="336">
        <v>0</v>
      </c>
      <c r="QF68" s="336">
        <v>0</v>
      </c>
      <c r="QG68" s="336">
        <v>68766201</v>
      </c>
      <c r="QH68" s="336">
        <v>0</v>
      </c>
      <c r="QI68" s="336">
        <v>0</v>
      </c>
      <c r="QJ68" s="336">
        <v>0</v>
      </c>
      <c r="QK68" s="336">
        <v>38044672</v>
      </c>
      <c r="QL68" s="336">
        <v>0</v>
      </c>
      <c r="QM68" s="336">
        <v>0</v>
      </c>
      <c r="QN68" s="336">
        <v>0</v>
      </c>
      <c r="QO68" s="336">
        <v>0</v>
      </c>
      <c r="QP68" s="336">
        <v>0</v>
      </c>
      <c r="QQ68" s="336">
        <v>0</v>
      </c>
      <c r="QR68" s="336">
        <v>-97774</v>
      </c>
      <c r="QS68" s="336">
        <v>0</v>
      </c>
      <c r="QT68" s="336">
        <v>4646271</v>
      </c>
      <c r="QU68" s="336">
        <v>0</v>
      </c>
      <c r="QV68" s="336">
        <v>0</v>
      </c>
      <c r="QW68" s="336">
        <v>0</v>
      </c>
      <c r="QX68" s="336">
        <v>0</v>
      </c>
      <c r="QY68" s="336">
        <v>0</v>
      </c>
      <c r="QZ68" s="336">
        <v>0</v>
      </c>
      <c r="RA68" s="336">
        <v>0</v>
      </c>
      <c r="RB68" s="336">
        <v>0</v>
      </c>
      <c r="RC68" s="336">
        <v>0</v>
      </c>
      <c r="RD68" s="336">
        <v>0</v>
      </c>
      <c r="RE68" s="336">
        <v>0</v>
      </c>
      <c r="RF68" s="336">
        <v>0</v>
      </c>
      <c r="RG68" s="336">
        <v>0</v>
      </c>
      <c r="RH68" s="336">
        <v>0</v>
      </c>
      <c r="RI68" s="336">
        <v>0</v>
      </c>
      <c r="RJ68" s="336">
        <v>0</v>
      </c>
      <c r="RK68" s="336">
        <v>0</v>
      </c>
      <c r="RL68" s="336">
        <v>0</v>
      </c>
      <c r="RM68" s="336">
        <v>0</v>
      </c>
      <c r="RN68" s="336">
        <v>0</v>
      </c>
      <c r="RO68" s="336">
        <v>-228484560</v>
      </c>
      <c r="RP68" s="336">
        <v>0</v>
      </c>
      <c r="RQ68" s="336">
        <v>0</v>
      </c>
      <c r="RR68" s="336">
        <v>0</v>
      </c>
      <c r="RS68" s="336">
        <v>0</v>
      </c>
      <c r="RT68" s="336">
        <v>0</v>
      </c>
      <c r="RU68" s="336">
        <v>0</v>
      </c>
      <c r="RV68" s="336">
        <v>0</v>
      </c>
      <c r="RW68" s="336">
        <v>0</v>
      </c>
      <c r="RX68" s="336">
        <v>0</v>
      </c>
      <c r="RY68" s="336">
        <v>0</v>
      </c>
      <c r="RZ68" s="336">
        <v>0</v>
      </c>
      <c r="SA68" s="336">
        <v>0</v>
      </c>
      <c r="SB68" s="336">
        <v>0</v>
      </c>
      <c r="SC68" s="336">
        <v>0</v>
      </c>
      <c r="SD68" s="336">
        <v>0</v>
      </c>
      <c r="SE68" s="336">
        <v>0</v>
      </c>
      <c r="SF68" s="336">
        <v>0</v>
      </c>
      <c r="SG68" s="336">
        <v>0</v>
      </c>
      <c r="SH68" s="336">
        <v>0</v>
      </c>
      <c r="SI68" s="336">
        <v>0</v>
      </c>
      <c r="SJ68" s="336">
        <v>0</v>
      </c>
      <c r="SK68" s="336">
        <v>0</v>
      </c>
      <c r="SL68" s="336">
        <v>0</v>
      </c>
      <c r="SM68" s="336">
        <v>0</v>
      </c>
      <c r="SN68" s="336">
        <v>0</v>
      </c>
      <c r="SO68" s="336">
        <v>0</v>
      </c>
      <c r="SP68" s="336">
        <v>0</v>
      </c>
      <c r="SQ68" s="336">
        <v>0</v>
      </c>
      <c r="SR68" s="336">
        <v>0</v>
      </c>
      <c r="SS68" s="336">
        <v>0</v>
      </c>
      <c r="ST68" s="336">
        <v>0</v>
      </c>
      <c r="SU68" s="336">
        <v>0</v>
      </c>
      <c r="SV68" s="336">
        <v>0</v>
      </c>
      <c r="SW68" s="336">
        <v>0</v>
      </c>
      <c r="SX68" s="336">
        <v>0</v>
      </c>
      <c r="SY68" s="336">
        <v>251058154</v>
      </c>
      <c r="SZ68" s="336" t="s">
        <v>1420</v>
      </c>
      <c r="TA68" s="336" t="s">
        <v>1420</v>
      </c>
      <c r="TB68" s="336" t="s">
        <v>1420</v>
      </c>
      <c r="TC68" s="336">
        <v>700689</v>
      </c>
      <c r="TD68" s="336">
        <v>8726359</v>
      </c>
      <c r="TE68" s="336">
        <v>785994</v>
      </c>
      <c r="TF68" s="336">
        <v>19296223</v>
      </c>
      <c r="TG68" s="336">
        <v>1687322</v>
      </c>
      <c r="TH68" s="336">
        <v>0</v>
      </c>
      <c r="TI68" s="336">
        <v>687010</v>
      </c>
      <c r="TJ68" s="336">
        <v>1670286</v>
      </c>
      <c r="TK68" s="336">
        <v>18008</v>
      </c>
      <c r="TL68" s="336">
        <v>5817</v>
      </c>
      <c r="TM68" s="336">
        <v>0</v>
      </c>
      <c r="TN68" s="336">
        <v>126400</v>
      </c>
      <c r="TO68" s="336">
        <v>1391811</v>
      </c>
      <c r="TP68" s="336">
        <v>0</v>
      </c>
      <c r="TQ68" s="336">
        <v>0</v>
      </c>
      <c r="TR68" s="336">
        <v>0</v>
      </c>
      <c r="TS68" s="336">
        <v>0</v>
      </c>
      <c r="TT68" s="336">
        <v>0</v>
      </c>
      <c r="TU68" s="336">
        <v>0</v>
      </c>
      <c r="TV68" s="336">
        <v>0</v>
      </c>
      <c r="TW68" s="336">
        <v>0</v>
      </c>
      <c r="TX68" s="336">
        <v>95929</v>
      </c>
      <c r="TY68" s="336">
        <v>0</v>
      </c>
      <c r="TZ68" s="336">
        <v>0</v>
      </c>
      <c r="UA68" s="336">
        <v>0</v>
      </c>
      <c r="UB68" s="336">
        <v>0</v>
      </c>
      <c r="UC68" s="336">
        <v>0</v>
      </c>
      <c r="UD68" s="336">
        <v>0</v>
      </c>
      <c r="UE68" s="336">
        <v>0</v>
      </c>
      <c r="UF68" s="336">
        <v>6410323137</v>
      </c>
      <c r="UG68" s="336">
        <v>4472402795</v>
      </c>
      <c r="UH68" s="336">
        <v>513554600</v>
      </c>
      <c r="UI68" s="336">
        <v>161549516</v>
      </c>
      <c r="UJ68" s="336">
        <v>31517282</v>
      </c>
      <c r="UK68" s="336">
        <v>2037136036</v>
      </c>
      <c r="UL68" s="336">
        <v>61418927</v>
      </c>
      <c r="UM68" s="336">
        <v>8949678</v>
      </c>
      <c r="UN68" s="336">
        <v>92861486</v>
      </c>
      <c r="UO68" s="336">
        <v>69702109</v>
      </c>
      <c r="UP68" s="336">
        <v>10397467</v>
      </c>
      <c r="UQ68" s="336">
        <v>10470062</v>
      </c>
      <c r="UR68"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33577708</v>
      </c>
      <c r="US68" s="338">
        <f>SUM(Input[[#This Row],[Oth Exp E&amp;G]],Input[[#This Row],[Oth Exp Desg]],Input[[#This Row],[Oth Exp Aux]],Input[[#This Row],[Oth Exp R Exp]],Input[[#This Row],[Oth Exp Loan]],Input[[#This Row],[Oth Exp Annuity]],Input[[#This Row],[Oth Exp Unexp]],Input[[#This Row],[Oth Exp R of Ind]],Input[[#This Row],[Oth Exp Inv in P]])</f>
        <v>3800138</v>
      </c>
      <c r="UT68" s="336">
        <v>4548497</v>
      </c>
      <c r="UU68" s="336">
        <v>106810873</v>
      </c>
      <c r="UV68" s="339" t="s">
        <v>1523</v>
      </c>
      <c r="UW68" s="340">
        <v>4097727525</v>
      </c>
      <c r="UX68" s="339" t="s">
        <v>1524</v>
      </c>
      <c r="UY68" s="339" t="s">
        <v>1525</v>
      </c>
      <c r="UZ68" s="340">
        <v>4097476305</v>
      </c>
      <c r="VA68" s="339" t="s">
        <v>1526</v>
      </c>
      <c r="VB68" s="341" cm="1">
        <f t="array" ref="VB68">IFERROR(_xlfn.IFS(Input[[#This Row],[Type]]="HRI",VLOOKUP(Input[[#This Row],[Institution Name]],FTSEHRI[],9,FALSE),Input[[#This Row],[Type]]="UNIV",VLOOKUP(Input[[#This Row],[Institution Name]],FTSEUNIV[],9,FALSE),OR(Input[[#This Row],[Type]]="TSTC",Input[[#This Row],[Type]]="LSC"),VLOOKUP(Input[[#This Row],[Institution Name]],FTSETSTC[],8,FALSE)),"N/A")</f>
        <v>3726.2599999999998</v>
      </c>
      <c r="VC68" s="342" t="str" cm="1">
        <f t="array" ref="VC68">IFERROR(_xlfn.IFS(Input[[#This Row],[Type]]="HRI",VLOOKUP(Input[[#This Row],[Institution Name]],FTSEHRI[],11,FALSE),Input[[#This Row],[Type]]="UNIV",VLOOKUP(Input[[#This Row],[Institution Name]],FTSEUNIV[],11,FALSE),Input[[#This Row],[Type]]="TSTC",VLOOKUP(Input[[#This Row],[Institution Name]],FTSETSTC[],10,FALSE)),"N/A")</f>
        <v>N/A</v>
      </c>
      <c r="VD68"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425974141</v>
      </c>
      <c r="VE68"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68" s="338">
        <f>SUM(Input[[#This Row],[Fed G&amp;C E&amp;G]],Input[[#This Row],[Fed G&amp;C Desg]],Input[[#This Row],[Fed G&amp;C R Exp]],Input[[#This Row],[Fed G&amp;C Loan]],Input[[#This Row],[Fed G&amp;C Annuity]],Input[[#This Row],[Fed G&amp;C Unexp]],Input[[#This Row],[Fed G&amp;C R of Ind]],Input[[#This Row],[Fed G&amp;C Inv in P]])</f>
        <v>209236869</v>
      </c>
      <c r="VG68"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368404713</v>
      </c>
      <c r="VH68"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35346678</v>
      </c>
      <c r="VI68"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12953394</v>
      </c>
      <c r="VJ68" s="338">
        <f>SUM(Input[[#This Row],[Oth Inc E&amp;G]],Input[[#This Row],[Oth Exp Desg]],Input[[#This Row],[Oth Exp R Exp]],Input[[#This Row],[Oth Exp Loan]],Input[[#This Row],[Oth Exp Annuity]],Input[[#This Row],[Oth Exp Unexp]],Input[[#This Row],[Oth Exp R of Ind]],Input[[#This Row],[Oth Exp Inv in P]])</f>
        <v>5591885</v>
      </c>
      <c r="VK68" s="343">
        <f>SUM(Input[[#This Row],[Instr E&amp;G]],Input[[#This Row],[Instr Desg]],Input[[#This Row],[Instr R Exp]],Input[[#This Row],[Instr Loan]],Input[[#This Row],[Instr Annuity]],Input[[#This Row],[Instr Unexp]],Input[[#This Row],[Instr R of Ind]],Input[[#This Row],[Instr Inv in P]])</f>
        <v>513554600</v>
      </c>
      <c r="VL68" s="343">
        <f>SUM(Input[[#This Row],[Res E&amp;G]],Input[[#This Row],[Res Desg]],Input[[#This Row],[Res R Exp]],Input[[#This Row],[Res Loan]],Input[[#This Row],[Res Annuity]],Input[[#This Row],[Res Unexp]],Input[[#This Row],[Res R of Ind]],Input[[#This Row],[Res Inv in P]])</f>
        <v>161549516</v>
      </c>
      <c r="VM68" s="343">
        <f>SUM(Input[[#This Row],[Acad Sup E&amp;G]],Input[[#This Row],[Acad Sup Desg]],Input[[#This Row],[Acad Sup R Exp]],Input[[#This Row],[Acad Sup Loan]],Input[[#This Row],[Acad Sup Annuity]],Input[[#This Row],[Acad Sup Unexp]],Input[[#This Row],[Acad Sup R of Ind]],Input[[#This Row],[Acad Sup Inv in P]])</f>
        <v>61418927</v>
      </c>
      <c r="VN68" s="343">
        <f>SUM(Input[[#This Row],[Stu Svc E&amp;G]],Input[[#This Row],[Stu Svc Desg]],Input[[#This Row],[Stu Svc R Exp]],Input[[#This Row],[Stu Svc Loan]],Input[[#This Row],[Stu Svc Annuity]],Input[[#This Row],[Stu Svc Unexp]],Input[[#This Row],[Stu Svc R of Ind]],Input[[#This Row],[Stu Svc Inv in P]])</f>
        <v>8949678</v>
      </c>
      <c r="VO68" s="343">
        <f>SUM(Input[[#This Row],[Inst. Spt E&amp;G]],Input[[#This Row],[Inst. Spt Desg]],Input[[#This Row],[Inst. Spt R Exp]],Input[[#This Row],[Inst. Spt Loan]],Input[[#This Row],[Inst. Spt Annuity]],Input[[#This Row],[Inst. Spt Unexp]],Input[[#This Row],[Inst. Spt R of Ind]],Input[[#This Row],[Inst. Spt Inv in P]])</f>
        <v>92861486</v>
      </c>
      <c r="VP68" s="343">
        <f>SUM(Input[[#This Row],[M&amp;O Plnt E&amp;G]],Input[[#This Row],[M&amp;O Plnt Desg]],Input[[#This Row],[M&amp;O Plnt R Exp]],Input[[#This Row],[M&amp;O Plnt Loan]],Input[[#This Row],[M&amp;O Plnt Annuity]],Input[[#This Row],[M&amp;O Plnt Unexp]],Input[[#This Row],[M&amp;O Plnt R of Ind]],Input[[#This Row],[M&amp;O Plnt Inv in P]])</f>
        <v>69702109</v>
      </c>
      <c r="VQ68" s="343">
        <f>SUM(Input[[#This Row],[Schl &amp; Fell E&amp;G]],Input[[#This Row],[Schl &amp; Fell Desg]],Input[[#This Row],[Schl &amp; Fell R Exp]],Input[[#This Row],[Schl &amp; Fell Loan]],Input[[#This Row],[Schl &amp; Fell Annuity]],Input[[#This Row],[Schl &amp; Fell Unexp]],Input[[#This Row],[Schl &amp; Fell R of Ind]],Input[[#This Row],[Schl &amp; Fell Inv in P]])</f>
        <v>10397467</v>
      </c>
      <c r="VR68" s="343">
        <f>SUM(Input[[#This Row],[Cap Out fund E&amp;G]],Input[[#This Row],[Cap Out fund Desg]],Input[[#This Row],[Cap Out fund R Exp]],Input[[#This Row],[Cap Out fund Loan]],Input[[#This Row],[Cap Out fund Annuity]],Input[[#This Row],[Cap Out fund Unexp]],Input[[#This Row],[Cap Out fund R of Ind]],Input[[#This Row],[Cap Out fund Inv in P]])</f>
        <v>33571891</v>
      </c>
      <c r="VS68" s="343">
        <f>SUM(Input[[#This Row],[Oth Exp E&amp;G]],Input[[#This Row],[Oth Exp Desg]],Input[[#This Row],[Oth Exp R Exp]],Input[[#This Row],[Oth Exp Loan]],Input[[#This Row],[Oth Exp Annuity]],Input[[#This Row],[Oth Exp Unexp]],Input[[#This Row],[Oth Exp R of Ind]],Input[[#This Row],[Oth Exp Inv in P]],Input[[#This Row],[Oth Exp Inv in P]])</f>
        <v>3800138</v>
      </c>
    </row>
    <row r="69" spans="1:591" s="344" customFormat="1" ht="27" customHeight="1" x14ac:dyDescent="0.55000000000000004">
      <c r="A69" s="339" t="s">
        <v>63</v>
      </c>
      <c r="B69" s="334" t="s">
        <v>829</v>
      </c>
      <c r="C69" s="334" t="s">
        <v>21</v>
      </c>
      <c r="D69" s="334">
        <v>100</v>
      </c>
      <c r="E69" s="334" t="s">
        <v>1622</v>
      </c>
      <c r="F69" s="335">
        <v>9930</v>
      </c>
      <c r="G69" s="336">
        <v>45275696</v>
      </c>
      <c r="H69" s="336">
        <v>0</v>
      </c>
      <c r="I69" s="336">
        <v>0</v>
      </c>
      <c r="J69" s="336">
        <v>0</v>
      </c>
      <c r="K69" s="336">
        <v>0</v>
      </c>
      <c r="L69" s="336">
        <v>0</v>
      </c>
      <c r="M69" s="336">
        <v>0</v>
      </c>
      <c r="N69" s="336">
        <v>0</v>
      </c>
      <c r="O69" s="336">
        <v>0</v>
      </c>
      <c r="P69" s="336">
        <v>3001217</v>
      </c>
      <c r="Q69" s="336">
        <v>34230</v>
      </c>
      <c r="R69" s="336">
        <v>0</v>
      </c>
      <c r="S69" s="336">
        <v>373025</v>
      </c>
      <c r="T69" s="336">
        <v>0</v>
      </c>
      <c r="U69" s="336">
        <v>0</v>
      </c>
      <c r="V69" s="336">
        <v>0</v>
      </c>
      <c r="W69" s="336">
        <v>0</v>
      </c>
      <c r="X69" s="336">
        <v>0</v>
      </c>
      <c r="Y69" s="336">
        <v>0</v>
      </c>
      <c r="Z69" s="336">
        <v>0</v>
      </c>
      <c r="AA69" s="336">
        <v>0</v>
      </c>
      <c r="AB69" s="336">
        <v>0</v>
      </c>
      <c r="AC69" s="336">
        <v>0</v>
      </c>
      <c r="AD69" s="336">
        <v>0</v>
      </c>
      <c r="AE69" s="336">
        <v>0</v>
      </c>
      <c r="AF69" s="336">
        <v>0</v>
      </c>
      <c r="AG69" s="336">
        <v>0</v>
      </c>
      <c r="AH69" s="336">
        <v>0</v>
      </c>
      <c r="AI69" s="336">
        <v>0</v>
      </c>
      <c r="AJ69" s="336">
        <v>0</v>
      </c>
      <c r="AK69" s="336">
        <v>0</v>
      </c>
      <c r="AL69" s="336">
        <v>0</v>
      </c>
      <c r="AM69" s="336">
        <v>0</v>
      </c>
      <c r="AN69" s="336">
        <v>0</v>
      </c>
      <c r="AO69" s="336">
        <v>0</v>
      </c>
      <c r="AP69" s="336">
        <v>0</v>
      </c>
      <c r="AQ69" s="336">
        <v>-2710568</v>
      </c>
      <c r="AR69" s="336">
        <v>-165435</v>
      </c>
      <c r="AS69" s="336">
        <v>0</v>
      </c>
      <c r="AT69" s="336">
        <v>0</v>
      </c>
      <c r="AU69" s="336">
        <v>0</v>
      </c>
      <c r="AV69" s="336">
        <v>0</v>
      </c>
      <c r="AW69" s="336">
        <v>0</v>
      </c>
      <c r="AX69" s="336">
        <v>0</v>
      </c>
      <c r="AY69" s="336">
        <v>0</v>
      </c>
      <c r="AZ69" s="336">
        <v>0</v>
      </c>
      <c r="BA69" s="336">
        <v>0</v>
      </c>
      <c r="BB69" s="336">
        <v>0</v>
      </c>
      <c r="BC69" s="336">
        <v>0</v>
      </c>
      <c r="BD69" s="336">
        <v>0</v>
      </c>
      <c r="BE69" s="336">
        <v>0</v>
      </c>
      <c r="BF69" s="336">
        <v>0</v>
      </c>
      <c r="BG69" s="336">
        <v>0</v>
      </c>
      <c r="BH69" s="336">
        <v>0</v>
      </c>
      <c r="BI69" s="336">
        <v>-214513</v>
      </c>
      <c r="BJ69" s="336">
        <v>-1134090</v>
      </c>
      <c r="BK69" s="336">
        <v>0</v>
      </c>
      <c r="BL69" s="336">
        <v>0</v>
      </c>
      <c r="BM69" s="336">
        <v>0</v>
      </c>
      <c r="BN69" s="336">
        <v>0</v>
      </c>
      <c r="BO69" s="336">
        <v>0</v>
      </c>
      <c r="BP69" s="336">
        <v>0</v>
      </c>
      <c r="BQ69" s="336">
        <v>0</v>
      </c>
      <c r="BR69" s="336">
        <v>0</v>
      </c>
      <c r="BS69" s="336">
        <v>0</v>
      </c>
      <c r="BT69" s="336">
        <v>0</v>
      </c>
      <c r="BU69" s="336">
        <v>0</v>
      </c>
      <c r="BV69" s="336">
        <v>0</v>
      </c>
      <c r="BW69" s="336">
        <v>0</v>
      </c>
      <c r="BX69" s="336">
        <v>0</v>
      </c>
      <c r="BY69" s="336">
        <v>0</v>
      </c>
      <c r="BZ69" s="336">
        <v>0</v>
      </c>
      <c r="CA69" s="336">
        <v>6829807</v>
      </c>
      <c r="CB69" s="336">
        <v>22077797</v>
      </c>
      <c r="CC69" s="336">
        <v>0</v>
      </c>
      <c r="CD69" s="336">
        <v>0</v>
      </c>
      <c r="CE69" s="336">
        <v>0</v>
      </c>
      <c r="CF69" s="336">
        <v>0</v>
      </c>
      <c r="CG69" s="336">
        <v>0</v>
      </c>
      <c r="CH69" s="336">
        <v>0</v>
      </c>
      <c r="CI69" s="336">
        <v>0</v>
      </c>
      <c r="CJ69" s="336">
        <v>0</v>
      </c>
      <c r="CK69" s="336">
        <v>0</v>
      </c>
      <c r="CL69" s="336">
        <v>0</v>
      </c>
      <c r="CM69" s="336">
        <v>0</v>
      </c>
      <c r="CN69" s="336">
        <v>0</v>
      </c>
      <c r="CO69" s="336">
        <v>0</v>
      </c>
      <c r="CP69" s="336">
        <v>0</v>
      </c>
      <c r="CQ69" s="336">
        <v>0</v>
      </c>
      <c r="CR69" s="336">
        <v>0</v>
      </c>
      <c r="CS69" s="336">
        <v>0</v>
      </c>
      <c r="CT69" s="336">
        <v>0</v>
      </c>
      <c r="CU69" s="336">
        <v>0</v>
      </c>
      <c r="CV69" s="336">
        <v>0</v>
      </c>
      <c r="CW69" s="336">
        <v>0</v>
      </c>
      <c r="CX69" s="336">
        <v>0</v>
      </c>
      <c r="CY69" s="336">
        <v>0</v>
      </c>
      <c r="CZ69" s="336">
        <v>0</v>
      </c>
      <c r="DA69" s="336">
        <v>0</v>
      </c>
      <c r="DB69" s="336">
        <v>0</v>
      </c>
      <c r="DC69" s="336">
        <v>0</v>
      </c>
      <c r="DD69" s="336">
        <v>0</v>
      </c>
      <c r="DE69" s="336">
        <v>0</v>
      </c>
      <c r="DF69" s="336">
        <v>0</v>
      </c>
      <c r="DG69" s="336">
        <v>0</v>
      </c>
      <c r="DH69" s="336">
        <v>0</v>
      </c>
      <c r="DI69" s="336">
        <v>0</v>
      </c>
      <c r="DJ69" s="336">
        <v>0</v>
      </c>
      <c r="DK69" s="336">
        <v>0</v>
      </c>
      <c r="DL69" s="336">
        <v>0</v>
      </c>
      <c r="DM69" s="336">
        <v>0</v>
      </c>
      <c r="DN69" s="336">
        <v>0</v>
      </c>
      <c r="DO69" s="336">
        <v>0</v>
      </c>
      <c r="DP69" s="336">
        <v>0</v>
      </c>
      <c r="DQ69" s="336">
        <v>0</v>
      </c>
      <c r="DR69" s="336">
        <v>0</v>
      </c>
      <c r="DS69" s="336">
        <v>0</v>
      </c>
      <c r="DT69" s="336">
        <v>-3920703</v>
      </c>
      <c r="DU69" s="336">
        <v>-12120929</v>
      </c>
      <c r="DV69" s="336">
        <v>0</v>
      </c>
      <c r="DW69" s="336">
        <v>0</v>
      </c>
      <c r="DX69" s="336">
        <v>0</v>
      </c>
      <c r="DY69" s="336">
        <v>0</v>
      </c>
      <c r="DZ69" s="336">
        <v>0</v>
      </c>
      <c r="EA69" s="336">
        <v>0</v>
      </c>
      <c r="EB69" s="336">
        <v>0</v>
      </c>
      <c r="EC69" s="336">
        <v>0</v>
      </c>
      <c r="ED69" s="336">
        <v>0</v>
      </c>
      <c r="EE69" s="336">
        <v>0</v>
      </c>
      <c r="EF69" s="336">
        <v>0</v>
      </c>
      <c r="EG69" s="336">
        <v>0</v>
      </c>
      <c r="EH69" s="336">
        <v>0</v>
      </c>
      <c r="EI69" s="336">
        <v>0</v>
      </c>
      <c r="EJ69" s="336">
        <v>0</v>
      </c>
      <c r="EK69" s="336">
        <v>0</v>
      </c>
      <c r="EL69" s="336">
        <v>0</v>
      </c>
      <c r="EM69" s="336">
        <v>0</v>
      </c>
      <c r="EN69" s="336">
        <v>0</v>
      </c>
      <c r="EO69" s="336">
        <v>0</v>
      </c>
      <c r="EP69" s="336">
        <v>0</v>
      </c>
      <c r="EQ69" s="336">
        <v>0</v>
      </c>
      <c r="ER69" s="336">
        <v>0</v>
      </c>
      <c r="ES69" s="336">
        <v>0</v>
      </c>
      <c r="ET69" s="336">
        <v>0</v>
      </c>
      <c r="EU69" s="336">
        <v>0</v>
      </c>
      <c r="EV69" s="336">
        <v>0</v>
      </c>
      <c r="EW69" s="336">
        <v>0</v>
      </c>
      <c r="EX69" s="336">
        <v>0</v>
      </c>
      <c r="EY69" s="336">
        <v>0</v>
      </c>
      <c r="EZ69" s="336">
        <v>0</v>
      </c>
      <c r="FA69" s="336">
        <v>0</v>
      </c>
      <c r="FB69" s="336">
        <v>0</v>
      </c>
      <c r="FC69" s="336">
        <v>0</v>
      </c>
      <c r="FD69" s="336">
        <v>0</v>
      </c>
      <c r="FE69" s="336">
        <v>0</v>
      </c>
      <c r="FF69" s="336">
        <v>0</v>
      </c>
      <c r="FG69" s="336">
        <v>0</v>
      </c>
      <c r="FH69" s="336">
        <v>0</v>
      </c>
      <c r="FI69" s="336">
        <v>0</v>
      </c>
      <c r="FJ69" s="336">
        <v>0</v>
      </c>
      <c r="FK69" s="336">
        <v>0</v>
      </c>
      <c r="FL69" s="336">
        <v>0</v>
      </c>
      <c r="FM69" s="336">
        <v>22417</v>
      </c>
      <c r="FN69" s="336">
        <v>12878940</v>
      </c>
      <c r="FO69" s="336">
        <v>3943186</v>
      </c>
      <c r="FP69" s="336">
        <v>0</v>
      </c>
      <c r="FQ69" s="336">
        <v>0</v>
      </c>
      <c r="FR69" s="336">
        <v>0</v>
      </c>
      <c r="FS69" s="336">
        <v>0</v>
      </c>
      <c r="FT69" s="336">
        <v>0</v>
      </c>
      <c r="FU69" s="336">
        <v>0</v>
      </c>
      <c r="FV69" s="336">
        <v>0</v>
      </c>
      <c r="FW69" s="336">
        <v>0</v>
      </c>
      <c r="FX69" s="336">
        <v>0</v>
      </c>
      <c r="FY69" s="336">
        <v>0</v>
      </c>
      <c r="FZ69" s="336">
        <v>0</v>
      </c>
      <c r="GA69" s="336">
        <v>0</v>
      </c>
      <c r="GB69" s="336">
        <v>0</v>
      </c>
      <c r="GC69" s="336">
        <v>0</v>
      </c>
      <c r="GD69" s="336">
        <v>0</v>
      </c>
      <c r="GE69" s="336">
        <v>0</v>
      </c>
      <c r="GF69" s="336">
        <v>0</v>
      </c>
      <c r="GG69" s="336">
        <v>0</v>
      </c>
      <c r="GH69" s="336">
        <v>0</v>
      </c>
      <c r="GI69" s="336">
        <v>0</v>
      </c>
      <c r="GJ69" s="336">
        <v>0</v>
      </c>
      <c r="GK69" s="336">
        <v>0</v>
      </c>
      <c r="GL69" s="336">
        <v>0</v>
      </c>
      <c r="GM69" s="336">
        <v>0</v>
      </c>
      <c r="GN69" s="336">
        <v>0</v>
      </c>
      <c r="GO69" s="336">
        <v>0</v>
      </c>
      <c r="GP69" s="336">
        <v>-78635</v>
      </c>
      <c r="GQ69" s="336">
        <v>0</v>
      </c>
      <c r="GR69" s="336">
        <v>0</v>
      </c>
      <c r="GS69" s="336">
        <v>0</v>
      </c>
      <c r="GT69" s="336">
        <v>0</v>
      </c>
      <c r="GU69" s="336">
        <v>0</v>
      </c>
      <c r="GV69" s="336">
        <v>0</v>
      </c>
      <c r="GW69" s="336">
        <v>0</v>
      </c>
      <c r="GX69" s="336">
        <v>0</v>
      </c>
      <c r="GY69" s="336">
        <v>0</v>
      </c>
      <c r="GZ69" s="336">
        <v>0</v>
      </c>
      <c r="HA69" s="336">
        <v>0</v>
      </c>
      <c r="HB69" s="336">
        <v>0</v>
      </c>
      <c r="HC69" s="336">
        <v>0</v>
      </c>
      <c r="HD69" s="336">
        <v>0</v>
      </c>
      <c r="HE69" s="336">
        <v>0</v>
      </c>
      <c r="HF69" s="336">
        <v>0</v>
      </c>
      <c r="HG69" s="336">
        <v>0</v>
      </c>
      <c r="HH69" s="336">
        <v>-1082980</v>
      </c>
      <c r="HI69" s="336">
        <v>0</v>
      </c>
      <c r="HJ69" s="336">
        <v>0</v>
      </c>
      <c r="HK69" s="336">
        <v>0</v>
      </c>
      <c r="HL69" s="336">
        <v>0</v>
      </c>
      <c r="HM69" s="336">
        <v>0</v>
      </c>
      <c r="HN69" s="336">
        <v>0</v>
      </c>
      <c r="HO69" s="336">
        <v>0</v>
      </c>
      <c r="HP69" s="336">
        <v>500850</v>
      </c>
      <c r="HQ69" s="336">
        <v>0</v>
      </c>
      <c r="HR69" s="336">
        <v>17682379</v>
      </c>
      <c r="HS69" s="336">
        <v>0</v>
      </c>
      <c r="HT69" s="336">
        <v>0</v>
      </c>
      <c r="HU69" s="336">
        <v>0</v>
      </c>
      <c r="HV69" s="336">
        <v>0</v>
      </c>
      <c r="HW69" s="336">
        <v>0</v>
      </c>
      <c r="HX69" s="336">
        <v>0</v>
      </c>
      <c r="HY69" s="336">
        <v>0</v>
      </c>
      <c r="HZ69" s="336">
        <v>0</v>
      </c>
      <c r="IA69" s="336">
        <v>0</v>
      </c>
      <c r="IB69" s="336">
        <v>0</v>
      </c>
      <c r="IC69" s="336">
        <v>0</v>
      </c>
      <c r="ID69" s="336">
        <v>0</v>
      </c>
      <c r="IE69" s="336">
        <v>0</v>
      </c>
      <c r="IF69" s="336">
        <v>0</v>
      </c>
      <c r="IG69" s="336">
        <v>0</v>
      </c>
      <c r="IH69" s="336">
        <v>0</v>
      </c>
      <c r="II69" s="336">
        <v>0</v>
      </c>
      <c r="IJ69" s="336">
        <v>0</v>
      </c>
      <c r="IK69" s="336">
        <v>0</v>
      </c>
      <c r="IL69" s="336">
        <v>0</v>
      </c>
      <c r="IM69" s="336">
        <v>0</v>
      </c>
      <c r="IN69" s="336">
        <v>0</v>
      </c>
      <c r="IO69" s="336">
        <v>0</v>
      </c>
      <c r="IP69" s="336">
        <v>31687</v>
      </c>
      <c r="IQ69" s="336">
        <v>510327</v>
      </c>
      <c r="IR69" s="336">
        <v>0</v>
      </c>
      <c r="IS69" s="336">
        <v>2353006</v>
      </c>
      <c r="IT69" s="336">
        <v>0</v>
      </c>
      <c r="IU69" s="336">
        <v>36923</v>
      </c>
      <c r="IV69" s="336">
        <v>0</v>
      </c>
      <c r="IW69" s="336">
        <v>0</v>
      </c>
      <c r="IX69" s="336">
        <v>0</v>
      </c>
      <c r="IY69" s="336">
        <v>0</v>
      </c>
      <c r="IZ69" s="336">
        <v>0</v>
      </c>
      <c r="JA69" s="336">
        <v>0</v>
      </c>
      <c r="JB69" s="336">
        <v>868633</v>
      </c>
      <c r="JC69" s="336">
        <v>0</v>
      </c>
      <c r="JD69" s="336">
        <v>0</v>
      </c>
      <c r="JE69" s="336">
        <v>0</v>
      </c>
      <c r="JF69" s="336">
        <v>0</v>
      </c>
      <c r="JG69" s="336">
        <v>0</v>
      </c>
      <c r="JH69" s="336">
        <v>0</v>
      </c>
      <c r="JI69" s="336">
        <v>100498</v>
      </c>
      <c r="JJ69" s="336">
        <v>0</v>
      </c>
      <c r="JK69" s="336">
        <v>5134915</v>
      </c>
      <c r="JL69" s="336">
        <v>0</v>
      </c>
      <c r="JM69" s="336">
        <v>0</v>
      </c>
      <c r="JN69" s="336">
        <v>0</v>
      </c>
      <c r="JO69" s="336">
        <v>0</v>
      </c>
      <c r="JP69" s="336">
        <v>0</v>
      </c>
      <c r="JQ69" s="336">
        <v>0</v>
      </c>
      <c r="JR69" s="336">
        <v>1426930</v>
      </c>
      <c r="JS69" s="336">
        <v>0</v>
      </c>
      <c r="JT69" s="336">
        <v>146637</v>
      </c>
      <c r="JU69" s="336">
        <v>0</v>
      </c>
      <c r="JV69" s="336">
        <v>0</v>
      </c>
      <c r="JW69" s="336">
        <v>0</v>
      </c>
      <c r="JX69" s="336">
        <v>0</v>
      </c>
      <c r="JY69" s="336">
        <v>0</v>
      </c>
      <c r="JZ69" s="336">
        <v>0</v>
      </c>
      <c r="KA69" s="336">
        <v>0</v>
      </c>
      <c r="KB69" s="336">
        <v>6583050</v>
      </c>
      <c r="KC69" s="336">
        <v>0</v>
      </c>
      <c r="KD69" s="336">
        <v>0</v>
      </c>
      <c r="KE69" s="336">
        <v>0</v>
      </c>
      <c r="KF69" s="336">
        <v>0</v>
      </c>
      <c r="KG69" s="336">
        <v>0</v>
      </c>
      <c r="KH69" s="336">
        <v>0</v>
      </c>
      <c r="KI69" s="336">
        <v>10</v>
      </c>
      <c r="KJ69" s="336">
        <v>2094134</v>
      </c>
      <c r="KK69" s="336">
        <v>0</v>
      </c>
      <c r="KL69" s="336">
        <v>56104</v>
      </c>
      <c r="KM69" s="336">
        <v>0</v>
      </c>
      <c r="KN69" s="336">
        <v>0</v>
      </c>
      <c r="KO69" s="336">
        <v>0</v>
      </c>
      <c r="KP69" s="336">
        <v>0</v>
      </c>
      <c r="KQ69" s="336">
        <v>0</v>
      </c>
      <c r="KR69" s="336">
        <v>18386172</v>
      </c>
      <c r="KS69" s="336">
        <v>11433696</v>
      </c>
      <c r="KT69" s="336">
        <v>0</v>
      </c>
      <c r="KU69" s="336">
        <v>1243390</v>
      </c>
      <c r="KV69" s="336">
        <v>0</v>
      </c>
      <c r="KW69" s="336">
        <v>0</v>
      </c>
      <c r="KX69" s="336">
        <v>0</v>
      </c>
      <c r="KY69" s="336">
        <v>0</v>
      </c>
      <c r="KZ69" s="336">
        <v>0</v>
      </c>
      <c r="LA69" s="336">
        <v>505182</v>
      </c>
      <c r="LB69" s="336">
        <v>618324</v>
      </c>
      <c r="LC69" s="336">
        <v>0</v>
      </c>
      <c r="LD69" s="336">
        <v>2659688</v>
      </c>
      <c r="LE69" s="336">
        <v>0</v>
      </c>
      <c r="LF69" s="336">
        <v>0</v>
      </c>
      <c r="LG69" s="336">
        <v>0</v>
      </c>
      <c r="LH69" s="336">
        <v>0</v>
      </c>
      <c r="LI69" s="336">
        <v>0</v>
      </c>
      <c r="LJ69" s="336">
        <v>454891</v>
      </c>
      <c r="LK69" s="336">
        <v>843898</v>
      </c>
      <c r="LL69" s="336">
        <v>0</v>
      </c>
      <c r="LM69" s="336">
        <v>2688997</v>
      </c>
      <c r="LN69" s="336">
        <v>0</v>
      </c>
      <c r="LO69" s="336">
        <v>0</v>
      </c>
      <c r="LP69" s="336">
        <v>0</v>
      </c>
      <c r="LQ69" s="336">
        <v>0</v>
      </c>
      <c r="LR69" s="336">
        <v>0</v>
      </c>
      <c r="LS69" s="336">
        <v>0</v>
      </c>
      <c r="LT69" s="336">
        <v>0</v>
      </c>
      <c r="LU69" s="336">
        <v>0</v>
      </c>
      <c r="LV69" s="336">
        <v>0</v>
      </c>
      <c r="LW69" s="336">
        <v>0</v>
      </c>
      <c r="LX69" s="336">
        <v>0</v>
      </c>
      <c r="LY69" s="336">
        <v>0</v>
      </c>
      <c r="LZ69" s="336">
        <v>0</v>
      </c>
      <c r="MA69" s="336">
        <v>0</v>
      </c>
      <c r="MB69" s="336">
        <v>4628033</v>
      </c>
      <c r="MC69" s="336">
        <v>3928078</v>
      </c>
      <c r="MD69" s="336">
        <v>0</v>
      </c>
      <c r="ME69" s="336">
        <v>2072713</v>
      </c>
      <c r="MF69" s="336">
        <v>0</v>
      </c>
      <c r="MG69" s="336">
        <v>0</v>
      </c>
      <c r="MH69" s="336">
        <v>0</v>
      </c>
      <c r="MI69" s="336">
        <v>0</v>
      </c>
      <c r="MJ69" s="336">
        <v>0</v>
      </c>
      <c r="MK69" s="336">
        <v>1924638</v>
      </c>
      <c r="ML69" s="336">
        <v>2230794</v>
      </c>
      <c r="MM69" s="336">
        <v>0</v>
      </c>
      <c r="MN69" s="336">
        <v>51223</v>
      </c>
      <c r="MO69" s="336">
        <v>0</v>
      </c>
      <c r="MP69" s="336">
        <v>0</v>
      </c>
      <c r="MQ69" s="336">
        <v>0</v>
      </c>
      <c r="MR69" s="336">
        <v>0</v>
      </c>
      <c r="MS69" s="336">
        <v>0</v>
      </c>
      <c r="MT69" s="336">
        <v>6965556</v>
      </c>
      <c r="MU69" s="336">
        <v>3859880</v>
      </c>
      <c r="MV69" s="336">
        <v>0</v>
      </c>
      <c r="MW69" s="336">
        <v>1074991</v>
      </c>
      <c r="MX69" s="336">
        <v>0</v>
      </c>
      <c r="MY69" s="336">
        <v>0</v>
      </c>
      <c r="MZ69" s="336">
        <v>0</v>
      </c>
      <c r="NA69" s="336">
        <v>0</v>
      </c>
      <c r="NB69" s="336">
        <v>0</v>
      </c>
      <c r="NC69" s="336">
        <v>4020704</v>
      </c>
      <c r="ND69" s="336">
        <v>6310380</v>
      </c>
      <c r="NE69" s="336">
        <v>0</v>
      </c>
      <c r="NF69" s="336">
        <v>142427</v>
      </c>
      <c r="NG69" s="336">
        <v>0</v>
      </c>
      <c r="NH69" s="336">
        <v>0</v>
      </c>
      <c r="NI69" s="336">
        <v>1109237</v>
      </c>
      <c r="NJ69" s="336">
        <v>0</v>
      </c>
      <c r="NK69" s="336">
        <v>0</v>
      </c>
      <c r="NL69" s="336">
        <v>1554209</v>
      </c>
      <c r="NM69" s="336">
        <v>4490499</v>
      </c>
      <c r="NN69" s="336">
        <v>0</v>
      </c>
      <c r="NO69" s="336">
        <v>5657664</v>
      </c>
      <c r="NP69" s="336">
        <v>0</v>
      </c>
      <c r="NQ69" s="336">
        <v>0</v>
      </c>
      <c r="NR69" s="336">
        <v>0</v>
      </c>
      <c r="NS69" s="336">
        <v>0</v>
      </c>
      <c r="NT69" s="336">
        <v>0</v>
      </c>
      <c r="NU69" s="336">
        <v>0</v>
      </c>
      <c r="NV69" s="336">
        <v>149134</v>
      </c>
      <c r="NW69" s="336">
        <v>11695140</v>
      </c>
      <c r="NX69" s="336">
        <v>976841</v>
      </c>
      <c r="NY69" s="336">
        <v>0</v>
      </c>
      <c r="NZ69" s="336">
        <v>0</v>
      </c>
      <c r="OA69" s="336">
        <v>0</v>
      </c>
      <c r="OB69" s="336">
        <v>0</v>
      </c>
      <c r="OC69" s="336">
        <v>0</v>
      </c>
      <c r="OD69" s="336">
        <v>0</v>
      </c>
      <c r="OE69" s="336">
        <v>1300425</v>
      </c>
      <c r="OF69" s="336">
        <v>221857</v>
      </c>
      <c r="OG69" s="336">
        <v>678825</v>
      </c>
      <c r="OH69" s="336">
        <v>0</v>
      </c>
      <c r="OI69" s="336">
        <v>0</v>
      </c>
      <c r="OJ69" s="336">
        <v>0</v>
      </c>
      <c r="OK69" s="336">
        <v>0</v>
      </c>
      <c r="OL69" s="336">
        <v>0</v>
      </c>
      <c r="OM69" s="336">
        <v>0</v>
      </c>
      <c r="ON69" s="336">
        <v>0</v>
      </c>
      <c r="OO69" s="336">
        <v>298</v>
      </c>
      <c r="OP69" s="336">
        <v>59</v>
      </c>
      <c r="OQ69" s="336">
        <v>0</v>
      </c>
      <c r="OR69" s="336">
        <v>0</v>
      </c>
      <c r="OS69" s="336">
        <v>0</v>
      </c>
      <c r="OT69" s="336">
        <v>0</v>
      </c>
      <c r="OU69" s="336">
        <v>0</v>
      </c>
      <c r="OV69" s="336">
        <v>0</v>
      </c>
      <c r="OW69" s="336">
        <v>0</v>
      </c>
      <c r="OX69" s="336">
        <v>0</v>
      </c>
      <c r="OY69" s="336">
        <v>0</v>
      </c>
      <c r="OZ69" s="336">
        <v>0</v>
      </c>
      <c r="PA69" s="336">
        <v>0</v>
      </c>
      <c r="PB69" s="336">
        <v>-11364661</v>
      </c>
      <c r="PC69" s="336">
        <v>0</v>
      </c>
      <c r="PD69" s="336">
        <v>0</v>
      </c>
      <c r="PE69" s="336">
        <v>2946212</v>
      </c>
      <c r="PF69" s="336">
        <v>17167119</v>
      </c>
      <c r="PG69" s="336">
        <v>2291016</v>
      </c>
      <c r="PH69" s="336">
        <v>-7969673</v>
      </c>
      <c r="PI69" s="336">
        <v>0</v>
      </c>
      <c r="PJ69" s="336">
        <v>11854</v>
      </c>
      <c r="PK69" s="336">
        <v>-3459409</v>
      </c>
      <c r="PL69" s="336">
        <v>0</v>
      </c>
      <c r="PM69" s="336">
        <v>88014</v>
      </c>
      <c r="PN69" s="336">
        <v>0</v>
      </c>
      <c r="PO69" s="336">
        <v>0</v>
      </c>
      <c r="PP69" s="336">
        <v>0</v>
      </c>
      <c r="PQ69" s="336">
        <v>0</v>
      </c>
      <c r="PR69" s="336">
        <v>0</v>
      </c>
      <c r="PS69" s="336">
        <v>0</v>
      </c>
      <c r="PT69" s="336">
        <v>39188230</v>
      </c>
      <c r="PU69" s="336">
        <v>0</v>
      </c>
      <c r="PV69" s="336">
        <v>0</v>
      </c>
      <c r="PW69" s="336">
        <v>-16102328</v>
      </c>
      <c r="PX69" s="336">
        <v>-1670769</v>
      </c>
      <c r="PY69" s="336">
        <v>-3412891</v>
      </c>
      <c r="PZ69" s="336">
        <v>0</v>
      </c>
      <c r="QA69" s="336">
        <v>0</v>
      </c>
      <c r="QB69" s="336">
        <v>0</v>
      </c>
      <c r="QC69" s="336">
        <v>0</v>
      </c>
      <c r="QD69" s="336">
        <v>0</v>
      </c>
      <c r="QE69" s="336">
        <v>0</v>
      </c>
      <c r="QF69" s="336">
        <v>0</v>
      </c>
      <c r="QG69" s="336">
        <v>-2415</v>
      </c>
      <c r="QH69" s="336">
        <v>0</v>
      </c>
      <c r="QI69" s="336">
        <v>0</v>
      </c>
      <c r="QJ69" s="336">
        <v>0</v>
      </c>
      <c r="QK69" s="336">
        <v>3332788</v>
      </c>
      <c r="QL69" s="336">
        <v>0</v>
      </c>
      <c r="QM69" s="336">
        <v>0</v>
      </c>
      <c r="QN69" s="336">
        <v>0</v>
      </c>
      <c r="QO69" s="336">
        <v>0</v>
      </c>
      <c r="QP69" s="336">
        <v>0</v>
      </c>
      <c r="QQ69" s="336">
        <v>0</v>
      </c>
      <c r="QR69" s="336">
        <v>-97</v>
      </c>
      <c r="QS69" s="336">
        <v>0</v>
      </c>
      <c r="QT69" s="336">
        <v>515074</v>
      </c>
      <c r="QU69" s="336">
        <v>0</v>
      </c>
      <c r="QV69" s="336">
        <v>0</v>
      </c>
      <c r="QW69" s="336">
        <v>0</v>
      </c>
      <c r="QX69" s="336">
        <v>0</v>
      </c>
      <c r="QY69" s="336">
        <v>0</v>
      </c>
      <c r="QZ69" s="336">
        <v>0</v>
      </c>
      <c r="RA69" s="336">
        <v>0</v>
      </c>
      <c r="RB69" s="336">
        <v>0</v>
      </c>
      <c r="RC69" s="336">
        <v>0</v>
      </c>
      <c r="RD69" s="336">
        <v>0</v>
      </c>
      <c r="RE69" s="336">
        <v>0</v>
      </c>
      <c r="RF69" s="336">
        <v>0</v>
      </c>
      <c r="RG69" s="336">
        <v>0</v>
      </c>
      <c r="RH69" s="336">
        <v>0</v>
      </c>
      <c r="RI69" s="336">
        <v>0</v>
      </c>
      <c r="RJ69" s="336">
        <v>0</v>
      </c>
      <c r="RK69" s="336">
        <v>0</v>
      </c>
      <c r="RL69" s="336">
        <v>0</v>
      </c>
      <c r="RM69" s="336">
        <v>0</v>
      </c>
      <c r="RN69" s="336">
        <v>0</v>
      </c>
      <c r="RO69" s="336">
        <v>-21356512</v>
      </c>
      <c r="RP69" s="336">
        <v>0</v>
      </c>
      <c r="RQ69" s="336">
        <v>0</v>
      </c>
      <c r="RR69" s="336">
        <v>0</v>
      </c>
      <c r="RS69" s="336">
        <v>0</v>
      </c>
      <c r="RT69" s="336">
        <v>0</v>
      </c>
      <c r="RU69" s="336">
        <v>0</v>
      </c>
      <c r="RV69" s="336">
        <v>0</v>
      </c>
      <c r="RW69" s="336">
        <v>0</v>
      </c>
      <c r="RX69" s="336">
        <v>0</v>
      </c>
      <c r="RY69" s="336">
        <v>0</v>
      </c>
      <c r="RZ69" s="336">
        <v>0</v>
      </c>
      <c r="SA69" s="336">
        <v>0</v>
      </c>
      <c r="SB69" s="336">
        <v>0</v>
      </c>
      <c r="SC69" s="336">
        <v>0</v>
      </c>
      <c r="SD69" s="336">
        <v>0</v>
      </c>
      <c r="SE69" s="336">
        <v>0</v>
      </c>
      <c r="SF69" s="336">
        <v>0</v>
      </c>
      <c r="SG69" s="336">
        <v>0</v>
      </c>
      <c r="SH69" s="336">
        <v>0</v>
      </c>
      <c r="SI69" s="336">
        <v>0</v>
      </c>
      <c r="SJ69" s="336">
        <v>0</v>
      </c>
      <c r="SK69" s="336">
        <v>0</v>
      </c>
      <c r="SL69" s="336">
        <v>0</v>
      </c>
      <c r="SM69" s="336">
        <v>0</v>
      </c>
      <c r="SN69" s="336">
        <v>0</v>
      </c>
      <c r="SO69" s="336">
        <v>0</v>
      </c>
      <c r="SP69" s="336">
        <v>18107</v>
      </c>
      <c r="SQ69" s="336">
        <v>0</v>
      </c>
      <c r="SR69" s="336">
        <v>0</v>
      </c>
      <c r="SS69" s="336">
        <v>0</v>
      </c>
      <c r="ST69" s="336">
        <v>0</v>
      </c>
      <c r="SU69" s="336">
        <v>0</v>
      </c>
      <c r="SV69" s="336">
        <v>0</v>
      </c>
      <c r="SW69" s="336">
        <v>0</v>
      </c>
      <c r="SX69" s="336">
        <v>0</v>
      </c>
      <c r="SY69" s="336">
        <v>13565768</v>
      </c>
      <c r="SZ69" s="336" t="s">
        <v>1420</v>
      </c>
      <c r="TA69" s="336" t="s">
        <v>1420</v>
      </c>
      <c r="TB69" s="336" t="s">
        <v>1420</v>
      </c>
      <c r="TC69" s="336">
        <v>509636</v>
      </c>
      <c r="TD69" s="336">
        <v>5790</v>
      </c>
      <c r="TE69" s="336">
        <v>0</v>
      </c>
      <c r="TF69" s="336">
        <v>0</v>
      </c>
      <c r="TG69" s="336">
        <v>733890</v>
      </c>
      <c r="TH69" s="336">
        <v>121500</v>
      </c>
      <c r="TI69" s="336">
        <v>145009</v>
      </c>
      <c r="TJ69" s="336">
        <v>379930</v>
      </c>
      <c r="TK69" s="336">
        <v>0</v>
      </c>
      <c r="TL69" s="336">
        <v>305352</v>
      </c>
      <c r="TM69" s="336">
        <v>0</v>
      </c>
      <c r="TN69" s="336">
        <v>143080</v>
      </c>
      <c r="TO69" s="336">
        <v>74450</v>
      </c>
      <c r="TP69" s="336">
        <v>1585505</v>
      </c>
      <c r="TQ69" s="336">
        <v>0</v>
      </c>
      <c r="TR69" s="336">
        <v>0</v>
      </c>
      <c r="TS69" s="336">
        <v>0</v>
      </c>
      <c r="TT69" s="336">
        <v>142043</v>
      </c>
      <c r="TU69" s="336">
        <v>0</v>
      </c>
      <c r="TV69" s="336">
        <v>0</v>
      </c>
      <c r="TW69" s="336">
        <v>3436</v>
      </c>
      <c r="TX69" s="336">
        <v>0</v>
      </c>
      <c r="TY69" s="336">
        <v>339160</v>
      </c>
      <c r="TZ69" s="336">
        <v>0</v>
      </c>
      <c r="UA69" s="336">
        <v>0</v>
      </c>
      <c r="UB69" s="336">
        <v>0</v>
      </c>
      <c r="UC69" s="336">
        <v>0</v>
      </c>
      <c r="UD69" s="336">
        <v>0</v>
      </c>
      <c r="UE69" s="336">
        <v>2999101</v>
      </c>
      <c r="UF69" s="336">
        <v>0</v>
      </c>
      <c r="UG69" s="336">
        <v>0</v>
      </c>
      <c r="UH69" s="336">
        <v>31063258</v>
      </c>
      <c r="UI69" s="336">
        <v>3783194</v>
      </c>
      <c r="UJ69" s="336">
        <v>3987786</v>
      </c>
      <c r="UK69" s="336">
        <v>0</v>
      </c>
      <c r="UL69" s="336">
        <v>10628824</v>
      </c>
      <c r="UM69" s="336">
        <v>4206655</v>
      </c>
      <c r="UN69" s="336">
        <v>11900427</v>
      </c>
      <c r="UO69" s="336">
        <v>11582748</v>
      </c>
      <c r="UP69" s="336">
        <v>11702372</v>
      </c>
      <c r="UQ69" s="336">
        <v>12821115</v>
      </c>
      <c r="UR69"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2201107</v>
      </c>
      <c r="US69" s="338">
        <f>SUM(Input[[#This Row],[Oth Exp E&amp;G]],Input[[#This Row],[Oth Exp Desg]],Input[[#This Row],[Oth Exp Aux]],Input[[#This Row],[Oth Exp R Exp]],Input[[#This Row],[Oth Exp Loan]],Input[[#This Row],[Oth Exp Annuity]],Input[[#This Row],[Oth Exp Unexp]],Input[[#This Row],[Oth Exp R of Ind]],Input[[#This Row],[Oth Exp Inv in P]])</f>
        <v>357</v>
      </c>
      <c r="UT69" s="336">
        <v>0</v>
      </c>
      <c r="UU69" s="336">
        <v>0</v>
      </c>
      <c r="UV69" s="339" t="s">
        <v>1421</v>
      </c>
      <c r="UW69" s="340">
        <v>4325522717</v>
      </c>
      <c r="UX69" s="339" t="s">
        <v>1422</v>
      </c>
      <c r="UY69" s="339" t="s">
        <v>1423</v>
      </c>
      <c r="UZ69" s="340">
        <v>4325523712</v>
      </c>
      <c r="VA69" s="339" t="s">
        <v>1424</v>
      </c>
      <c r="VB69" s="341" cm="1">
        <f t="array" ref="VB69">IFERROR(_xlfn.IFS(Input[[#This Row],[Type]]="HRI",VLOOKUP(Input[[#This Row],[Institution Name]],FTSEHRI[],9,FALSE),Input[[#This Row],[Type]]="UNIV",VLOOKUP(Input[[#This Row],[Institution Name]],FTSEUNIV[],9,FALSE),OR(Input[[#This Row],[Type]]="TSTC",Input[[#This Row],[Type]]="LSC"),VLOOKUP(Input[[#This Row],[Institution Name]],FTSETSTC[],8,FALSE)),"N/A")</f>
        <v>3956.21</v>
      </c>
      <c r="VC69" s="342" t="str" cm="1">
        <f t="array" ref="VC69">IFERROR(_xlfn.IFS(Input[[#This Row],[Type]]="HRI",VLOOKUP(Input[[#This Row],[Institution Name]],FTSEHRI[],11,FALSE),Input[[#This Row],[Type]]="UNIV",VLOOKUP(Input[[#This Row],[Institution Name]],FTSEUNIV[],11,FALSE),Input[[#This Row],[Type]]="TSTC",VLOOKUP(Input[[#This Row],[Institution Name]],FTSETSTC[],10,FALSE)),"N/A")</f>
        <v>N/A</v>
      </c>
      <c r="VD69"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48684168</v>
      </c>
      <c r="VE69"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69" s="338">
        <f>SUM(Input[[#This Row],[Fed G&amp;C E&amp;G]],Input[[#This Row],[Fed G&amp;C Desg]],Input[[#This Row],[Fed G&amp;C R Exp]],Input[[#This Row],[Fed G&amp;C Loan]],Input[[#This Row],[Fed G&amp;C Annuity]],Input[[#This Row],[Fed G&amp;C Unexp]],Input[[#This Row],[Fed G&amp;C R of Ind]],Input[[#This Row],[Fed G&amp;C Inv in P]])</f>
        <v>18183229</v>
      </c>
      <c r="VG69"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12759804</v>
      </c>
      <c r="VH69"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12865972</v>
      </c>
      <c r="VI69"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12901357</v>
      </c>
      <c r="VJ69" s="338">
        <f>SUM(Input[[#This Row],[Oth Inc E&amp;G]],Input[[#This Row],[Oth Exp Desg]],Input[[#This Row],[Oth Exp R Exp]],Input[[#This Row],[Oth Exp Loan]],Input[[#This Row],[Oth Exp Annuity]],Input[[#This Row],[Oth Exp Unexp]],Input[[#This Row],[Oth Exp R of Ind]],Input[[#This Row],[Oth Exp Inv in P]])</f>
        <v>69</v>
      </c>
      <c r="VK69" s="343">
        <f>SUM(Input[[#This Row],[Instr E&amp;G]],Input[[#This Row],[Instr Desg]],Input[[#This Row],[Instr R Exp]],Input[[#This Row],[Instr Loan]],Input[[#This Row],[Instr Annuity]],Input[[#This Row],[Instr Unexp]],Input[[#This Row],[Instr R of Ind]],Input[[#This Row],[Instr Inv in P]])</f>
        <v>31063258</v>
      </c>
      <c r="VL69" s="343">
        <f>SUM(Input[[#This Row],[Res E&amp;G]],Input[[#This Row],[Res Desg]],Input[[#This Row],[Res R Exp]],Input[[#This Row],[Res Loan]],Input[[#This Row],[Res Annuity]],Input[[#This Row],[Res Unexp]],Input[[#This Row],[Res R of Ind]],Input[[#This Row],[Res Inv in P]])</f>
        <v>3783194</v>
      </c>
      <c r="VM69" s="343">
        <f>SUM(Input[[#This Row],[Acad Sup E&amp;G]],Input[[#This Row],[Acad Sup Desg]],Input[[#This Row],[Acad Sup R Exp]],Input[[#This Row],[Acad Sup Loan]],Input[[#This Row],[Acad Sup Annuity]],Input[[#This Row],[Acad Sup Unexp]],Input[[#This Row],[Acad Sup R of Ind]],Input[[#This Row],[Acad Sup Inv in P]])</f>
        <v>10628824</v>
      </c>
      <c r="VN69" s="343">
        <f>SUM(Input[[#This Row],[Stu Svc E&amp;G]],Input[[#This Row],[Stu Svc Desg]],Input[[#This Row],[Stu Svc R Exp]],Input[[#This Row],[Stu Svc Loan]],Input[[#This Row],[Stu Svc Annuity]],Input[[#This Row],[Stu Svc Unexp]],Input[[#This Row],[Stu Svc R of Ind]],Input[[#This Row],[Stu Svc Inv in P]])</f>
        <v>4206655</v>
      </c>
      <c r="VO69" s="343">
        <f>SUM(Input[[#This Row],[Inst. Spt E&amp;G]],Input[[#This Row],[Inst. Spt Desg]],Input[[#This Row],[Inst. Spt R Exp]],Input[[#This Row],[Inst. Spt Loan]],Input[[#This Row],[Inst. Spt Annuity]],Input[[#This Row],[Inst. Spt Unexp]],Input[[#This Row],[Inst. Spt R of Ind]],Input[[#This Row],[Inst. Spt Inv in P]])</f>
        <v>11900427</v>
      </c>
      <c r="VP69" s="343">
        <f>SUM(Input[[#This Row],[M&amp;O Plnt E&amp;G]],Input[[#This Row],[M&amp;O Plnt Desg]],Input[[#This Row],[M&amp;O Plnt R Exp]],Input[[#This Row],[M&amp;O Plnt Loan]],Input[[#This Row],[M&amp;O Plnt Annuity]],Input[[#This Row],[M&amp;O Plnt Unexp]],Input[[#This Row],[M&amp;O Plnt R of Ind]],Input[[#This Row],[M&amp;O Plnt Inv in P]])</f>
        <v>11582748</v>
      </c>
      <c r="VQ69" s="343">
        <f>SUM(Input[[#This Row],[Schl &amp; Fell E&amp;G]],Input[[#This Row],[Schl &amp; Fell Desg]],Input[[#This Row],[Schl &amp; Fell R Exp]],Input[[#This Row],[Schl &amp; Fell Loan]],Input[[#This Row],[Schl &amp; Fell Annuity]],Input[[#This Row],[Schl &amp; Fell Unexp]],Input[[#This Row],[Schl &amp; Fell R of Ind]],Input[[#This Row],[Schl &amp; Fell Inv in P]])</f>
        <v>11702372</v>
      </c>
      <c r="VR69" s="343">
        <f>SUM(Input[[#This Row],[Cap Out fund E&amp;G]],Input[[#This Row],[Cap Out fund Desg]],Input[[#This Row],[Cap Out fund R Exp]],Input[[#This Row],[Cap Out fund Loan]],Input[[#This Row],[Cap Out fund Annuity]],Input[[#This Row],[Cap Out fund Unexp]],Input[[#This Row],[Cap Out fund R of Ind]],Input[[#This Row],[Cap Out fund Inv in P]])</f>
        <v>1979250</v>
      </c>
      <c r="VS69" s="343">
        <f>SUM(Input[[#This Row],[Oth Exp E&amp;G]],Input[[#This Row],[Oth Exp Desg]],Input[[#This Row],[Oth Exp R Exp]],Input[[#This Row],[Oth Exp Loan]],Input[[#This Row],[Oth Exp Annuity]],Input[[#This Row],[Oth Exp Unexp]],Input[[#This Row],[Oth Exp R of Ind]],Input[[#This Row],[Oth Exp Inv in P]],Input[[#This Row],[Oth Exp Inv in P]])</f>
        <v>59</v>
      </c>
    </row>
    <row r="70" spans="1:591" s="344" customFormat="1" ht="27" customHeight="1" x14ac:dyDescent="0.55000000000000004">
      <c r="A70" s="339" t="s">
        <v>39</v>
      </c>
      <c r="B70" s="334" t="s">
        <v>829</v>
      </c>
      <c r="C70" s="334" t="s">
        <v>14</v>
      </c>
      <c r="D70" s="334">
        <v>390</v>
      </c>
      <c r="E70" s="334" t="s">
        <v>1623</v>
      </c>
      <c r="F70" s="335">
        <v>30</v>
      </c>
      <c r="G70" s="336">
        <v>234334567</v>
      </c>
      <c r="H70" s="336">
        <v>0</v>
      </c>
      <c r="I70" s="336">
        <v>0</v>
      </c>
      <c r="J70" s="336">
        <v>0</v>
      </c>
      <c r="K70" s="336">
        <v>0</v>
      </c>
      <c r="L70" s="336">
        <v>0</v>
      </c>
      <c r="M70" s="336">
        <v>0</v>
      </c>
      <c r="N70" s="336">
        <v>0</v>
      </c>
      <c r="O70" s="336">
        <v>0</v>
      </c>
      <c r="P70" s="336">
        <v>1099637</v>
      </c>
      <c r="Q70" s="336">
        <v>2313226</v>
      </c>
      <c r="R70" s="336">
        <v>0</v>
      </c>
      <c r="S70" s="336">
        <v>38672635</v>
      </c>
      <c r="T70" s="336">
        <v>0</v>
      </c>
      <c r="U70" s="336">
        <v>0</v>
      </c>
      <c r="V70" s="336">
        <v>0</v>
      </c>
      <c r="W70" s="336">
        <v>0</v>
      </c>
      <c r="X70" s="336">
        <v>0</v>
      </c>
      <c r="Y70" s="336">
        <v>0</v>
      </c>
      <c r="Z70" s="336">
        <v>0</v>
      </c>
      <c r="AA70" s="336">
        <v>0</v>
      </c>
      <c r="AB70" s="336">
        <v>0</v>
      </c>
      <c r="AC70" s="336">
        <v>0</v>
      </c>
      <c r="AD70" s="336">
        <v>0</v>
      </c>
      <c r="AE70" s="336">
        <v>0</v>
      </c>
      <c r="AF70" s="336">
        <v>0</v>
      </c>
      <c r="AG70" s="336">
        <v>0</v>
      </c>
      <c r="AH70" s="336">
        <v>0</v>
      </c>
      <c r="AI70" s="336">
        <v>0</v>
      </c>
      <c r="AJ70" s="336">
        <v>0</v>
      </c>
      <c r="AK70" s="336">
        <v>0</v>
      </c>
      <c r="AL70" s="336">
        <v>0</v>
      </c>
      <c r="AM70" s="336">
        <v>0</v>
      </c>
      <c r="AN70" s="336">
        <v>0</v>
      </c>
      <c r="AO70" s="336">
        <v>0</v>
      </c>
      <c r="AP70" s="336">
        <v>0</v>
      </c>
      <c r="AQ70" s="336">
        <v>-7467895</v>
      </c>
      <c r="AR70" s="336">
        <v>0</v>
      </c>
      <c r="AS70" s="336">
        <v>0</v>
      </c>
      <c r="AT70" s="336">
        <v>0</v>
      </c>
      <c r="AU70" s="336">
        <v>0</v>
      </c>
      <c r="AV70" s="336">
        <v>0</v>
      </c>
      <c r="AW70" s="336">
        <v>0</v>
      </c>
      <c r="AX70" s="336">
        <v>0</v>
      </c>
      <c r="AY70" s="336">
        <v>0</v>
      </c>
      <c r="AZ70" s="336">
        <v>0</v>
      </c>
      <c r="BA70" s="336">
        <v>0</v>
      </c>
      <c r="BB70" s="336">
        <v>0</v>
      </c>
      <c r="BC70" s="336">
        <v>0</v>
      </c>
      <c r="BD70" s="336">
        <v>0</v>
      </c>
      <c r="BE70" s="336">
        <v>0</v>
      </c>
      <c r="BF70" s="336">
        <v>0</v>
      </c>
      <c r="BG70" s="336">
        <v>0</v>
      </c>
      <c r="BH70" s="336">
        <v>0</v>
      </c>
      <c r="BI70" s="336">
        <v>0</v>
      </c>
      <c r="BJ70" s="336">
        <v>0</v>
      </c>
      <c r="BK70" s="336">
        <v>0</v>
      </c>
      <c r="BL70" s="336">
        <v>0</v>
      </c>
      <c r="BM70" s="336">
        <v>0</v>
      </c>
      <c r="BN70" s="336">
        <v>0</v>
      </c>
      <c r="BO70" s="336">
        <v>0</v>
      </c>
      <c r="BP70" s="336">
        <v>0</v>
      </c>
      <c r="BQ70" s="336">
        <v>0</v>
      </c>
      <c r="BR70" s="336">
        <v>0</v>
      </c>
      <c r="BS70" s="336">
        <v>0</v>
      </c>
      <c r="BT70" s="336">
        <v>0</v>
      </c>
      <c r="BU70" s="336">
        <v>0</v>
      </c>
      <c r="BV70" s="336">
        <v>0</v>
      </c>
      <c r="BW70" s="336">
        <v>0</v>
      </c>
      <c r="BX70" s="336">
        <v>0</v>
      </c>
      <c r="BY70" s="336">
        <v>0</v>
      </c>
      <c r="BZ70" s="336">
        <v>0</v>
      </c>
      <c r="CA70" s="336">
        <v>8939737</v>
      </c>
      <c r="CB70" s="336">
        <v>21117323</v>
      </c>
      <c r="CC70" s="336">
        <v>0</v>
      </c>
      <c r="CD70" s="336">
        <v>0</v>
      </c>
      <c r="CE70" s="336">
        <v>0</v>
      </c>
      <c r="CF70" s="336">
        <v>0</v>
      </c>
      <c r="CG70" s="336">
        <v>0</v>
      </c>
      <c r="CH70" s="336">
        <v>0</v>
      </c>
      <c r="CI70" s="336">
        <v>0</v>
      </c>
      <c r="CJ70" s="336">
        <v>0</v>
      </c>
      <c r="CK70" s="336">
        <v>0</v>
      </c>
      <c r="CL70" s="336">
        <v>0</v>
      </c>
      <c r="CM70" s="336">
        <v>0</v>
      </c>
      <c r="CN70" s="336">
        <v>0</v>
      </c>
      <c r="CO70" s="336">
        <v>0</v>
      </c>
      <c r="CP70" s="336">
        <v>0</v>
      </c>
      <c r="CQ70" s="336">
        <v>0</v>
      </c>
      <c r="CR70" s="336">
        <v>0</v>
      </c>
      <c r="CS70" s="336">
        <v>0</v>
      </c>
      <c r="CT70" s="336">
        <v>0</v>
      </c>
      <c r="CU70" s="336">
        <v>0</v>
      </c>
      <c r="CV70" s="336">
        <v>0</v>
      </c>
      <c r="CW70" s="336">
        <v>0</v>
      </c>
      <c r="CX70" s="336">
        <v>0</v>
      </c>
      <c r="CY70" s="336">
        <v>0</v>
      </c>
      <c r="CZ70" s="336">
        <v>0</v>
      </c>
      <c r="DA70" s="336">
        <v>0</v>
      </c>
      <c r="DB70" s="336">
        <v>-229432</v>
      </c>
      <c r="DC70" s="336">
        <v>0</v>
      </c>
      <c r="DD70" s="336">
        <v>0</v>
      </c>
      <c r="DE70" s="336">
        <v>0</v>
      </c>
      <c r="DF70" s="336">
        <v>0</v>
      </c>
      <c r="DG70" s="336">
        <v>0</v>
      </c>
      <c r="DH70" s="336">
        <v>0</v>
      </c>
      <c r="DI70" s="336">
        <v>0</v>
      </c>
      <c r="DJ70" s="336">
        <v>0</v>
      </c>
      <c r="DK70" s="336">
        <v>0</v>
      </c>
      <c r="DL70" s="336">
        <v>0</v>
      </c>
      <c r="DM70" s="336">
        <v>0</v>
      </c>
      <c r="DN70" s="336">
        <v>0</v>
      </c>
      <c r="DO70" s="336">
        <v>0</v>
      </c>
      <c r="DP70" s="336">
        <v>0</v>
      </c>
      <c r="DQ70" s="336">
        <v>0</v>
      </c>
      <c r="DR70" s="336">
        <v>0</v>
      </c>
      <c r="DS70" s="336">
        <v>0</v>
      </c>
      <c r="DT70" s="336">
        <v>-661223</v>
      </c>
      <c r="DU70" s="336">
        <v>-1608927</v>
      </c>
      <c r="DV70" s="336">
        <v>0</v>
      </c>
      <c r="DW70" s="336">
        <v>0</v>
      </c>
      <c r="DX70" s="336">
        <v>0</v>
      </c>
      <c r="DY70" s="336">
        <v>0</v>
      </c>
      <c r="DZ70" s="336">
        <v>0</v>
      </c>
      <c r="EA70" s="336">
        <v>0</v>
      </c>
      <c r="EB70" s="336">
        <v>0</v>
      </c>
      <c r="EC70" s="336">
        <v>0</v>
      </c>
      <c r="ED70" s="336">
        <v>0</v>
      </c>
      <c r="EE70" s="336">
        <v>0</v>
      </c>
      <c r="EF70" s="336">
        <v>0</v>
      </c>
      <c r="EG70" s="336">
        <v>0</v>
      </c>
      <c r="EH70" s="336">
        <v>0</v>
      </c>
      <c r="EI70" s="336">
        <v>0</v>
      </c>
      <c r="EJ70" s="336">
        <v>0</v>
      </c>
      <c r="EK70" s="336">
        <v>0</v>
      </c>
      <c r="EL70" s="336">
        <v>0</v>
      </c>
      <c r="EM70" s="336">
        <v>0</v>
      </c>
      <c r="EN70" s="336">
        <v>0</v>
      </c>
      <c r="EO70" s="336">
        <v>0</v>
      </c>
      <c r="EP70" s="336">
        <v>0</v>
      </c>
      <c r="EQ70" s="336">
        <v>0</v>
      </c>
      <c r="ER70" s="336">
        <v>0</v>
      </c>
      <c r="ES70" s="336">
        <v>0</v>
      </c>
      <c r="ET70" s="336">
        <v>0</v>
      </c>
      <c r="EU70" s="336">
        <v>0</v>
      </c>
      <c r="EV70" s="336">
        <v>0</v>
      </c>
      <c r="EW70" s="336">
        <v>0</v>
      </c>
      <c r="EX70" s="336">
        <v>0</v>
      </c>
      <c r="EY70" s="336">
        <v>0</v>
      </c>
      <c r="EZ70" s="336">
        <v>0</v>
      </c>
      <c r="FA70" s="336">
        <v>0</v>
      </c>
      <c r="FB70" s="336">
        <v>0</v>
      </c>
      <c r="FC70" s="336">
        <v>0</v>
      </c>
      <c r="FD70" s="336">
        <v>0</v>
      </c>
      <c r="FE70" s="336">
        <v>0</v>
      </c>
      <c r="FF70" s="336">
        <v>0</v>
      </c>
      <c r="FG70" s="336">
        <v>0</v>
      </c>
      <c r="FH70" s="336">
        <v>0</v>
      </c>
      <c r="FI70" s="336">
        <v>0</v>
      </c>
      <c r="FJ70" s="336">
        <v>0</v>
      </c>
      <c r="FK70" s="336">
        <v>0</v>
      </c>
      <c r="FL70" s="336">
        <v>0</v>
      </c>
      <c r="FM70" s="336">
        <v>45785</v>
      </c>
      <c r="FN70" s="336">
        <v>1017219</v>
      </c>
      <c r="FO70" s="336">
        <v>2014896</v>
      </c>
      <c r="FP70" s="336">
        <v>0</v>
      </c>
      <c r="FQ70" s="336">
        <v>0</v>
      </c>
      <c r="FR70" s="336">
        <v>0</v>
      </c>
      <c r="FS70" s="336">
        <v>0</v>
      </c>
      <c r="FT70" s="336">
        <v>0</v>
      </c>
      <c r="FU70" s="336">
        <v>0</v>
      </c>
      <c r="FV70" s="336">
        <v>0</v>
      </c>
      <c r="FW70" s="336">
        <v>0</v>
      </c>
      <c r="FX70" s="336">
        <v>0</v>
      </c>
      <c r="FY70" s="336">
        <v>0</v>
      </c>
      <c r="FZ70" s="336">
        <v>0</v>
      </c>
      <c r="GA70" s="336">
        <v>0</v>
      </c>
      <c r="GB70" s="336">
        <v>0</v>
      </c>
      <c r="GC70" s="336">
        <v>0</v>
      </c>
      <c r="GD70" s="336">
        <v>0</v>
      </c>
      <c r="GE70" s="336">
        <v>0</v>
      </c>
      <c r="GF70" s="336">
        <v>0</v>
      </c>
      <c r="GG70" s="336">
        <v>0</v>
      </c>
      <c r="GH70" s="336">
        <v>0</v>
      </c>
      <c r="GI70" s="336">
        <v>0</v>
      </c>
      <c r="GJ70" s="336">
        <v>0</v>
      </c>
      <c r="GK70" s="336">
        <v>0</v>
      </c>
      <c r="GL70" s="336">
        <v>0</v>
      </c>
      <c r="GM70" s="336">
        <v>0</v>
      </c>
      <c r="GN70" s="336">
        <v>0</v>
      </c>
      <c r="GO70" s="336">
        <v>0</v>
      </c>
      <c r="GP70" s="336">
        <v>0</v>
      </c>
      <c r="GQ70" s="336">
        <v>0</v>
      </c>
      <c r="GR70" s="336">
        <v>0</v>
      </c>
      <c r="GS70" s="336">
        <v>0</v>
      </c>
      <c r="GT70" s="336">
        <v>0</v>
      </c>
      <c r="GU70" s="336">
        <v>0</v>
      </c>
      <c r="GV70" s="336">
        <v>0</v>
      </c>
      <c r="GW70" s="336">
        <v>0</v>
      </c>
      <c r="GX70" s="336">
        <v>0</v>
      </c>
      <c r="GY70" s="336">
        <v>0</v>
      </c>
      <c r="GZ70" s="336">
        <v>0</v>
      </c>
      <c r="HA70" s="336">
        <v>0</v>
      </c>
      <c r="HB70" s="336">
        <v>0</v>
      </c>
      <c r="HC70" s="336">
        <v>0</v>
      </c>
      <c r="HD70" s="336">
        <v>0</v>
      </c>
      <c r="HE70" s="336">
        <v>0</v>
      </c>
      <c r="HF70" s="336">
        <v>-4562</v>
      </c>
      <c r="HG70" s="336">
        <v>-77502</v>
      </c>
      <c r="HH70" s="336">
        <v>-759089</v>
      </c>
      <c r="HI70" s="336">
        <v>0</v>
      </c>
      <c r="HJ70" s="336">
        <v>0</v>
      </c>
      <c r="HK70" s="336">
        <v>0</v>
      </c>
      <c r="HL70" s="336">
        <v>0</v>
      </c>
      <c r="HM70" s="336">
        <v>0</v>
      </c>
      <c r="HN70" s="336">
        <v>0</v>
      </c>
      <c r="HO70" s="336">
        <v>0</v>
      </c>
      <c r="HP70" s="336">
        <v>115902323</v>
      </c>
      <c r="HQ70" s="336">
        <v>0</v>
      </c>
      <c r="HR70" s="336">
        <v>252159832</v>
      </c>
      <c r="HS70" s="336">
        <v>0</v>
      </c>
      <c r="HT70" s="336">
        <v>0</v>
      </c>
      <c r="HU70" s="336">
        <v>0</v>
      </c>
      <c r="HV70" s="336">
        <v>0</v>
      </c>
      <c r="HW70" s="336">
        <v>0</v>
      </c>
      <c r="HX70" s="336">
        <v>973800207</v>
      </c>
      <c r="HY70" s="336">
        <v>0</v>
      </c>
      <c r="HZ70" s="336">
        <v>0</v>
      </c>
      <c r="IA70" s="336">
        <v>0</v>
      </c>
      <c r="IB70" s="336">
        <v>0</v>
      </c>
      <c r="IC70" s="336">
        <v>0</v>
      </c>
      <c r="ID70" s="336">
        <v>0</v>
      </c>
      <c r="IE70" s="336">
        <v>0</v>
      </c>
      <c r="IF70" s="336">
        <v>0</v>
      </c>
      <c r="IG70" s="336">
        <v>0</v>
      </c>
      <c r="IH70" s="336">
        <v>2594541201</v>
      </c>
      <c r="II70" s="336">
        <v>0</v>
      </c>
      <c r="IJ70" s="336">
        <v>0</v>
      </c>
      <c r="IK70" s="336">
        <v>0</v>
      </c>
      <c r="IL70" s="336">
        <v>0</v>
      </c>
      <c r="IM70" s="336">
        <v>0</v>
      </c>
      <c r="IN70" s="336">
        <v>0</v>
      </c>
      <c r="IO70" s="336">
        <v>0</v>
      </c>
      <c r="IP70" s="336">
        <v>1287001</v>
      </c>
      <c r="IQ70" s="336">
        <v>122731275</v>
      </c>
      <c r="IR70" s="336">
        <v>1682578</v>
      </c>
      <c r="IS70" s="336">
        <v>92302656</v>
      </c>
      <c r="IT70" s="336">
        <v>86863</v>
      </c>
      <c r="IU70" s="336">
        <v>1323140</v>
      </c>
      <c r="IV70" s="336">
        <v>0</v>
      </c>
      <c r="IW70" s="336">
        <v>0</v>
      </c>
      <c r="IX70" s="336">
        <v>0</v>
      </c>
      <c r="IY70" s="336">
        <v>0</v>
      </c>
      <c r="IZ70" s="336">
        <v>159797276</v>
      </c>
      <c r="JA70" s="336">
        <v>0</v>
      </c>
      <c r="JB70" s="336">
        <v>260185</v>
      </c>
      <c r="JC70" s="336">
        <v>0</v>
      </c>
      <c r="JD70" s="336">
        <v>0</v>
      </c>
      <c r="JE70" s="336">
        <v>0</v>
      </c>
      <c r="JF70" s="336">
        <v>0</v>
      </c>
      <c r="JG70" s="336">
        <v>0</v>
      </c>
      <c r="JH70" s="336">
        <v>0</v>
      </c>
      <c r="JI70" s="336">
        <v>321149091</v>
      </c>
      <c r="JJ70" s="336">
        <v>0</v>
      </c>
      <c r="JK70" s="336">
        <v>190030288</v>
      </c>
      <c r="JL70" s="336">
        <v>0</v>
      </c>
      <c r="JM70" s="336">
        <v>0</v>
      </c>
      <c r="JN70" s="336">
        <v>0</v>
      </c>
      <c r="JO70" s="336">
        <v>0</v>
      </c>
      <c r="JP70" s="336">
        <v>0</v>
      </c>
      <c r="JQ70" s="336">
        <v>0</v>
      </c>
      <c r="JR70" s="336">
        <v>20310691</v>
      </c>
      <c r="JS70" s="336">
        <v>0</v>
      </c>
      <c r="JT70" s="336">
        <v>6629383</v>
      </c>
      <c r="JU70" s="336">
        <v>0</v>
      </c>
      <c r="JV70" s="336">
        <v>0</v>
      </c>
      <c r="JW70" s="336">
        <v>0</v>
      </c>
      <c r="JX70" s="336">
        <v>0</v>
      </c>
      <c r="JY70" s="336">
        <v>0</v>
      </c>
      <c r="JZ70" s="336">
        <v>0</v>
      </c>
      <c r="KA70" s="336">
        <v>0</v>
      </c>
      <c r="KB70" s="336">
        <v>35876958</v>
      </c>
      <c r="KC70" s="336">
        <v>0</v>
      </c>
      <c r="KD70" s="336">
        <v>0</v>
      </c>
      <c r="KE70" s="336">
        <v>0</v>
      </c>
      <c r="KF70" s="336">
        <v>0</v>
      </c>
      <c r="KG70" s="336">
        <v>0</v>
      </c>
      <c r="KH70" s="336">
        <v>0</v>
      </c>
      <c r="KI70" s="336">
        <v>100507</v>
      </c>
      <c r="KJ70" s="336">
        <v>347225911</v>
      </c>
      <c r="KK70" s="336">
        <v>0</v>
      </c>
      <c r="KL70" s="336">
        <v>351820</v>
      </c>
      <c r="KM70" s="336">
        <v>868185</v>
      </c>
      <c r="KN70" s="336">
        <v>0</v>
      </c>
      <c r="KO70" s="336">
        <v>0</v>
      </c>
      <c r="KP70" s="336">
        <v>0</v>
      </c>
      <c r="KQ70" s="336">
        <v>30125</v>
      </c>
      <c r="KR70" s="336">
        <v>77106211</v>
      </c>
      <c r="KS70" s="336">
        <v>1392982195</v>
      </c>
      <c r="KT70" s="336">
        <v>0</v>
      </c>
      <c r="KU70" s="336">
        <v>9845398</v>
      </c>
      <c r="KV70" s="336">
        <v>0</v>
      </c>
      <c r="KW70" s="336">
        <v>0</v>
      </c>
      <c r="KX70" s="336">
        <v>0</v>
      </c>
      <c r="KY70" s="336">
        <v>0</v>
      </c>
      <c r="KZ70" s="336">
        <v>0</v>
      </c>
      <c r="LA70" s="336">
        <v>58735783</v>
      </c>
      <c r="LB70" s="336">
        <v>77508397</v>
      </c>
      <c r="LC70" s="336">
        <v>0</v>
      </c>
      <c r="LD70" s="336">
        <v>454132100</v>
      </c>
      <c r="LE70" s="336">
        <v>0</v>
      </c>
      <c r="LF70" s="336">
        <v>0</v>
      </c>
      <c r="LG70" s="336">
        <v>0</v>
      </c>
      <c r="LH70" s="336">
        <v>0</v>
      </c>
      <c r="LI70" s="336">
        <v>0</v>
      </c>
      <c r="LJ70" s="336">
        <v>21246</v>
      </c>
      <c r="LK70" s="336">
        <v>21697006</v>
      </c>
      <c r="LL70" s="336">
        <v>0</v>
      </c>
      <c r="LM70" s="336">
        <v>1480687</v>
      </c>
      <c r="LN70" s="336">
        <v>0</v>
      </c>
      <c r="LO70" s="336">
        <v>0</v>
      </c>
      <c r="LP70" s="336">
        <v>0</v>
      </c>
      <c r="LQ70" s="336">
        <v>0</v>
      </c>
      <c r="LR70" s="336">
        <v>0</v>
      </c>
      <c r="LS70" s="336">
        <v>0</v>
      </c>
      <c r="LT70" s="336">
        <v>2517184474</v>
      </c>
      <c r="LU70" s="336">
        <v>0</v>
      </c>
      <c r="LV70" s="336">
        <v>318495</v>
      </c>
      <c r="LW70" s="336">
        <v>0</v>
      </c>
      <c r="LX70" s="336">
        <v>0</v>
      </c>
      <c r="LY70" s="336">
        <v>0</v>
      </c>
      <c r="LZ70" s="336">
        <v>0</v>
      </c>
      <c r="MA70" s="336">
        <v>0</v>
      </c>
      <c r="MB70" s="336">
        <v>50167850</v>
      </c>
      <c r="MC70" s="336">
        <v>50772526</v>
      </c>
      <c r="MD70" s="336">
        <v>0</v>
      </c>
      <c r="ME70" s="336">
        <v>2919010</v>
      </c>
      <c r="MF70" s="336">
        <v>0</v>
      </c>
      <c r="MG70" s="336">
        <v>0</v>
      </c>
      <c r="MH70" s="336">
        <v>0</v>
      </c>
      <c r="MI70" s="336">
        <v>0</v>
      </c>
      <c r="MJ70" s="336">
        <v>0</v>
      </c>
      <c r="MK70" s="336">
        <v>627485</v>
      </c>
      <c r="ML70" s="336">
        <v>1638297</v>
      </c>
      <c r="MM70" s="336">
        <v>0</v>
      </c>
      <c r="MN70" s="336">
        <v>136521</v>
      </c>
      <c r="MO70" s="336">
        <v>-10693</v>
      </c>
      <c r="MP70" s="336">
        <v>0</v>
      </c>
      <c r="MQ70" s="336">
        <v>0</v>
      </c>
      <c r="MR70" s="336">
        <v>0</v>
      </c>
      <c r="MS70" s="336">
        <v>0</v>
      </c>
      <c r="MT70" s="336">
        <v>35183614</v>
      </c>
      <c r="MU70" s="336">
        <v>67879807</v>
      </c>
      <c r="MV70" s="336">
        <v>0</v>
      </c>
      <c r="MW70" s="336">
        <v>21856217</v>
      </c>
      <c r="MX70" s="336">
        <v>0</v>
      </c>
      <c r="MY70" s="336">
        <v>0</v>
      </c>
      <c r="MZ70" s="336">
        <v>0</v>
      </c>
      <c r="NA70" s="336">
        <v>0</v>
      </c>
      <c r="NB70" s="336">
        <v>0</v>
      </c>
      <c r="NC70" s="336">
        <v>21600074</v>
      </c>
      <c r="ND70" s="336">
        <v>49304673</v>
      </c>
      <c r="NE70" s="336">
        <v>0</v>
      </c>
      <c r="NF70" s="336">
        <v>192968</v>
      </c>
      <c r="NG70" s="336">
        <v>0</v>
      </c>
      <c r="NH70" s="336">
        <v>0</v>
      </c>
      <c r="NI70" s="336">
        <v>41816736</v>
      </c>
      <c r="NJ70" s="336">
        <v>0</v>
      </c>
      <c r="NK70" s="336">
        <v>0</v>
      </c>
      <c r="NL70" s="336">
        <v>0</v>
      </c>
      <c r="NM70" s="336">
        <v>1612043</v>
      </c>
      <c r="NN70" s="336">
        <v>0</v>
      </c>
      <c r="NO70" s="336">
        <v>5944441</v>
      </c>
      <c r="NP70" s="336">
        <v>0</v>
      </c>
      <c r="NQ70" s="336">
        <v>0</v>
      </c>
      <c r="NR70" s="336">
        <v>0</v>
      </c>
      <c r="NS70" s="336">
        <v>0</v>
      </c>
      <c r="NT70" s="336">
        <v>0</v>
      </c>
      <c r="NU70" s="336">
        <v>0</v>
      </c>
      <c r="NV70" s="336">
        <v>0</v>
      </c>
      <c r="NW70" s="336">
        <v>40636748</v>
      </c>
      <c r="NX70" s="336">
        <v>0</v>
      </c>
      <c r="NY70" s="336">
        <v>0</v>
      </c>
      <c r="NZ70" s="336">
        <v>0</v>
      </c>
      <c r="OA70" s="336">
        <v>0</v>
      </c>
      <c r="OB70" s="336">
        <v>0</v>
      </c>
      <c r="OC70" s="336">
        <v>0</v>
      </c>
      <c r="OD70" s="336">
        <v>52893</v>
      </c>
      <c r="OE70" s="336">
        <v>9442884</v>
      </c>
      <c r="OF70" s="336">
        <v>12862</v>
      </c>
      <c r="OG70" s="336">
        <v>14952956</v>
      </c>
      <c r="OH70" s="336">
        <v>0</v>
      </c>
      <c r="OI70" s="336">
        <v>0</v>
      </c>
      <c r="OJ70" s="336">
        <v>0</v>
      </c>
      <c r="OK70" s="336">
        <v>0</v>
      </c>
      <c r="OL70" s="336">
        <v>0</v>
      </c>
      <c r="OM70" s="336">
        <v>0</v>
      </c>
      <c r="ON70" s="336">
        <v>900000</v>
      </c>
      <c r="OO70" s="336">
        <v>0</v>
      </c>
      <c r="OP70" s="336">
        <v>0</v>
      </c>
      <c r="OQ70" s="336">
        <v>0</v>
      </c>
      <c r="OR70" s="336">
        <v>0</v>
      </c>
      <c r="OS70" s="336">
        <v>0</v>
      </c>
      <c r="OT70" s="336">
        <v>0</v>
      </c>
      <c r="OU70" s="336">
        <v>3430176</v>
      </c>
      <c r="OV70" s="336">
        <v>0</v>
      </c>
      <c r="OW70" s="336">
        <v>0</v>
      </c>
      <c r="OX70" s="336">
        <v>0</v>
      </c>
      <c r="OY70" s="336">
        <v>0</v>
      </c>
      <c r="OZ70" s="336">
        <v>0</v>
      </c>
      <c r="PA70" s="336">
        <v>0</v>
      </c>
      <c r="PB70" s="336">
        <v>-254157612</v>
      </c>
      <c r="PC70" s="336">
        <v>0</v>
      </c>
      <c r="PD70" s="336">
        <v>0</v>
      </c>
      <c r="PE70" s="336">
        <v>21617353</v>
      </c>
      <c r="PF70" s="336">
        <v>-161670744</v>
      </c>
      <c r="PG70" s="336">
        <v>8105875</v>
      </c>
      <c r="PH70" s="336">
        <v>-15026532</v>
      </c>
      <c r="PI70" s="336">
        <v>-45794</v>
      </c>
      <c r="PJ70" s="336">
        <v>30787730</v>
      </c>
      <c r="PK70" s="336">
        <v>136209479</v>
      </c>
      <c r="PL70" s="336">
        <v>0</v>
      </c>
      <c r="PM70" s="336">
        <v>16343169</v>
      </c>
      <c r="PN70" s="336">
        <v>0</v>
      </c>
      <c r="PO70" s="336">
        <v>0</v>
      </c>
      <c r="PP70" s="336">
        <v>0</v>
      </c>
      <c r="PQ70" s="336">
        <v>0</v>
      </c>
      <c r="PR70" s="336">
        <v>0</v>
      </c>
      <c r="PS70" s="336">
        <v>0</v>
      </c>
      <c r="PT70" s="336">
        <v>120651833</v>
      </c>
      <c r="PU70" s="336">
        <v>0</v>
      </c>
      <c r="PV70" s="336">
        <v>0</v>
      </c>
      <c r="PW70" s="336">
        <v>-23741104</v>
      </c>
      <c r="PX70" s="336">
        <v>-126620821</v>
      </c>
      <c r="PY70" s="336">
        <v>-9196974</v>
      </c>
      <c r="PZ70" s="336">
        <v>0</v>
      </c>
      <c r="QA70" s="336">
        <v>0</v>
      </c>
      <c r="QB70" s="336">
        <v>0</v>
      </c>
      <c r="QC70" s="336">
        <v>0</v>
      </c>
      <c r="QD70" s="336">
        <v>0</v>
      </c>
      <c r="QE70" s="336">
        <v>0</v>
      </c>
      <c r="QF70" s="336">
        <v>0</v>
      </c>
      <c r="QG70" s="336">
        <v>9728106</v>
      </c>
      <c r="QH70" s="336">
        <v>677870</v>
      </c>
      <c r="QI70" s="336">
        <v>76221944</v>
      </c>
      <c r="QJ70" s="336">
        <v>39167</v>
      </c>
      <c r="QK70" s="336">
        <v>110285525</v>
      </c>
      <c r="QL70" s="336">
        <v>0</v>
      </c>
      <c r="QM70" s="336">
        <v>0</v>
      </c>
      <c r="QN70" s="336">
        <v>0</v>
      </c>
      <c r="QO70" s="336">
        <v>0</v>
      </c>
      <c r="QP70" s="336">
        <v>0</v>
      </c>
      <c r="QQ70" s="336">
        <v>0</v>
      </c>
      <c r="QR70" s="336">
        <v>76101</v>
      </c>
      <c r="QS70" s="336">
        <v>0</v>
      </c>
      <c r="QT70" s="336">
        <v>22393933</v>
      </c>
      <c r="QU70" s="336">
        <v>0</v>
      </c>
      <c r="QV70" s="336">
        <v>0</v>
      </c>
      <c r="QW70" s="336">
        <v>0</v>
      </c>
      <c r="QX70" s="336">
        <v>0</v>
      </c>
      <c r="QY70" s="336">
        <v>0</v>
      </c>
      <c r="QZ70" s="336">
        <v>0</v>
      </c>
      <c r="RA70" s="336">
        <v>0</v>
      </c>
      <c r="RB70" s="336">
        <v>0</v>
      </c>
      <c r="RC70" s="336">
        <v>0</v>
      </c>
      <c r="RD70" s="336">
        <v>0</v>
      </c>
      <c r="RE70" s="336">
        <v>0</v>
      </c>
      <c r="RF70" s="336">
        <v>0</v>
      </c>
      <c r="RG70" s="336">
        <v>0</v>
      </c>
      <c r="RH70" s="336">
        <v>0</v>
      </c>
      <c r="RI70" s="336">
        <v>0</v>
      </c>
      <c r="RJ70" s="336">
        <v>0</v>
      </c>
      <c r="RK70" s="336">
        <v>0</v>
      </c>
      <c r="RL70" s="336">
        <v>0</v>
      </c>
      <c r="RM70" s="336">
        <v>0</v>
      </c>
      <c r="RN70" s="336">
        <v>0</v>
      </c>
      <c r="RO70" s="336">
        <v>-280476280</v>
      </c>
      <c r="RP70" s="336">
        <v>0</v>
      </c>
      <c r="RQ70" s="336">
        <v>0</v>
      </c>
      <c r="RR70" s="336">
        <v>0</v>
      </c>
      <c r="RS70" s="336">
        <v>0</v>
      </c>
      <c r="RT70" s="336">
        <v>0</v>
      </c>
      <c r="RU70" s="336">
        <v>0</v>
      </c>
      <c r="RV70" s="336">
        <v>0</v>
      </c>
      <c r="RW70" s="336">
        <v>0</v>
      </c>
      <c r="RX70" s="336">
        <v>0</v>
      </c>
      <c r="RY70" s="336">
        <v>0</v>
      </c>
      <c r="RZ70" s="336">
        <v>0</v>
      </c>
      <c r="SA70" s="336">
        <v>0</v>
      </c>
      <c r="SB70" s="336">
        <v>0</v>
      </c>
      <c r="SC70" s="336">
        <v>0</v>
      </c>
      <c r="SD70" s="336">
        <v>0</v>
      </c>
      <c r="SE70" s="336">
        <v>0</v>
      </c>
      <c r="SF70" s="336">
        <v>0</v>
      </c>
      <c r="SG70" s="336">
        <v>0</v>
      </c>
      <c r="SH70" s="336">
        <v>0</v>
      </c>
      <c r="SI70" s="336">
        <v>0</v>
      </c>
      <c r="SJ70" s="336">
        <v>0</v>
      </c>
      <c r="SK70" s="336">
        <v>0</v>
      </c>
      <c r="SL70" s="336">
        <v>0</v>
      </c>
      <c r="SM70" s="336">
        <v>0</v>
      </c>
      <c r="SN70" s="336">
        <v>0</v>
      </c>
      <c r="SO70" s="336">
        <v>0</v>
      </c>
      <c r="SP70" s="336">
        <v>0</v>
      </c>
      <c r="SQ70" s="336">
        <v>0</v>
      </c>
      <c r="SR70" s="336">
        <v>0</v>
      </c>
      <c r="SS70" s="336">
        <v>0</v>
      </c>
      <c r="ST70" s="336">
        <v>0</v>
      </c>
      <c r="SU70" s="336">
        <v>0</v>
      </c>
      <c r="SV70" s="336">
        <v>0</v>
      </c>
      <c r="SW70" s="336">
        <v>0</v>
      </c>
      <c r="SX70" s="336">
        <v>0</v>
      </c>
      <c r="SY70" s="336">
        <v>278619207</v>
      </c>
      <c r="SZ70" s="336" t="s">
        <v>1420</v>
      </c>
      <c r="TA70" s="336" t="s">
        <v>1420</v>
      </c>
      <c r="TB70" s="336" t="s">
        <v>1420</v>
      </c>
      <c r="TC70" s="336">
        <v>1912521</v>
      </c>
      <c r="TD70" s="336">
        <v>18878244</v>
      </c>
      <c r="TE70" s="336">
        <v>27757</v>
      </c>
      <c r="TF70" s="336">
        <v>2631377</v>
      </c>
      <c r="TG70" s="336">
        <v>820327</v>
      </c>
      <c r="TH70" s="336">
        <v>0</v>
      </c>
      <c r="TI70" s="336">
        <v>112981</v>
      </c>
      <c r="TJ70" s="336">
        <v>65526</v>
      </c>
      <c r="TK70" s="336">
        <v>0</v>
      </c>
      <c r="TL70" s="336">
        <v>12862</v>
      </c>
      <c r="TM70" s="336">
        <v>0</v>
      </c>
      <c r="TN70" s="336">
        <v>0</v>
      </c>
      <c r="TO70" s="336">
        <v>4142084</v>
      </c>
      <c r="TP70" s="336">
        <v>0</v>
      </c>
      <c r="TQ70" s="336">
        <v>0</v>
      </c>
      <c r="TR70" s="336">
        <v>0</v>
      </c>
      <c r="TS70" s="336">
        <v>0</v>
      </c>
      <c r="TT70" s="336">
        <v>0</v>
      </c>
      <c r="TU70" s="336">
        <v>0</v>
      </c>
      <c r="TV70" s="336">
        <v>0</v>
      </c>
      <c r="TW70" s="336">
        <v>0</v>
      </c>
      <c r="TX70" s="336">
        <v>1565071</v>
      </c>
      <c r="TY70" s="336">
        <v>0</v>
      </c>
      <c r="TZ70" s="336">
        <v>0</v>
      </c>
      <c r="UA70" s="336">
        <v>0</v>
      </c>
      <c r="UB70" s="336">
        <v>0</v>
      </c>
      <c r="UC70" s="336">
        <v>0</v>
      </c>
      <c r="UD70" s="336">
        <v>0</v>
      </c>
      <c r="UE70" s="336">
        <v>0</v>
      </c>
      <c r="UF70" s="336">
        <v>7729451177</v>
      </c>
      <c r="UG70" s="336">
        <v>5134909975</v>
      </c>
      <c r="UH70" s="336">
        <v>1479933804</v>
      </c>
      <c r="UI70" s="336">
        <v>590376280</v>
      </c>
      <c r="UJ70" s="336">
        <v>23198939</v>
      </c>
      <c r="UK70" s="336">
        <v>2517502969</v>
      </c>
      <c r="UL70" s="336">
        <v>103859386</v>
      </c>
      <c r="UM70" s="336">
        <v>2391610</v>
      </c>
      <c r="UN70" s="336">
        <v>124919638</v>
      </c>
      <c r="UO70" s="336">
        <v>112914451</v>
      </c>
      <c r="UP70" s="336">
        <v>7556484</v>
      </c>
      <c r="UQ70" s="336">
        <v>40636748</v>
      </c>
      <c r="UR70"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24461595</v>
      </c>
      <c r="US70" s="338">
        <f>SUM(Input[[#This Row],[Oth Exp E&amp;G]],Input[[#This Row],[Oth Exp Desg]],Input[[#This Row],[Oth Exp Aux]],Input[[#This Row],[Oth Exp R Exp]],Input[[#This Row],[Oth Exp Loan]],Input[[#This Row],[Oth Exp Annuity]],Input[[#This Row],[Oth Exp Unexp]],Input[[#This Row],[Oth Exp R of Ind]],Input[[#This Row],[Oth Exp Inv in P]])</f>
        <v>4330176</v>
      </c>
      <c r="UT70" s="336">
        <v>0</v>
      </c>
      <c r="UU70" s="336">
        <v>0</v>
      </c>
      <c r="UV70" s="339" t="s">
        <v>1517</v>
      </c>
      <c r="UW70" s="340">
        <v>0</v>
      </c>
      <c r="UX70" s="339" t="s">
        <v>1791</v>
      </c>
      <c r="UY70" s="339" t="s">
        <v>1518</v>
      </c>
      <c r="UZ70" s="340"/>
      <c r="VA70" s="339" t="s">
        <v>1792</v>
      </c>
      <c r="VB70" s="341" cm="1">
        <f t="array" ref="VB70">IFERROR(_xlfn.IFS(Input[[#This Row],[Type]]="HRI",VLOOKUP(Input[[#This Row],[Institution Name]],FTSEHRI[],9,FALSE),Input[[#This Row],[Type]]="UNIV",VLOOKUP(Input[[#This Row],[Institution Name]],FTSEUNIV[],9,FALSE),OR(Input[[#This Row],[Type]]="TSTC",Input[[#This Row],[Type]]="LSC"),VLOOKUP(Input[[#This Row],[Institution Name]],FTSETSTC[],8,FALSE)),"N/A")</f>
        <v>2513.2399999999998</v>
      </c>
      <c r="VC70" s="342" t="str" cm="1">
        <f t="array" ref="VC70">IFERROR(_xlfn.IFS(Input[[#This Row],[Type]]="HRI",VLOOKUP(Input[[#This Row],[Institution Name]],FTSEHRI[],11,FALSE),Input[[#This Row],[Type]]="UNIV",VLOOKUP(Input[[#This Row],[Institution Name]],FTSEUNIV[],11,FALSE),Input[[#This Row],[Type]]="TSTC",VLOOKUP(Input[[#This Row],[Institution Name]],FTSETSTC[],10,FALSE)),"N/A")</f>
        <v>N/A</v>
      </c>
      <c r="VD70"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276420065</v>
      </c>
      <c r="VE70"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70" s="338">
        <f>SUM(Input[[#This Row],[Fed G&amp;C E&amp;G]],Input[[#This Row],[Fed G&amp;C Desg]],Input[[#This Row],[Fed G&amp;C R Exp]],Input[[#This Row],[Fed G&amp;C Loan]],Input[[#This Row],[Fed G&amp;C Annuity]],Input[[#This Row],[Fed G&amp;C Unexp]],Input[[#This Row],[Fed G&amp;C R of Ind]],Input[[#This Row],[Fed G&amp;C Inv in P]])</f>
        <v>368062155</v>
      </c>
      <c r="VG70"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1264484397</v>
      </c>
      <c r="VH70"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27557478</v>
      </c>
      <c r="VI70"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980940</v>
      </c>
      <c r="VJ70" s="338">
        <f>SUM(Input[[#This Row],[Oth Inc E&amp;G]],Input[[#This Row],[Oth Exp Desg]],Input[[#This Row],[Oth Exp R Exp]],Input[[#This Row],[Oth Exp Loan]],Input[[#This Row],[Oth Exp Annuity]],Input[[#This Row],[Oth Exp Unexp]],Input[[#This Row],[Oth Exp R of Ind]],Input[[#This Row],[Oth Exp Inv in P]])</f>
        <v>4430683</v>
      </c>
      <c r="VK70" s="343">
        <f>SUM(Input[[#This Row],[Instr E&amp;G]],Input[[#This Row],[Instr Desg]],Input[[#This Row],[Instr R Exp]],Input[[#This Row],[Instr Loan]],Input[[#This Row],[Instr Annuity]],Input[[#This Row],[Instr Unexp]],Input[[#This Row],[Instr R of Ind]],Input[[#This Row],[Instr Inv in P]])</f>
        <v>1479933804</v>
      </c>
      <c r="VL70" s="343">
        <f>SUM(Input[[#This Row],[Res E&amp;G]],Input[[#This Row],[Res Desg]],Input[[#This Row],[Res R Exp]],Input[[#This Row],[Res Loan]],Input[[#This Row],[Res Annuity]],Input[[#This Row],[Res Unexp]],Input[[#This Row],[Res R of Ind]],Input[[#This Row],[Res Inv in P]])</f>
        <v>590376280</v>
      </c>
      <c r="VM70" s="343">
        <f>SUM(Input[[#This Row],[Acad Sup E&amp;G]],Input[[#This Row],[Acad Sup Desg]],Input[[#This Row],[Acad Sup R Exp]],Input[[#This Row],[Acad Sup Loan]],Input[[#This Row],[Acad Sup Annuity]],Input[[#This Row],[Acad Sup Unexp]],Input[[#This Row],[Acad Sup R of Ind]],Input[[#This Row],[Acad Sup Inv in P]])</f>
        <v>103859386</v>
      </c>
      <c r="VN70" s="343">
        <f>SUM(Input[[#This Row],[Stu Svc E&amp;G]],Input[[#This Row],[Stu Svc Desg]],Input[[#This Row],[Stu Svc R Exp]],Input[[#This Row],[Stu Svc Loan]],Input[[#This Row],[Stu Svc Annuity]],Input[[#This Row],[Stu Svc Unexp]],Input[[#This Row],[Stu Svc R of Ind]],Input[[#This Row],[Stu Svc Inv in P]])</f>
        <v>2391610</v>
      </c>
      <c r="VO70" s="343">
        <f>SUM(Input[[#This Row],[Inst. Spt E&amp;G]],Input[[#This Row],[Inst. Spt Desg]],Input[[#This Row],[Inst. Spt R Exp]],Input[[#This Row],[Inst. Spt Loan]],Input[[#This Row],[Inst. Spt Annuity]],Input[[#This Row],[Inst. Spt Unexp]],Input[[#This Row],[Inst. Spt R of Ind]],Input[[#This Row],[Inst. Spt Inv in P]])</f>
        <v>124919638</v>
      </c>
      <c r="VP70" s="343">
        <f>SUM(Input[[#This Row],[M&amp;O Plnt E&amp;G]],Input[[#This Row],[M&amp;O Plnt Desg]],Input[[#This Row],[M&amp;O Plnt R Exp]],Input[[#This Row],[M&amp;O Plnt Loan]],Input[[#This Row],[M&amp;O Plnt Annuity]],Input[[#This Row],[M&amp;O Plnt Unexp]],Input[[#This Row],[M&amp;O Plnt R of Ind]],Input[[#This Row],[M&amp;O Plnt Inv in P]])</f>
        <v>112914451</v>
      </c>
      <c r="VQ70" s="343">
        <f>SUM(Input[[#This Row],[Schl &amp; Fell E&amp;G]],Input[[#This Row],[Schl &amp; Fell Desg]],Input[[#This Row],[Schl &amp; Fell R Exp]],Input[[#This Row],[Schl &amp; Fell Loan]],Input[[#This Row],[Schl &amp; Fell Annuity]],Input[[#This Row],[Schl &amp; Fell Unexp]],Input[[#This Row],[Schl &amp; Fell R of Ind]],Input[[#This Row],[Schl &amp; Fell Inv in P]])</f>
        <v>7556484</v>
      </c>
      <c r="VR70" s="343">
        <f>SUM(Input[[#This Row],[Cap Out fund E&amp;G]],Input[[#This Row],[Cap Out fund Desg]],Input[[#This Row],[Cap Out fund R Exp]],Input[[#This Row],[Cap Out fund Loan]],Input[[#This Row],[Cap Out fund Annuity]],Input[[#This Row],[Cap Out fund Unexp]],Input[[#This Row],[Cap Out fund R of Ind]],Input[[#This Row],[Cap Out fund Inv in P]])</f>
        <v>24448733</v>
      </c>
      <c r="VS70" s="343">
        <f>SUM(Input[[#This Row],[Oth Exp E&amp;G]],Input[[#This Row],[Oth Exp Desg]],Input[[#This Row],[Oth Exp R Exp]],Input[[#This Row],[Oth Exp Loan]],Input[[#This Row],[Oth Exp Annuity]],Input[[#This Row],[Oth Exp Unexp]],Input[[#This Row],[Oth Exp R of Ind]],Input[[#This Row],[Oth Exp Inv in P]],Input[[#This Row],[Oth Exp Inv in P]])</f>
        <v>7760352</v>
      </c>
    </row>
    <row r="71" spans="1:591" s="344" customFormat="1" ht="27" customHeight="1" x14ac:dyDescent="0.55000000000000004">
      <c r="A71" s="339" t="s">
        <v>713</v>
      </c>
      <c r="B71" s="334" t="s">
        <v>829</v>
      </c>
      <c r="C71" s="334" t="s">
        <v>1624</v>
      </c>
      <c r="D71" s="334" t="s">
        <v>714</v>
      </c>
      <c r="E71" s="334" t="s">
        <v>1622</v>
      </c>
      <c r="F71" s="335">
        <v>3655</v>
      </c>
      <c r="G71" s="336">
        <v>31027380</v>
      </c>
      <c r="H71" s="336">
        <v>0</v>
      </c>
      <c r="I71" s="336">
        <v>0</v>
      </c>
      <c r="J71" s="336">
        <v>0</v>
      </c>
      <c r="K71" s="336">
        <v>0</v>
      </c>
      <c r="L71" s="336">
        <v>0</v>
      </c>
      <c r="M71" s="336">
        <v>0</v>
      </c>
      <c r="N71" s="336">
        <v>0</v>
      </c>
      <c r="O71" s="336">
        <v>0</v>
      </c>
      <c r="P71" s="336">
        <v>0</v>
      </c>
      <c r="Q71" s="336">
        <v>0</v>
      </c>
      <c r="R71" s="336">
        <v>0</v>
      </c>
      <c r="S71" s="336">
        <v>0</v>
      </c>
      <c r="T71" s="336">
        <v>0</v>
      </c>
      <c r="U71" s="336">
        <v>0</v>
      </c>
      <c r="V71" s="336">
        <v>0</v>
      </c>
      <c r="W71" s="336">
        <v>0</v>
      </c>
      <c r="X71" s="336">
        <v>0</v>
      </c>
      <c r="Y71" s="336">
        <v>0</v>
      </c>
      <c r="Z71" s="336">
        <v>0</v>
      </c>
      <c r="AA71" s="336">
        <v>0</v>
      </c>
      <c r="AB71" s="336">
        <v>0</v>
      </c>
      <c r="AC71" s="336">
        <v>0</v>
      </c>
      <c r="AD71" s="336">
        <v>0</v>
      </c>
      <c r="AE71" s="336">
        <v>0</v>
      </c>
      <c r="AF71" s="336">
        <v>0</v>
      </c>
      <c r="AG71" s="336">
        <v>0</v>
      </c>
      <c r="AH71" s="336">
        <v>197234333</v>
      </c>
      <c r="AI71" s="336">
        <v>0</v>
      </c>
      <c r="AJ71" s="336">
        <v>0</v>
      </c>
      <c r="AK71" s="336">
        <v>0</v>
      </c>
      <c r="AL71" s="336">
        <v>0</v>
      </c>
      <c r="AM71" s="336">
        <v>0</v>
      </c>
      <c r="AN71" s="336">
        <v>0</v>
      </c>
      <c r="AO71" s="336">
        <v>0</v>
      </c>
      <c r="AP71" s="336">
        <v>0</v>
      </c>
      <c r="AQ71" s="336">
        <v>0</v>
      </c>
      <c r="AR71" s="336">
        <v>0</v>
      </c>
      <c r="AS71" s="336">
        <v>0</v>
      </c>
      <c r="AT71" s="336">
        <v>0</v>
      </c>
      <c r="AU71" s="336">
        <v>0</v>
      </c>
      <c r="AV71" s="336">
        <v>0</v>
      </c>
      <c r="AW71" s="336">
        <v>0</v>
      </c>
      <c r="AX71" s="336">
        <v>0</v>
      </c>
      <c r="AY71" s="336">
        <v>0</v>
      </c>
      <c r="AZ71" s="336">
        <v>0</v>
      </c>
      <c r="BA71" s="336">
        <v>0</v>
      </c>
      <c r="BB71" s="336">
        <v>0</v>
      </c>
      <c r="BC71" s="336">
        <v>0</v>
      </c>
      <c r="BD71" s="336">
        <v>0</v>
      </c>
      <c r="BE71" s="336">
        <v>0</v>
      </c>
      <c r="BF71" s="336">
        <v>0</v>
      </c>
      <c r="BG71" s="336">
        <v>0</v>
      </c>
      <c r="BH71" s="336">
        <v>0</v>
      </c>
      <c r="BI71" s="336">
        <v>0</v>
      </c>
      <c r="BJ71" s="336">
        <v>0</v>
      </c>
      <c r="BK71" s="336">
        <v>0</v>
      </c>
      <c r="BL71" s="336">
        <v>0</v>
      </c>
      <c r="BM71" s="336">
        <v>0</v>
      </c>
      <c r="BN71" s="336">
        <v>0</v>
      </c>
      <c r="BO71" s="336">
        <v>0</v>
      </c>
      <c r="BP71" s="336">
        <v>0</v>
      </c>
      <c r="BQ71" s="336">
        <v>0</v>
      </c>
      <c r="BR71" s="336">
        <v>0</v>
      </c>
      <c r="BS71" s="336">
        <v>0</v>
      </c>
      <c r="BT71" s="336">
        <v>0</v>
      </c>
      <c r="BU71" s="336">
        <v>0</v>
      </c>
      <c r="BV71" s="336">
        <v>0</v>
      </c>
      <c r="BW71" s="336">
        <v>0</v>
      </c>
      <c r="BX71" s="336">
        <v>0</v>
      </c>
      <c r="BY71" s="336">
        <v>0</v>
      </c>
      <c r="BZ71" s="336">
        <v>0</v>
      </c>
      <c r="CA71" s="336">
        <v>0</v>
      </c>
      <c r="CB71" s="336">
        <v>0</v>
      </c>
      <c r="CC71" s="336">
        <v>0</v>
      </c>
      <c r="CD71" s="336">
        <v>0</v>
      </c>
      <c r="CE71" s="336">
        <v>0</v>
      </c>
      <c r="CF71" s="336">
        <v>0</v>
      </c>
      <c r="CG71" s="336">
        <v>0</v>
      </c>
      <c r="CH71" s="336">
        <v>0</v>
      </c>
      <c r="CI71" s="336">
        <v>0</v>
      </c>
      <c r="CJ71" s="336">
        <v>0</v>
      </c>
      <c r="CK71" s="336">
        <v>0</v>
      </c>
      <c r="CL71" s="336">
        <v>0</v>
      </c>
      <c r="CM71" s="336">
        <v>0</v>
      </c>
      <c r="CN71" s="336">
        <v>0</v>
      </c>
      <c r="CO71" s="336">
        <v>0</v>
      </c>
      <c r="CP71" s="336">
        <v>0</v>
      </c>
      <c r="CQ71" s="336">
        <v>0</v>
      </c>
      <c r="CR71" s="336">
        <v>0</v>
      </c>
      <c r="CS71" s="336">
        <v>0</v>
      </c>
      <c r="CT71" s="336">
        <v>0</v>
      </c>
      <c r="CU71" s="336">
        <v>0</v>
      </c>
      <c r="CV71" s="336">
        <v>0</v>
      </c>
      <c r="CW71" s="336">
        <v>0</v>
      </c>
      <c r="CX71" s="336">
        <v>0</v>
      </c>
      <c r="CY71" s="336">
        <v>0</v>
      </c>
      <c r="CZ71" s="336">
        <v>0</v>
      </c>
      <c r="DA71" s="336">
        <v>0</v>
      </c>
      <c r="DB71" s="336">
        <v>0</v>
      </c>
      <c r="DC71" s="336">
        <v>0</v>
      </c>
      <c r="DD71" s="336">
        <v>0</v>
      </c>
      <c r="DE71" s="336">
        <v>0</v>
      </c>
      <c r="DF71" s="336">
        <v>0</v>
      </c>
      <c r="DG71" s="336">
        <v>0</v>
      </c>
      <c r="DH71" s="336">
        <v>0</v>
      </c>
      <c r="DI71" s="336">
        <v>0</v>
      </c>
      <c r="DJ71" s="336">
        <v>0</v>
      </c>
      <c r="DK71" s="336">
        <v>0</v>
      </c>
      <c r="DL71" s="336">
        <v>0</v>
      </c>
      <c r="DM71" s="336">
        <v>0</v>
      </c>
      <c r="DN71" s="336">
        <v>0</v>
      </c>
      <c r="DO71" s="336">
        <v>0</v>
      </c>
      <c r="DP71" s="336">
        <v>0</v>
      </c>
      <c r="DQ71" s="336">
        <v>0</v>
      </c>
      <c r="DR71" s="336">
        <v>0</v>
      </c>
      <c r="DS71" s="336">
        <v>0</v>
      </c>
      <c r="DT71" s="336">
        <v>0</v>
      </c>
      <c r="DU71" s="336">
        <v>0</v>
      </c>
      <c r="DV71" s="336">
        <v>0</v>
      </c>
      <c r="DW71" s="336">
        <v>0</v>
      </c>
      <c r="DX71" s="336">
        <v>0</v>
      </c>
      <c r="DY71" s="336">
        <v>0</v>
      </c>
      <c r="DZ71" s="336">
        <v>0</v>
      </c>
      <c r="EA71" s="336">
        <v>0</v>
      </c>
      <c r="EB71" s="336">
        <v>0</v>
      </c>
      <c r="EC71" s="336">
        <v>0</v>
      </c>
      <c r="ED71" s="336">
        <v>0</v>
      </c>
      <c r="EE71" s="336">
        <v>0</v>
      </c>
      <c r="EF71" s="336">
        <v>0</v>
      </c>
      <c r="EG71" s="336">
        <v>0</v>
      </c>
      <c r="EH71" s="336">
        <v>0</v>
      </c>
      <c r="EI71" s="336">
        <v>0</v>
      </c>
      <c r="EJ71" s="336">
        <v>0</v>
      </c>
      <c r="EK71" s="336">
        <v>0</v>
      </c>
      <c r="EL71" s="336">
        <v>0</v>
      </c>
      <c r="EM71" s="336">
        <v>0</v>
      </c>
      <c r="EN71" s="336">
        <v>0</v>
      </c>
      <c r="EO71" s="336">
        <v>0</v>
      </c>
      <c r="EP71" s="336">
        <v>0</v>
      </c>
      <c r="EQ71" s="336">
        <v>0</v>
      </c>
      <c r="ER71" s="336">
        <v>0</v>
      </c>
      <c r="ES71" s="336">
        <v>0</v>
      </c>
      <c r="ET71" s="336">
        <v>0</v>
      </c>
      <c r="EU71" s="336">
        <v>0</v>
      </c>
      <c r="EV71" s="336">
        <v>0</v>
      </c>
      <c r="EW71" s="336">
        <v>0</v>
      </c>
      <c r="EX71" s="336">
        <v>0</v>
      </c>
      <c r="EY71" s="336">
        <v>0</v>
      </c>
      <c r="EZ71" s="336">
        <v>0</v>
      </c>
      <c r="FA71" s="336">
        <v>0</v>
      </c>
      <c r="FB71" s="336">
        <v>0</v>
      </c>
      <c r="FC71" s="336">
        <v>0</v>
      </c>
      <c r="FD71" s="336">
        <v>0</v>
      </c>
      <c r="FE71" s="336">
        <v>0</v>
      </c>
      <c r="FF71" s="336">
        <v>0</v>
      </c>
      <c r="FG71" s="336">
        <v>0</v>
      </c>
      <c r="FH71" s="336">
        <v>0</v>
      </c>
      <c r="FI71" s="336">
        <v>0</v>
      </c>
      <c r="FJ71" s="336">
        <v>0</v>
      </c>
      <c r="FK71" s="336">
        <v>0</v>
      </c>
      <c r="FL71" s="336">
        <v>0</v>
      </c>
      <c r="FM71" s="336">
        <v>0</v>
      </c>
      <c r="FN71" s="336">
        <v>0</v>
      </c>
      <c r="FO71" s="336">
        <v>0</v>
      </c>
      <c r="FP71" s="336">
        <v>0</v>
      </c>
      <c r="FQ71" s="336">
        <v>0</v>
      </c>
      <c r="FR71" s="336">
        <v>0</v>
      </c>
      <c r="FS71" s="336">
        <v>0</v>
      </c>
      <c r="FT71" s="336">
        <v>0</v>
      </c>
      <c r="FU71" s="336">
        <v>0</v>
      </c>
      <c r="FV71" s="336">
        <v>0</v>
      </c>
      <c r="FW71" s="336">
        <v>0</v>
      </c>
      <c r="FX71" s="336">
        <v>0</v>
      </c>
      <c r="FY71" s="336">
        <v>0</v>
      </c>
      <c r="FZ71" s="336">
        <v>0</v>
      </c>
      <c r="GA71" s="336">
        <v>0</v>
      </c>
      <c r="GB71" s="336">
        <v>0</v>
      </c>
      <c r="GC71" s="336">
        <v>0</v>
      </c>
      <c r="GD71" s="336">
        <v>0</v>
      </c>
      <c r="GE71" s="336">
        <v>0</v>
      </c>
      <c r="GF71" s="336">
        <v>0</v>
      </c>
      <c r="GG71" s="336">
        <v>0</v>
      </c>
      <c r="GH71" s="336">
        <v>0</v>
      </c>
      <c r="GI71" s="336">
        <v>0</v>
      </c>
      <c r="GJ71" s="336">
        <v>0</v>
      </c>
      <c r="GK71" s="336">
        <v>0</v>
      </c>
      <c r="GL71" s="336">
        <v>0</v>
      </c>
      <c r="GM71" s="336">
        <v>0</v>
      </c>
      <c r="GN71" s="336">
        <v>0</v>
      </c>
      <c r="GO71" s="336">
        <v>0</v>
      </c>
      <c r="GP71" s="336">
        <v>0</v>
      </c>
      <c r="GQ71" s="336">
        <v>0</v>
      </c>
      <c r="GR71" s="336">
        <v>0</v>
      </c>
      <c r="GS71" s="336">
        <v>0</v>
      </c>
      <c r="GT71" s="336">
        <v>0</v>
      </c>
      <c r="GU71" s="336">
        <v>0</v>
      </c>
      <c r="GV71" s="336">
        <v>0</v>
      </c>
      <c r="GW71" s="336">
        <v>0</v>
      </c>
      <c r="GX71" s="336">
        <v>0</v>
      </c>
      <c r="GY71" s="336">
        <v>0</v>
      </c>
      <c r="GZ71" s="336">
        <v>0</v>
      </c>
      <c r="HA71" s="336">
        <v>0</v>
      </c>
      <c r="HB71" s="336">
        <v>0</v>
      </c>
      <c r="HC71" s="336">
        <v>0</v>
      </c>
      <c r="HD71" s="336">
        <v>0</v>
      </c>
      <c r="HE71" s="336">
        <v>0</v>
      </c>
      <c r="HF71" s="336">
        <v>0</v>
      </c>
      <c r="HG71" s="336">
        <v>0</v>
      </c>
      <c r="HH71" s="336">
        <v>0</v>
      </c>
      <c r="HI71" s="336">
        <v>0</v>
      </c>
      <c r="HJ71" s="336">
        <v>0</v>
      </c>
      <c r="HK71" s="336">
        <v>0</v>
      </c>
      <c r="HL71" s="336">
        <v>0</v>
      </c>
      <c r="HM71" s="336">
        <v>0</v>
      </c>
      <c r="HN71" s="336">
        <v>0</v>
      </c>
      <c r="HO71" s="336">
        <v>0</v>
      </c>
      <c r="HP71" s="336">
        <v>4413899</v>
      </c>
      <c r="HQ71" s="336">
        <v>0</v>
      </c>
      <c r="HR71" s="336">
        <v>43486682</v>
      </c>
      <c r="HS71" s="336">
        <v>0</v>
      </c>
      <c r="HT71" s="336">
        <v>0</v>
      </c>
      <c r="HU71" s="336">
        <v>14141726</v>
      </c>
      <c r="HV71" s="336">
        <v>0</v>
      </c>
      <c r="HW71" s="336">
        <v>0</v>
      </c>
      <c r="HX71" s="336">
        <v>0</v>
      </c>
      <c r="HY71" s="336">
        <v>0</v>
      </c>
      <c r="HZ71" s="336">
        <v>0</v>
      </c>
      <c r="IA71" s="336">
        <v>0</v>
      </c>
      <c r="IB71" s="336">
        <v>0</v>
      </c>
      <c r="IC71" s="336">
        <v>0</v>
      </c>
      <c r="ID71" s="336">
        <v>0</v>
      </c>
      <c r="IE71" s="336">
        <v>0</v>
      </c>
      <c r="IF71" s="336">
        <v>0</v>
      </c>
      <c r="IG71" s="336">
        <v>0</v>
      </c>
      <c r="IH71" s="336">
        <v>0</v>
      </c>
      <c r="II71" s="336">
        <v>0</v>
      </c>
      <c r="IJ71" s="336">
        <v>0</v>
      </c>
      <c r="IK71" s="336">
        <v>0</v>
      </c>
      <c r="IL71" s="336">
        <v>0</v>
      </c>
      <c r="IM71" s="336">
        <v>0</v>
      </c>
      <c r="IN71" s="336">
        <v>0</v>
      </c>
      <c r="IO71" s="336">
        <v>0</v>
      </c>
      <c r="IP71" s="336">
        <v>-1276463</v>
      </c>
      <c r="IQ71" s="336">
        <v>213875539</v>
      </c>
      <c r="IR71" s="336">
        <v>0</v>
      </c>
      <c r="IS71" s="336">
        <v>1899716</v>
      </c>
      <c r="IT71" s="336">
        <v>0</v>
      </c>
      <c r="IU71" s="336">
        <v>4365275443</v>
      </c>
      <c r="IV71" s="336">
        <v>177377071</v>
      </c>
      <c r="IW71" s="336">
        <v>7374861</v>
      </c>
      <c r="IX71" s="336">
        <v>0</v>
      </c>
      <c r="IY71" s="336">
        <v>0</v>
      </c>
      <c r="IZ71" s="336">
        <v>11696794</v>
      </c>
      <c r="JA71" s="336">
        <v>0</v>
      </c>
      <c r="JB71" s="336">
        <v>365220</v>
      </c>
      <c r="JC71" s="336">
        <v>0</v>
      </c>
      <c r="JD71" s="336">
        <v>0</v>
      </c>
      <c r="JE71" s="336">
        <v>0</v>
      </c>
      <c r="JF71" s="336">
        <v>0</v>
      </c>
      <c r="JG71" s="336">
        <v>0</v>
      </c>
      <c r="JH71" s="336">
        <v>0</v>
      </c>
      <c r="JI71" s="336">
        <v>0</v>
      </c>
      <c r="JJ71" s="336">
        <v>0</v>
      </c>
      <c r="JK71" s="336">
        <v>1238131</v>
      </c>
      <c r="JL71" s="336">
        <v>0</v>
      </c>
      <c r="JM71" s="336">
        <v>0</v>
      </c>
      <c r="JN71" s="336">
        <v>0</v>
      </c>
      <c r="JO71" s="336">
        <v>0</v>
      </c>
      <c r="JP71" s="336">
        <v>0</v>
      </c>
      <c r="JQ71" s="336">
        <v>0</v>
      </c>
      <c r="JR71" s="336">
        <v>66316182</v>
      </c>
      <c r="JS71" s="336">
        <v>0</v>
      </c>
      <c r="JT71" s="336">
        <v>-43270</v>
      </c>
      <c r="JU71" s="336">
        <v>0</v>
      </c>
      <c r="JV71" s="336">
        <v>0</v>
      </c>
      <c r="JW71" s="336">
        <v>0</v>
      </c>
      <c r="JX71" s="336">
        <v>0</v>
      </c>
      <c r="JY71" s="336">
        <v>0</v>
      </c>
      <c r="JZ71" s="336">
        <v>0</v>
      </c>
      <c r="KA71" s="336">
        <v>0</v>
      </c>
      <c r="KB71" s="336">
        <v>0</v>
      </c>
      <c r="KC71" s="336">
        <v>0</v>
      </c>
      <c r="KD71" s="336">
        <v>0</v>
      </c>
      <c r="KE71" s="336">
        <v>0</v>
      </c>
      <c r="KF71" s="336">
        <v>0</v>
      </c>
      <c r="KG71" s="336">
        <v>0</v>
      </c>
      <c r="KH71" s="336">
        <v>0</v>
      </c>
      <c r="KI71" s="336">
        <v>-26202</v>
      </c>
      <c r="KJ71" s="336">
        <v>233756715</v>
      </c>
      <c r="KK71" s="336">
        <v>0</v>
      </c>
      <c r="KL71" s="336">
        <v>38362</v>
      </c>
      <c r="KM71" s="336">
        <v>0</v>
      </c>
      <c r="KN71" s="336">
        <v>0</v>
      </c>
      <c r="KO71" s="336">
        <v>0</v>
      </c>
      <c r="KP71" s="336">
        <v>0</v>
      </c>
      <c r="KQ71" s="336">
        <v>0</v>
      </c>
      <c r="KR71" s="336">
        <v>0</v>
      </c>
      <c r="KS71" s="336">
        <v>0</v>
      </c>
      <c r="KT71" s="336">
        <v>0</v>
      </c>
      <c r="KU71" s="336">
        <v>0</v>
      </c>
      <c r="KV71" s="336">
        <v>0</v>
      </c>
      <c r="KW71" s="336">
        <v>0</v>
      </c>
      <c r="KX71" s="336">
        <v>0</v>
      </c>
      <c r="KY71" s="336">
        <v>0</v>
      </c>
      <c r="KZ71" s="336">
        <v>0</v>
      </c>
      <c r="LA71" s="336">
        <v>0</v>
      </c>
      <c r="LB71" s="336">
        <v>0</v>
      </c>
      <c r="LC71" s="336">
        <v>0</v>
      </c>
      <c r="LD71" s="336">
        <v>0</v>
      </c>
      <c r="LE71" s="336">
        <v>0</v>
      </c>
      <c r="LF71" s="336">
        <v>0</v>
      </c>
      <c r="LG71" s="336">
        <v>0</v>
      </c>
      <c r="LH71" s="336">
        <v>0</v>
      </c>
      <c r="LI71" s="336">
        <v>0</v>
      </c>
      <c r="LJ71" s="336">
        <v>3507839</v>
      </c>
      <c r="LK71" s="336">
        <v>512741</v>
      </c>
      <c r="LL71" s="336">
        <v>0</v>
      </c>
      <c r="LM71" s="336">
        <v>816330</v>
      </c>
      <c r="LN71" s="336">
        <v>0</v>
      </c>
      <c r="LO71" s="336">
        <v>0</v>
      </c>
      <c r="LP71" s="336">
        <v>0</v>
      </c>
      <c r="LQ71" s="336">
        <v>0</v>
      </c>
      <c r="LR71" s="336">
        <v>0</v>
      </c>
      <c r="LS71" s="336">
        <v>0</v>
      </c>
      <c r="LT71" s="336">
        <v>0</v>
      </c>
      <c r="LU71" s="336">
        <v>0</v>
      </c>
      <c r="LV71" s="336">
        <v>0</v>
      </c>
      <c r="LW71" s="336">
        <v>0</v>
      </c>
      <c r="LX71" s="336">
        <v>0</v>
      </c>
      <c r="LY71" s="336">
        <v>0</v>
      </c>
      <c r="LZ71" s="336">
        <v>0</v>
      </c>
      <c r="MA71" s="336">
        <v>0</v>
      </c>
      <c r="MB71" s="336">
        <v>15571293</v>
      </c>
      <c r="MC71" s="336">
        <v>-82993</v>
      </c>
      <c r="MD71" s="336">
        <v>0</v>
      </c>
      <c r="ME71" s="336">
        <v>383626</v>
      </c>
      <c r="MF71" s="336">
        <v>0</v>
      </c>
      <c r="MG71" s="336">
        <v>0</v>
      </c>
      <c r="MH71" s="336">
        <v>0</v>
      </c>
      <c r="MI71" s="336">
        <v>0</v>
      </c>
      <c r="MJ71" s="336">
        <v>0</v>
      </c>
      <c r="MK71" s="336">
        <v>0</v>
      </c>
      <c r="ML71" s="336">
        <v>0</v>
      </c>
      <c r="MM71" s="336">
        <v>0</v>
      </c>
      <c r="MN71" s="336">
        <v>0</v>
      </c>
      <c r="MO71" s="336">
        <v>0</v>
      </c>
      <c r="MP71" s="336">
        <v>0</v>
      </c>
      <c r="MQ71" s="336">
        <v>0</v>
      </c>
      <c r="MR71" s="336">
        <v>0</v>
      </c>
      <c r="MS71" s="336">
        <v>0</v>
      </c>
      <c r="MT71" s="336">
        <v>115266472</v>
      </c>
      <c r="MU71" s="336">
        <v>792593781</v>
      </c>
      <c r="MV71" s="336">
        <v>0</v>
      </c>
      <c r="MW71" s="336">
        <v>44779064</v>
      </c>
      <c r="MX71" s="336">
        <v>0</v>
      </c>
      <c r="MY71" s="336">
        <v>0</v>
      </c>
      <c r="MZ71" s="336">
        <v>64593</v>
      </c>
      <c r="NA71" s="336">
        <v>0</v>
      </c>
      <c r="NB71" s="336">
        <v>0</v>
      </c>
      <c r="NC71" s="336">
        <v>0</v>
      </c>
      <c r="ND71" s="336">
        <v>0</v>
      </c>
      <c r="NE71" s="336">
        <v>0</v>
      </c>
      <c r="NF71" s="336">
        <v>0</v>
      </c>
      <c r="NG71" s="336">
        <v>0</v>
      </c>
      <c r="NH71" s="336">
        <v>0</v>
      </c>
      <c r="NI71" s="336">
        <v>3504818</v>
      </c>
      <c r="NJ71" s="336">
        <v>0</v>
      </c>
      <c r="NK71" s="336">
        <v>0</v>
      </c>
      <c r="NL71" s="336">
        <v>0</v>
      </c>
      <c r="NM71" s="336">
        <v>1590500</v>
      </c>
      <c r="NN71" s="336">
        <v>0</v>
      </c>
      <c r="NO71" s="336">
        <v>310177</v>
      </c>
      <c r="NP71" s="336">
        <v>0</v>
      </c>
      <c r="NQ71" s="336">
        <v>0</v>
      </c>
      <c r="NR71" s="336">
        <v>0</v>
      </c>
      <c r="NS71" s="336">
        <v>0</v>
      </c>
      <c r="NT71" s="336">
        <v>0</v>
      </c>
      <c r="NU71" s="336">
        <v>0</v>
      </c>
      <c r="NV71" s="336">
        <v>0</v>
      </c>
      <c r="NW71" s="336">
        <v>0</v>
      </c>
      <c r="NX71" s="336">
        <v>0</v>
      </c>
      <c r="NY71" s="336">
        <v>0</v>
      </c>
      <c r="NZ71" s="336">
        <v>0</v>
      </c>
      <c r="OA71" s="336">
        <v>0</v>
      </c>
      <c r="OB71" s="336">
        <v>0</v>
      </c>
      <c r="OC71" s="336">
        <v>0</v>
      </c>
      <c r="OD71" s="336">
        <v>0</v>
      </c>
      <c r="OE71" s="336">
        <v>0</v>
      </c>
      <c r="OF71" s="336">
        <v>0</v>
      </c>
      <c r="OG71" s="336">
        <v>0</v>
      </c>
      <c r="OH71" s="336">
        <v>0</v>
      </c>
      <c r="OI71" s="336">
        <v>0</v>
      </c>
      <c r="OJ71" s="336">
        <v>0</v>
      </c>
      <c r="OK71" s="336">
        <v>0</v>
      </c>
      <c r="OL71" s="336">
        <v>0</v>
      </c>
      <c r="OM71" s="336">
        <v>159414</v>
      </c>
      <c r="ON71" s="336">
        <v>764599</v>
      </c>
      <c r="OO71" s="336">
        <v>0</v>
      </c>
      <c r="OP71" s="336">
        <v>0</v>
      </c>
      <c r="OQ71" s="336">
        <v>0</v>
      </c>
      <c r="OR71" s="336">
        <v>2054998</v>
      </c>
      <c r="OS71" s="336">
        <v>5871457</v>
      </c>
      <c r="OT71" s="336">
        <v>418200248</v>
      </c>
      <c r="OU71" s="336">
        <v>0</v>
      </c>
      <c r="OV71" s="336">
        <v>0</v>
      </c>
      <c r="OW71" s="336">
        <v>0</v>
      </c>
      <c r="OX71" s="336">
        <v>0</v>
      </c>
      <c r="OY71" s="336">
        <v>0</v>
      </c>
      <c r="OZ71" s="336">
        <v>0</v>
      </c>
      <c r="PA71" s="336">
        <v>0</v>
      </c>
      <c r="PB71" s="336">
        <v>0</v>
      </c>
      <c r="PC71" s="336">
        <v>0</v>
      </c>
      <c r="PD71" s="336">
        <v>0</v>
      </c>
      <c r="PE71" s="336">
        <v>-23252406</v>
      </c>
      <c r="PF71" s="336">
        <v>-812938954</v>
      </c>
      <c r="PG71" s="336">
        <v>0</v>
      </c>
      <c r="PH71" s="336">
        <v>-209795</v>
      </c>
      <c r="PI71" s="336">
        <v>0</v>
      </c>
      <c r="PJ71" s="336">
        <v>-2113040559</v>
      </c>
      <c r="PK71" s="336">
        <v>1963394892</v>
      </c>
      <c r="PL71" s="336">
        <v>368358269</v>
      </c>
      <c r="PM71" s="336">
        <v>12667345</v>
      </c>
      <c r="PN71" s="336">
        <v>0</v>
      </c>
      <c r="PO71" s="336">
        <v>0</v>
      </c>
      <c r="PP71" s="336">
        <v>0</v>
      </c>
      <c r="PQ71" s="336">
        <v>0</v>
      </c>
      <c r="PR71" s="336">
        <v>0</v>
      </c>
      <c r="PS71" s="336">
        <v>0</v>
      </c>
      <c r="PT71" s="336">
        <v>-1660489277</v>
      </c>
      <c r="PU71" s="336">
        <v>0</v>
      </c>
      <c r="PV71" s="336">
        <v>0</v>
      </c>
      <c r="PW71" s="336">
        <v>0</v>
      </c>
      <c r="PX71" s="336">
        <v>0</v>
      </c>
      <c r="PY71" s="336">
        <v>0</v>
      </c>
      <c r="PZ71" s="336">
        <v>0</v>
      </c>
      <c r="QA71" s="336">
        <v>0</v>
      </c>
      <c r="QB71" s="336">
        <v>0</v>
      </c>
      <c r="QC71" s="336">
        <v>0</v>
      </c>
      <c r="QD71" s="336">
        <v>0</v>
      </c>
      <c r="QE71" s="336">
        <v>0</v>
      </c>
      <c r="QF71" s="336">
        <v>427364</v>
      </c>
      <c r="QG71" s="336">
        <v>674157461</v>
      </c>
      <c r="QH71" s="336">
        <v>0</v>
      </c>
      <c r="QI71" s="336">
        <v>228202</v>
      </c>
      <c r="QJ71" s="336">
        <v>0</v>
      </c>
      <c r="QK71" s="336">
        <v>1388852713</v>
      </c>
      <c r="QL71" s="336">
        <v>19172702</v>
      </c>
      <c r="QM71" s="336">
        <v>0</v>
      </c>
      <c r="QN71" s="336">
        <v>0</v>
      </c>
      <c r="QO71" s="336">
        <v>0</v>
      </c>
      <c r="QP71" s="336">
        <v>0</v>
      </c>
      <c r="QQ71" s="336">
        <v>0</v>
      </c>
      <c r="QR71" s="336">
        <v>0</v>
      </c>
      <c r="QS71" s="336">
        <v>0</v>
      </c>
      <c r="QT71" s="336">
        <v>314131392</v>
      </c>
      <c r="QU71" s="336">
        <v>0</v>
      </c>
      <c r="QV71" s="336">
        <v>0</v>
      </c>
      <c r="QW71" s="336">
        <v>0</v>
      </c>
      <c r="QX71" s="336">
        <v>0</v>
      </c>
      <c r="QY71" s="336">
        <v>0</v>
      </c>
      <c r="QZ71" s="336">
        <v>0</v>
      </c>
      <c r="RA71" s="336">
        <v>0</v>
      </c>
      <c r="RB71" s="336">
        <v>0</v>
      </c>
      <c r="RC71" s="336">
        <v>0</v>
      </c>
      <c r="RD71" s="336">
        <v>0</v>
      </c>
      <c r="RE71" s="336">
        <v>0</v>
      </c>
      <c r="RF71" s="336">
        <v>0</v>
      </c>
      <c r="RG71" s="336">
        <v>0</v>
      </c>
      <c r="RH71" s="336">
        <v>0</v>
      </c>
      <c r="RI71" s="336">
        <v>0</v>
      </c>
      <c r="RJ71" s="336">
        <v>0</v>
      </c>
      <c r="RK71" s="336">
        <v>0</v>
      </c>
      <c r="RL71" s="336">
        <v>0</v>
      </c>
      <c r="RM71" s="336">
        <v>0</v>
      </c>
      <c r="RN71" s="336">
        <v>0</v>
      </c>
      <c r="RO71" s="336">
        <v>-23872365</v>
      </c>
      <c r="RP71" s="336">
        <v>0</v>
      </c>
      <c r="RQ71" s="336">
        <v>0</v>
      </c>
      <c r="RR71" s="336">
        <v>0</v>
      </c>
      <c r="RS71" s="336">
        <v>0</v>
      </c>
      <c r="RT71" s="336">
        <v>0</v>
      </c>
      <c r="RU71" s="336">
        <v>0</v>
      </c>
      <c r="RV71" s="336">
        <v>0</v>
      </c>
      <c r="RW71" s="336">
        <v>0</v>
      </c>
      <c r="RX71" s="336">
        <v>0</v>
      </c>
      <c r="RY71" s="336">
        <v>0</v>
      </c>
      <c r="RZ71" s="336">
        <v>-13522164</v>
      </c>
      <c r="SA71" s="336">
        <v>0</v>
      </c>
      <c r="SB71" s="336">
        <v>0</v>
      </c>
      <c r="SC71" s="336">
        <v>0</v>
      </c>
      <c r="SD71" s="336">
        <v>0</v>
      </c>
      <c r="SE71" s="336">
        <v>0</v>
      </c>
      <c r="SF71" s="336">
        <v>0</v>
      </c>
      <c r="SG71" s="336">
        <v>0</v>
      </c>
      <c r="SH71" s="336">
        <v>0</v>
      </c>
      <c r="SI71" s="336">
        <v>0</v>
      </c>
      <c r="SJ71" s="336">
        <v>0</v>
      </c>
      <c r="SK71" s="336">
        <v>0</v>
      </c>
      <c r="SL71" s="336">
        <v>0</v>
      </c>
      <c r="SM71" s="336">
        <v>0</v>
      </c>
      <c r="SN71" s="336">
        <v>0</v>
      </c>
      <c r="SO71" s="336">
        <v>0</v>
      </c>
      <c r="SP71" s="336">
        <v>0</v>
      </c>
      <c r="SQ71" s="336">
        <v>-101289</v>
      </c>
      <c r="SR71" s="336">
        <v>-999829</v>
      </c>
      <c r="SS71" s="336">
        <v>0</v>
      </c>
      <c r="ST71" s="336">
        <v>0</v>
      </c>
      <c r="SU71" s="336">
        <v>0</v>
      </c>
      <c r="SV71" s="336">
        <v>0</v>
      </c>
      <c r="SW71" s="336">
        <v>-1221165</v>
      </c>
      <c r="SX71" s="336">
        <v>0</v>
      </c>
      <c r="SY71" s="336">
        <v>2322283</v>
      </c>
      <c r="SZ71" s="336" t="s">
        <v>1420</v>
      </c>
      <c r="TA71" s="336" t="s">
        <v>1420</v>
      </c>
      <c r="TB71" s="336" t="s">
        <v>1420</v>
      </c>
      <c r="TC71" s="336">
        <v>0</v>
      </c>
      <c r="TD71" s="336">
        <v>0</v>
      </c>
      <c r="TE71" s="336">
        <v>0</v>
      </c>
      <c r="TF71" s="336">
        <v>0</v>
      </c>
      <c r="TG71" s="336">
        <v>0</v>
      </c>
      <c r="TH71" s="336">
        <v>0</v>
      </c>
      <c r="TI71" s="336">
        <v>0</v>
      </c>
      <c r="TJ71" s="336">
        <v>0</v>
      </c>
      <c r="TK71" s="336">
        <v>0</v>
      </c>
      <c r="TL71" s="336">
        <v>0</v>
      </c>
      <c r="TM71" s="336">
        <v>0</v>
      </c>
      <c r="TN71" s="336">
        <v>0</v>
      </c>
      <c r="TO71" s="336">
        <v>0</v>
      </c>
      <c r="TP71" s="336">
        <v>0</v>
      </c>
      <c r="TQ71" s="336">
        <v>0</v>
      </c>
      <c r="TR71" s="336">
        <v>0</v>
      </c>
      <c r="TS71" s="336">
        <v>0</v>
      </c>
      <c r="TT71" s="336">
        <v>0</v>
      </c>
      <c r="TU71" s="336">
        <v>0</v>
      </c>
      <c r="TV71" s="336">
        <v>0</v>
      </c>
      <c r="TW71" s="336">
        <v>0</v>
      </c>
      <c r="TX71" s="336">
        <v>0</v>
      </c>
      <c r="TY71" s="336">
        <v>0</v>
      </c>
      <c r="TZ71" s="336">
        <v>0</v>
      </c>
      <c r="UA71" s="336">
        <v>0</v>
      </c>
      <c r="UB71" s="336">
        <v>0</v>
      </c>
      <c r="UC71" s="336">
        <v>0</v>
      </c>
      <c r="UD71" s="336">
        <v>0</v>
      </c>
      <c r="UE71" s="336">
        <v>0</v>
      </c>
      <c r="UF71" s="336">
        <v>0</v>
      </c>
      <c r="UG71" s="336">
        <v>0</v>
      </c>
      <c r="UH71" s="336">
        <v>0</v>
      </c>
      <c r="UI71" s="336">
        <v>0</v>
      </c>
      <c r="UJ71" s="336">
        <v>4836910</v>
      </c>
      <c r="UK71" s="336">
        <v>0</v>
      </c>
      <c r="UL71" s="336">
        <v>15871926</v>
      </c>
      <c r="UM71" s="336">
        <v>0</v>
      </c>
      <c r="UN71" s="336">
        <v>966226073</v>
      </c>
      <c r="UO71" s="336">
        <v>3504818</v>
      </c>
      <c r="UP71" s="336">
        <v>1900677</v>
      </c>
      <c r="UQ71" s="336">
        <v>0</v>
      </c>
      <c r="UR71"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0</v>
      </c>
      <c r="US71" s="338">
        <f>SUM(Input[[#This Row],[Oth Exp E&amp;G]],Input[[#This Row],[Oth Exp Desg]],Input[[#This Row],[Oth Exp Aux]],Input[[#This Row],[Oth Exp R Exp]],Input[[#This Row],[Oth Exp Loan]],Input[[#This Row],[Oth Exp Annuity]],Input[[#This Row],[Oth Exp Unexp]],Input[[#This Row],[Oth Exp R of Ind]],Input[[#This Row],[Oth Exp Inv in P]])</f>
        <v>427050716</v>
      </c>
      <c r="UT71" s="336">
        <v>0</v>
      </c>
      <c r="UU71" s="336">
        <v>0</v>
      </c>
      <c r="UV71" s="339" t="s">
        <v>1617</v>
      </c>
      <c r="UW71" s="340">
        <v>5124994458</v>
      </c>
      <c r="UX71" s="339" t="s">
        <v>1618</v>
      </c>
      <c r="UY71" s="339" t="s">
        <v>1619</v>
      </c>
      <c r="UZ71" s="340">
        <v>5123223792</v>
      </c>
      <c r="VA71" s="339" t="s">
        <v>1620</v>
      </c>
      <c r="VB71" s="341" t="str" cm="1">
        <f t="array" ref="VB71">IFERROR(_xlfn.IFS(Input[[#This Row],[Type]]="HRI",VLOOKUP(Input[[#This Row],[Institution Name]],FTSEHRI[],9,FALSE),Input[[#This Row],[Type]]="UNIV",VLOOKUP(Input[[#This Row],[Institution Name]],FTSEUNIV[],9,FALSE),OR(Input[[#This Row],[Type]]="TSTC",Input[[#This Row],[Type]]="LSC"),VLOOKUP(Input[[#This Row],[Institution Name]],FTSETSTC[],8,FALSE)),"N/A")</f>
        <v>N/A</v>
      </c>
      <c r="VC71" s="342" t="str" cm="1">
        <f t="array" ref="VC71">IFERROR(_xlfn.IFS(Input[[#This Row],[Type]]="HRI",VLOOKUP(Input[[#This Row],[Institution Name]],FTSEHRI[],11,FALSE),Input[[#This Row],[Type]]="UNIV",VLOOKUP(Input[[#This Row],[Institution Name]],FTSEUNIV[],11,FALSE),Input[[#This Row],[Type]]="TSTC",VLOOKUP(Input[[#This Row],[Institution Name]],FTSETSTC[],10,FALSE)),"N/A")</f>
        <v>N/A</v>
      </c>
      <c r="VD71"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31027380</v>
      </c>
      <c r="VE71"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197234333</v>
      </c>
      <c r="VF71" s="338">
        <f>SUM(Input[[#This Row],[Fed G&amp;C E&amp;G]],Input[[#This Row],[Fed G&amp;C Desg]],Input[[#This Row],[Fed G&amp;C R Exp]],Input[[#This Row],[Fed G&amp;C Loan]],Input[[#This Row],[Fed G&amp;C Annuity]],Input[[#This Row],[Fed G&amp;C Unexp]],Input[[#This Row],[Fed G&amp;C R of Ind]],Input[[#This Row],[Fed G&amp;C Inv in P]])</f>
        <v>62042307</v>
      </c>
      <c r="VG71"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5077868099</v>
      </c>
      <c r="VH71"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0</v>
      </c>
      <c r="VI71"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J71" s="338">
        <f>SUM(Input[[#This Row],[Oth Inc E&amp;G]],Input[[#This Row],[Oth Exp Desg]],Input[[#This Row],[Oth Exp R Exp]],Input[[#This Row],[Oth Exp Loan]],Input[[#This Row],[Oth Exp Annuity]],Input[[#This Row],[Oth Exp Unexp]],Input[[#This Row],[Oth Exp R of Ind]],Input[[#This Row],[Oth Exp Inv in P]])</f>
        <v>426865100</v>
      </c>
      <c r="VK71" s="343">
        <f>SUM(Input[[#This Row],[Instr E&amp;G]],Input[[#This Row],[Instr Desg]],Input[[#This Row],[Instr R Exp]],Input[[#This Row],[Instr Loan]],Input[[#This Row],[Instr Annuity]],Input[[#This Row],[Instr Unexp]],Input[[#This Row],[Instr R of Ind]],Input[[#This Row],[Instr Inv in P]])</f>
        <v>0</v>
      </c>
      <c r="VL71" s="343">
        <f>SUM(Input[[#This Row],[Res E&amp;G]],Input[[#This Row],[Res Desg]],Input[[#This Row],[Res R Exp]],Input[[#This Row],[Res Loan]],Input[[#This Row],[Res Annuity]],Input[[#This Row],[Res Unexp]],Input[[#This Row],[Res R of Ind]],Input[[#This Row],[Res Inv in P]])</f>
        <v>0</v>
      </c>
      <c r="VM71" s="343">
        <f>SUM(Input[[#This Row],[Acad Sup E&amp;G]],Input[[#This Row],[Acad Sup Desg]],Input[[#This Row],[Acad Sup R Exp]],Input[[#This Row],[Acad Sup Loan]],Input[[#This Row],[Acad Sup Annuity]],Input[[#This Row],[Acad Sup Unexp]],Input[[#This Row],[Acad Sup R of Ind]],Input[[#This Row],[Acad Sup Inv in P]])</f>
        <v>15871926</v>
      </c>
      <c r="VN71" s="343">
        <f>SUM(Input[[#This Row],[Stu Svc E&amp;G]],Input[[#This Row],[Stu Svc Desg]],Input[[#This Row],[Stu Svc R Exp]],Input[[#This Row],[Stu Svc Loan]],Input[[#This Row],[Stu Svc Annuity]],Input[[#This Row],[Stu Svc Unexp]],Input[[#This Row],[Stu Svc R of Ind]],Input[[#This Row],[Stu Svc Inv in P]])</f>
        <v>0</v>
      </c>
      <c r="VO71" s="343">
        <f>SUM(Input[[#This Row],[Inst. Spt E&amp;G]],Input[[#This Row],[Inst. Spt Desg]],Input[[#This Row],[Inst. Spt R Exp]],Input[[#This Row],[Inst. Spt Loan]],Input[[#This Row],[Inst. Spt Annuity]],Input[[#This Row],[Inst. Spt Unexp]],Input[[#This Row],[Inst. Spt R of Ind]],Input[[#This Row],[Inst. Spt Inv in P]])</f>
        <v>952703910</v>
      </c>
      <c r="VP71" s="343">
        <f>SUM(Input[[#This Row],[M&amp;O Plnt E&amp;G]],Input[[#This Row],[M&amp;O Plnt Desg]],Input[[#This Row],[M&amp;O Plnt R Exp]],Input[[#This Row],[M&amp;O Plnt Loan]],Input[[#This Row],[M&amp;O Plnt Annuity]],Input[[#This Row],[M&amp;O Plnt Unexp]],Input[[#This Row],[M&amp;O Plnt R of Ind]],Input[[#This Row],[M&amp;O Plnt Inv in P]])</f>
        <v>3504818</v>
      </c>
      <c r="VQ71" s="343">
        <f>SUM(Input[[#This Row],[Schl &amp; Fell E&amp;G]],Input[[#This Row],[Schl &amp; Fell Desg]],Input[[#This Row],[Schl &amp; Fell R Exp]],Input[[#This Row],[Schl &amp; Fell Loan]],Input[[#This Row],[Schl &amp; Fell Annuity]],Input[[#This Row],[Schl &amp; Fell Unexp]],Input[[#This Row],[Schl &amp; Fell R of Ind]],Input[[#This Row],[Schl &amp; Fell Inv in P]])</f>
        <v>1900677</v>
      </c>
      <c r="VR71" s="343">
        <f>SUM(Input[[#This Row],[Cap Out fund E&amp;G]],Input[[#This Row],[Cap Out fund Desg]],Input[[#This Row],[Cap Out fund R Exp]],Input[[#This Row],[Cap Out fund Loan]],Input[[#This Row],[Cap Out fund Annuity]],Input[[#This Row],[Cap Out fund Unexp]],Input[[#This Row],[Cap Out fund R of Ind]],Input[[#This Row],[Cap Out fund Inv in P]])</f>
        <v>0</v>
      </c>
      <c r="VS71" s="343">
        <f>SUM(Input[[#This Row],[Oth Exp E&amp;G]],Input[[#This Row],[Oth Exp Desg]],Input[[#This Row],[Oth Exp R Exp]],Input[[#This Row],[Oth Exp Loan]],Input[[#This Row],[Oth Exp Annuity]],Input[[#This Row],[Oth Exp Unexp]],Input[[#This Row],[Oth Exp R of Ind]],Input[[#This Row],[Oth Exp Inv in P]],Input[[#This Row],[Oth Exp Inv in P]])</f>
        <v>427050716</v>
      </c>
    </row>
    <row r="72" spans="1:591" s="344" customFormat="1" ht="27" customHeight="1" x14ac:dyDescent="0.55000000000000004">
      <c r="A72" s="339" t="s">
        <v>79</v>
      </c>
      <c r="B72" s="334" t="s">
        <v>828</v>
      </c>
      <c r="C72" s="334" t="s">
        <v>21</v>
      </c>
      <c r="D72" s="334">
        <v>240</v>
      </c>
      <c r="E72" s="334" t="s">
        <v>1622</v>
      </c>
      <c r="F72" s="335">
        <v>11711</v>
      </c>
      <c r="G72" s="336">
        <v>41687087</v>
      </c>
      <c r="H72" s="336">
        <v>0</v>
      </c>
      <c r="I72" s="336">
        <v>0</v>
      </c>
      <c r="J72" s="336">
        <v>0</v>
      </c>
      <c r="K72" s="336">
        <v>0</v>
      </c>
      <c r="L72" s="336">
        <v>0</v>
      </c>
      <c r="M72" s="336">
        <v>0</v>
      </c>
      <c r="N72" s="336">
        <v>0</v>
      </c>
      <c r="O72" s="336">
        <v>0</v>
      </c>
      <c r="P72" s="336">
        <v>863820</v>
      </c>
      <c r="Q72" s="336">
        <v>0</v>
      </c>
      <c r="R72" s="336">
        <v>0</v>
      </c>
      <c r="S72" s="336">
        <v>7203323</v>
      </c>
      <c r="T72" s="336">
        <v>0</v>
      </c>
      <c r="U72" s="336">
        <v>0</v>
      </c>
      <c r="V72" s="336">
        <v>0</v>
      </c>
      <c r="W72" s="336">
        <v>0</v>
      </c>
      <c r="X72" s="336">
        <v>0</v>
      </c>
      <c r="Y72" s="336">
        <v>7959137</v>
      </c>
      <c r="Z72" s="336">
        <v>0</v>
      </c>
      <c r="AA72" s="336">
        <v>0</v>
      </c>
      <c r="AB72" s="336">
        <v>0</v>
      </c>
      <c r="AC72" s="336">
        <v>0</v>
      </c>
      <c r="AD72" s="336">
        <v>0</v>
      </c>
      <c r="AE72" s="336">
        <v>0</v>
      </c>
      <c r="AF72" s="336">
        <v>0</v>
      </c>
      <c r="AG72" s="336">
        <v>0</v>
      </c>
      <c r="AH72" s="336">
        <v>0</v>
      </c>
      <c r="AI72" s="336">
        <v>0</v>
      </c>
      <c r="AJ72" s="336">
        <v>0</v>
      </c>
      <c r="AK72" s="336">
        <v>0</v>
      </c>
      <c r="AL72" s="336">
        <v>0</v>
      </c>
      <c r="AM72" s="336">
        <v>0</v>
      </c>
      <c r="AN72" s="336">
        <v>0</v>
      </c>
      <c r="AO72" s="336">
        <v>0</v>
      </c>
      <c r="AP72" s="336">
        <v>0</v>
      </c>
      <c r="AQ72" s="336">
        <v>-1695640</v>
      </c>
      <c r="AR72" s="336">
        <v>-523788</v>
      </c>
      <c r="AS72" s="336">
        <v>0</v>
      </c>
      <c r="AT72" s="336">
        <v>0</v>
      </c>
      <c r="AU72" s="336">
        <v>0</v>
      </c>
      <c r="AV72" s="336">
        <v>0</v>
      </c>
      <c r="AW72" s="336">
        <v>0</v>
      </c>
      <c r="AX72" s="336">
        <v>0</v>
      </c>
      <c r="AY72" s="336">
        <v>0</v>
      </c>
      <c r="AZ72" s="336">
        <v>0</v>
      </c>
      <c r="BA72" s="336">
        <v>0</v>
      </c>
      <c r="BB72" s="336">
        <v>0</v>
      </c>
      <c r="BC72" s="336">
        <v>0</v>
      </c>
      <c r="BD72" s="336">
        <v>0</v>
      </c>
      <c r="BE72" s="336">
        <v>0</v>
      </c>
      <c r="BF72" s="336">
        <v>0</v>
      </c>
      <c r="BG72" s="336">
        <v>0</v>
      </c>
      <c r="BH72" s="336">
        <v>0</v>
      </c>
      <c r="BI72" s="336">
        <v>0</v>
      </c>
      <c r="BJ72" s="336">
        <v>0</v>
      </c>
      <c r="BK72" s="336">
        <v>0</v>
      </c>
      <c r="BL72" s="336">
        <v>0</v>
      </c>
      <c r="BM72" s="336">
        <v>0</v>
      </c>
      <c r="BN72" s="336">
        <v>0</v>
      </c>
      <c r="BO72" s="336">
        <v>0</v>
      </c>
      <c r="BP72" s="336">
        <v>0</v>
      </c>
      <c r="BQ72" s="336">
        <v>0</v>
      </c>
      <c r="BR72" s="336">
        <v>0</v>
      </c>
      <c r="BS72" s="336">
        <v>0</v>
      </c>
      <c r="BT72" s="336">
        <v>0</v>
      </c>
      <c r="BU72" s="336">
        <v>0</v>
      </c>
      <c r="BV72" s="336">
        <v>0</v>
      </c>
      <c r="BW72" s="336">
        <v>0</v>
      </c>
      <c r="BX72" s="336">
        <v>0</v>
      </c>
      <c r="BY72" s="336">
        <v>0</v>
      </c>
      <c r="BZ72" s="336">
        <v>0</v>
      </c>
      <c r="CA72" s="336">
        <v>13951509</v>
      </c>
      <c r="CB72" s="336">
        <v>41822787</v>
      </c>
      <c r="CC72" s="336">
        <v>0</v>
      </c>
      <c r="CD72" s="336">
        <v>0</v>
      </c>
      <c r="CE72" s="336">
        <v>0</v>
      </c>
      <c r="CF72" s="336">
        <v>0</v>
      </c>
      <c r="CG72" s="336">
        <v>0</v>
      </c>
      <c r="CH72" s="336">
        <v>0</v>
      </c>
      <c r="CI72" s="336">
        <v>0</v>
      </c>
      <c r="CJ72" s="336">
        <v>0</v>
      </c>
      <c r="CK72" s="336">
        <v>0</v>
      </c>
      <c r="CL72" s="336">
        <v>0</v>
      </c>
      <c r="CM72" s="336">
        <v>0</v>
      </c>
      <c r="CN72" s="336">
        <v>0</v>
      </c>
      <c r="CO72" s="336">
        <v>0</v>
      </c>
      <c r="CP72" s="336">
        <v>0</v>
      </c>
      <c r="CQ72" s="336">
        <v>0</v>
      </c>
      <c r="CR72" s="336">
        <v>0</v>
      </c>
      <c r="CS72" s="336">
        <v>0</v>
      </c>
      <c r="CT72" s="336">
        <v>0</v>
      </c>
      <c r="CU72" s="336">
        <v>0</v>
      </c>
      <c r="CV72" s="336">
        <v>0</v>
      </c>
      <c r="CW72" s="336">
        <v>0</v>
      </c>
      <c r="CX72" s="336">
        <v>0</v>
      </c>
      <c r="CY72" s="336">
        <v>0</v>
      </c>
      <c r="CZ72" s="336">
        <v>0</v>
      </c>
      <c r="DA72" s="336">
        <v>0</v>
      </c>
      <c r="DB72" s="336">
        <v>-411574</v>
      </c>
      <c r="DC72" s="336">
        <v>-1494350</v>
      </c>
      <c r="DD72" s="336">
        <v>0</v>
      </c>
      <c r="DE72" s="336">
        <v>0</v>
      </c>
      <c r="DF72" s="336">
        <v>0</v>
      </c>
      <c r="DG72" s="336">
        <v>0</v>
      </c>
      <c r="DH72" s="336">
        <v>0</v>
      </c>
      <c r="DI72" s="336">
        <v>0</v>
      </c>
      <c r="DJ72" s="336">
        <v>0</v>
      </c>
      <c r="DK72" s="336">
        <v>0</v>
      </c>
      <c r="DL72" s="336">
        <v>0</v>
      </c>
      <c r="DM72" s="336">
        <v>0</v>
      </c>
      <c r="DN72" s="336">
        <v>0</v>
      </c>
      <c r="DO72" s="336">
        <v>0</v>
      </c>
      <c r="DP72" s="336">
        <v>0</v>
      </c>
      <c r="DQ72" s="336">
        <v>0</v>
      </c>
      <c r="DR72" s="336">
        <v>0</v>
      </c>
      <c r="DS72" s="336">
        <v>0</v>
      </c>
      <c r="DT72" s="336">
        <v>-3569585</v>
      </c>
      <c r="DU72" s="336">
        <v>-9280034</v>
      </c>
      <c r="DV72" s="336">
        <v>0</v>
      </c>
      <c r="DW72" s="336">
        <v>0</v>
      </c>
      <c r="DX72" s="336">
        <v>0</v>
      </c>
      <c r="DY72" s="336">
        <v>0</v>
      </c>
      <c r="DZ72" s="336">
        <v>0</v>
      </c>
      <c r="EA72" s="336">
        <v>0</v>
      </c>
      <c r="EB72" s="336">
        <v>0</v>
      </c>
      <c r="EC72" s="336">
        <v>0</v>
      </c>
      <c r="ED72" s="336">
        <v>-118277</v>
      </c>
      <c r="EE72" s="336">
        <v>0</v>
      </c>
      <c r="EF72" s="336">
        <v>0</v>
      </c>
      <c r="EG72" s="336">
        <v>0</v>
      </c>
      <c r="EH72" s="336">
        <v>0</v>
      </c>
      <c r="EI72" s="336">
        <v>0</v>
      </c>
      <c r="EJ72" s="336">
        <v>0</v>
      </c>
      <c r="EK72" s="336">
        <v>0</v>
      </c>
      <c r="EL72" s="336">
        <v>0</v>
      </c>
      <c r="EM72" s="336">
        <v>0</v>
      </c>
      <c r="EN72" s="336">
        <v>0</v>
      </c>
      <c r="EO72" s="336">
        <v>0</v>
      </c>
      <c r="EP72" s="336">
        <v>0</v>
      </c>
      <c r="EQ72" s="336">
        <v>0</v>
      </c>
      <c r="ER72" s="336">
        <v>0</v>
      </c>
      <c r="ES72" s="336">
        <v>0</v>
      </c>
      <c r="ET72" s="336">
        <v>0</v>
      </c>
      <c r="EU72" s="336">
        <v>0</v>
      </c>
      <c r="EV72" s="336">
        <v>0</v>
      </c>
      <c r="EW72" s="336">
        <v>0</v>
      </c>
      <c r="EX72" s="336">
        <v>0</v>
      </c>
      <c r="EY72" s="336">
        <v>0</v>
      </c>
      <c r="EZ72" s="336">
        <v>0</v>
      </c>
      <c r="FA72" s="336">
        <v>0</v>
      </c>
      <c r="FB72" s="336">
        <v>0</v>
      </c>
      <c r="FC72" s="336">
        <v>0</v>
      </c>
      <c r="FD72" s="336">
        <v>0</v>
      </c>
      <c r="FE72" s="336">
        <v>0</v>
      </c>
      <c r="FF72" s="336">
        <v>0</v>
      </c>
      <c r="FG72" s="336">
        <v>0</v>
      </c>
      <c r="FH72" s="336">
        <v>0</v>
      </c>
      <c r="FI72" s="336">
        <v>0</v>
      </c>
      <c r="FJ72" s="336">
        <v>0</v>
      </c>
      <c r="FK72" s="336">
        <v>0</v>
      </c>
      <c r="FL72" s="336">
        <v>0</v>
      </c>
      <c r="FM72" s="336">
        <v>0</v>
      </c>
      <c r="FN72" s="336">
        <v>9444018</v>
      </c>
      <c r="FO72" s="336">
        <v>7619234</v>
      </c>
      <c r="FP72" s="336">
        <v>0</v>
      </c>
      <c r="FQ72" s="336">
        <v>0</v>
      </c>
      <c r="FR72" s="336">
        <v>0</v>
      </c>
      <c r="FS72" s="336">
        <v>0</v>
      </c>
      <c r="FT72" s="336">
        <v>0</v>
      </c>
      <c r="FU72" s="336">
        <v>0</v>
      </c>
      <c r="FV72" s="336">
        <v>0</v>
      </c>
      <c r="FW72" s="336">
        <v>0</v>
      </c>
      <c r="FX72" s="336">
        <v>0</v>
      </c>
      <c r="FY72" s="336">
        <v>0</v>
      </c>
      <c r="FZ72" s="336">
        <v>0</v>
      </c>
      <c r="GA72" s="336">
        <v>0</v>
      </c>
      <c r="GB72" s="336">
        <v>0</v>
      </c>
      <c r="GC72" s="336">
        <v>0</v>
      </c>
      <c r="GD72" s="336">
        <v>0</v>
      </c>
      <c r="GE72" s="336">
        <v>0</v>
      </c>
      <c r="GF72" s="336">
        <v>0</v>
      </c>
      <c r="GG72" s="336">
        <v>0</v>
      </c>
      <c r="GH72" s="336">
        <v>0</v>
      </c>
      <c r="GI72" s="336">
        <v>0</v>
      </c>
      <c r="GJ72" s="336">
        <v>0</v>
      </c>
      <c r="GK72" s="336">
        <v>0</v>
      </c>
      <c r="GL72" s="336">
        <v>0</v>
      </c>
      <c r="GM72" s="336">
        <v>0</v>
      </c>
      <c r="GN72" s="336">
        <v>0</v>
      </c>
      <c r="GO72" s="336">
        <v>-337440</v>
      </c>
      <c r="GP72" s="336">
        <v>-153716</v>
      </c>
      <c r="GQ72" s="336">
        <v>0</v>
      </c>
      <c r="GR72" s="336">
        <v>0</v>
      </c>
      <c r="GS72" s="336">
        <v>0</v>
      </c>
      <c r="GT72" s="336">
        <v>0</v>
      </c>
      <c r="GU72" s="336">
        <v>0</v>
      </c>
      <c r="GV72" s="336">
        <v>0</v>
      </c>
      <c r="GW72" s="336">
        <v>0</v>
      </c>
      <c r="GX72" s="336">
        <v>0</v>
      </c>
      <c r="GY72" s="336">
        <v>0</v>
      </c>
      <c r="GZ72" s="336">
        <v>0</v>
      </c>
      <c r="HA72" s="336">
        <v>0</v>
      </c>
      <c r="HB72" s="336">
        <v>0</v>
      </c>
      <c r="HC72" s="336">
        <v>0</v>
      </c>
      <c r="HD72" s="336">
        <v>0</v>
      </c>
      <c r="HE72" s="336">
        <v>0</v>
      </c>
      <c r="HF72" s="336">
        <v>0</v>
      </c>
      <c r="HG72" s="336">
        <v>-2095527</v>
      </c>
      <c r="HH72" s="336">
        <v>-1784872</v>
      </c>
      <c r="HI72" s="336">
        <v>0</v>
      </c>
      <c r="HJ72" s="336">
        <v>0</v>
      </c>
      <c r="HK72" s="336">
        <v>0</v>
      </c>
      <c r="HL72" s="336">
        <v>0</v>
      </c>
      <c r="HM72" s="336">
        <v>0</v>
      </c>
      <c r="HN72" s="336">
        <v>0</v>
      </c>
      <c r="HO72" s="336">
        <v>27381</v>
      </c>
      <c r="HP72" s="336">
        <v>0</v>
      </c>
      <c r="HQ72" s="336">
        <v>0</v>
      </c>
      <c r="HR72" s="336">
        <v>21677098</v>
      </c>
      <c r="HS72" s="336">
        <v>0</v>
      </c>
      <c r="HT72" s="336">
        <v>0</v>
      </c>
      <c r="HU72" s="336">
        <v>0</v>
      </c>
      <c r="HV72" s="336">
        <v>0</v>
      </c>
      <c r="HW72" s="336">
        <v>0</v>
      </c>
      <c r="HX72" s="336">
        <v>0</v>
      </c>
      <c r="HY72" s="336">
        <v>0</v>
      </c>
      <c r="HZ72" s="336">
        <v>0</v>
      </c>
      <c r="IA72" s="336">
        <v>0</v>
      </c>
      <c r="IB72" s="336">
        <v>0</v>
      </c>
      <c r="IC72" s="336">
        <v>0</v>
      </c>
      <c r="ID72" s="336">
        <v>0</v>
      </c>
      <c r="IE72" s="336">
        <v>0</v>
      </c>
      <c r="IF72" s="336">
        <v>0</v>
      </c>
      <c r="IG72" s="336">
        <v>0</v>
      </c>
      <c r="IH72" s="336">
        <v>0</v>
      </c>
      <c r="II72" s="336">
        <v>0</v>
      </c>
      <c r="IJ72" s="336">
        <v>0</v>
      </c>
      <c r="IK72" s="336">
        <v>0</v>
      </c>
      <c r="IL72" s="336">
        <v>0</v>
      </c>
      <c r="IM72" s="336">
        <v>0</v>
      </c>
      <c r="IN72" s="336">
        <v>0</v>
      </c>
      <c r="IO72" s="336">
        <v>0</v>
      </c>
      <c r="IP72" s="336">
        <v>152399</v>
      </c>
      <c r="IQ72" s="336">
        <v>3320204</v>
      </c>
      <c r="IR72" s="336">
        <v>0</v>
      </c>
      <c r="IS72" s="336">
        <v>0</v>
      </c>
      <c r="IT72" s="336">
        <v>17453</v>
      </c>
      <c r="IU72" s="336">
        <v>3592295</v>
      </c>
      <c r="IV72" s="336">
        <v>2012</v>
      </c>
      <c r="IW72" s="336">
        <v>0</v>
      </c>
      <c r="IX72" s="336">
        <v>0</v>
      </c>
      <c r="IY72" s="336">
        <v>0</v>
      </c>
      <c r="IZ72" s="336">
        <v>-3018</v>
      </c>
      <c r="JA72" s="336">
        <v>0</v>
      </c>
      <c r="JB72" s="336">
        <v>172297</v>
      </c>
      <c r="JC72" s="336">
        <v>0</v>
      </c>
      <c r="JD72" s="336">
        <v>0</v>
      </c>
      <c r="JE72" s="336">
        <v>0</v>
      </c>
      <c r="JF72" s="336">
        <v>0</v>
      </c>
      <c r="JG72" s="336">
        <v>0</v>
      </c>
      <c r="JH72" s="336">
        <v>0</v>
      </c>
      <c r="JI72" s="336">
        <v>1080</v>
      </c>
      <c r="JJ72" s="336">
        <v>0</v>
      </c>
      <c r="JK72" s="336">
        <v>3630962</v>
      </c>
      <c r="JL72" s="336">
        <v>0</v>
      </c>
      <c r="JM72" s="336">
        <v>700</v>
      </c>
      <c r="JN72" s="336">
        <v>0</v>
      </c>
      <c r="JO72" s="336">
        <v>0</v>
      </c>
      <c r="JP72" s="336">
        <v>0</v>
      </c>
      <c r="JQ72" s="336">
        <v>0</v>
      </c>
      <c r="JR72" s="336">
        <v>2154858</v>
      </c>
      <c r="JS72" s="336">
        <v>0</v>
      </c>
      <c r="JT72" s="336">
        <v>0</v>
      </c>
      <c r="JU72" s="336">
        <v>0</v>
      </c>
      <c r="JV72" s="336">
        <v>0</v>
      </c>
      <c r="JW72" s="336">
        <v>0</v>
      </c>
      <c r="JX72" s="336">
        <v>0</v>
      </c>
      <c r="JY72" s="336">
        <v>0</v>
      </c>
      <c r="JZ72" s="336">
        <v>0</v>
      </c>
      <c r="KA72" s="336">
        <v>0</v>
      </c>
      <c r="KB72" s="336">
        <v>3867473</v>
      </c>
      <c r="KC72" s="336">
        <v>0</v>
      </c>
      <c r="KD72" s="336">
        <v>0</v>
      </c>
      <c r="KE72" s="336">
        <v>0</v>
      </c>
      <c r="KF72" s="336">
        <v>0</v>
      </c>
      <c r="KG72" s="336">
        <v>0</v>
      </c>
      <c r="KH72" s="336">
        <v>0</v>
      </c>
      <c r="KI72" s="336">
        <v>0</v>
      </c>
      <c r="KJ72" s="336">
        <v>1508019</v>
      </c>
      <c r="KK72" s="336">
        <v>0</v>
      </c>
      <c r="KL72" s="336">
        <v>740713</v>
      </c>
      <c r="KM72" s="336">
        <v>0</v>
      </c>
      <c r="KN72" s="336">
        <v>0</v>
      </c>
      <c r="KO72" s="336">
        <v>0</v>
      </c>
      <c r="KP72" s="336">
        <v>0</v>
      </c>
      <c r="KQ72" s="336">
        <v>932244</v>
      </c>
      <c r="KR72" s="336">
        <v>36780779</v>
      </c>
      <c r="KS72" s="336">
        <v>10696275</v>
      </c>
      <c r="KT72" s="336">
        <v>0</v>
      </c>
      <c r="KU72" s="336">
        <v>1232252</v>
      </c>
      <c r="KV72" s="336">
        <v>0</v>
      </c>
      <c r="KW72" s="336">
        <v>0</v>
      </c>
      <c r="KX72" s="336">
        <v>0</v>
      </c>
      <c r="KY72" s="336">
        <v>0</v>
      </c>
      <c r="KZ72" s="336">
        <v>0</v>
      </c>
      <c r="LA72" s="336">
        <v>372402</v>
      </c>
      <c r="LB72" s="336">
        <v>-141921</v>
      </c>
      <c r="LC72" s="336">
        <v>0</v>
      </c>
      <c r="LD72" s="336">
        <v>2732164</v>
      </c>
      <c r="LE72" s="336">
        <v>0</v>
      </c>
      <c r="LF72" s="336">
        <v>0</v>
      </c>
      <c r="LG72" s="336">
        <v>0</v>
      </c>
      <c r="LH72" s="336">
        <v>0</v>
      </c>
      <c r="LI72" s="336">
        <v>0</v>
      </c>
      <c r="LJ72" s="336">
        <v>0</v>
      </c>
      <c r="LK72" s="336">
        <v>-3048</v>
      </c>
      <c r="LL72" s="336">
        <v>0</v>
      </c>
      <c r="LM72" s="336">
        <v>168635</v>
      </c>
      <c r="LN72" s="336">
        <v>0</v>
      </c>
      <c r="LO72" s="336">
        <v>0</v>
      </c>
      <c r="LP72" s="336">
        <v>0</v>
      </c>
      <c r="LQ72" s="336">
        <v>0</v>
      </c>
      <c r="LR72" s="336">
        <v>0</v>
      </c>
      <c r="LS72" s="336">
        <v>0</v>
      </c>
      <c r="LT72" s="336">
        <v>0</v>
      </c>
      <c r="LU72" s="336">
        <v>0</v>
      </c>
      <c r="LV72" s="336">
        <v>0</v>
      </c>
      <c r="LW72" s="336">
        <v>0</v>
      </c>
      <c r="LX72" s="336">
        <v>0</v>
      </c>
      <c r="LY72" s="336">
        <v>0</v>
      </c>
      <c r="LZ72" s="336">
        <v>0</v>
      </c>
      <c r="MA72" s="336">
        <v>0</v>
      </c>
      <c r="MB72" s="336">
        <v>7446037</v>
      </c>
      <c r="MC72" s="336">
        <v>19003194</v>
      </c>
      <c r="MD72" s="336">
        <v>0</v>
      </c>
      <c r="ME72" s="336">
        <v>3149220</v>
      </c>
      <c r="MF72" s="336">
        <v>0</v>
      </c>
      <c r="MG72" s="336">
        <v>0</v>
      </c>
      <c r="MH72" s="336">
        <v>0</v>
      </c>
      <c r="MI72" s="336">
        <v>0</v>
      </c>
      <c r="MJ72" s="336">
        <v>0</v>
      </c>
      <c r="MK72" s="336">
        <v>1801894</v>
      </c>
      <c r="ML72" s="336">
        <v>7366365</v>
      </c>
      <c r="MM72" s="336">
        <v>0</v>
      </c>
      <c r="MN72" s="336">
        <v>234198</v>
      </c>
      <c r="MO72" s="336">
        <v>0</v>
      </c>
      <c r="MP72" s="336">
        <v>0</v>
      </c>
      <c r="MQ72" s="336">
        <v>0</v>
      </c>
      <c r="MR72" s="336">
        <v>0</v>
      </c>
      <c r="MS72" s="336">
        <v>0</v>
      </c>
      <c r="MT72" s="336">
        <v>6312746</v>
      </c>
      <c r="MU72" s="336">
        <v>12922919</v>
      </c>
      <c r="MV72" s="336">
        <v>0</v>
      </c>
      <c r="MW72" s="336">
        <v>3764</v>
      </c>
      <c r="MX72" s="336">
        <v>0</v>
      </c>
      <c r="MY72" s="336">
        <v>0</v>
      </c>
      <c r="MZ72" s="336">
        <v>0</v>
      </c>
      <c r="NA72" s="336">
        <v>0</v>
      </c>
      <c r="NB72" s="336">
        <v>0</v>
      </c>
      <c r="NC72" s="336">
        <v>6359151</v>
      </c>
      <c r="ND72" s="336">
        <v>5528016</v>
      </c>
      <c r="NE72" s="336">
        <v>0</v>
      </c>
      <c r="NF72" s="336">
        <v>64</v>
      </c>
      <c r="NG72" s="336">
        <v>0</v>
      </c>
      <c r="NH72" s="336">
        <v>0</v>
      </c>
      <c r="NI72" s="336">
        <v>0</v>
      </c>
      <c r="NJ72" s="336">
        <v>0</v>
      </c>
      <c r="NK72" s="336">
        <v>0</v>
      </c>
      <c r="NL72" s="336">
        <v>-220839</v>
      </c>
      <c r="NM72" s="336">
        <v>3109633</v>
      </c>
      <c r="NN72" s="336">
        <v>0</v>
      </c>
      <c r="NO72" s="336">
        <v>11053746</v>
      </c>
      <c r="NP72" s="336">
        <v>56105</v>
      </c>
      <c r="NQ72" s="336">
        <v>0</v>
      </c>
      <c r="NR72" s="336">
        <v>0</v>
      </c>
      <c r="NS72" s="336">
        <v>0</v>
      </c>
      <c r="NT72" s="336">
        <v>0</v>
      </c>
      <c r="NU72" s="336">
        <v>0</v>
      </c>
      <c r="NV72" s="336">
        <v>106</v>
      </c>
      <c r="NW72" s="336">
        <v>8307555</v>
      </c>
      <c r="NX72" s="336">
        <v>0</v>
      </c>
      <c r="NY72" s="336">
        <v>0</v>
      </c>
      <c r="NZ72" s="336">
        <v>0</v>
      </c>
      <c r="OA72" s="336">
        <v>0</v>
      </c>
      <c r="OB72" s="336">
        <v>0</v>
      </c>
      <c r="OC72" s="336">
        <v>0</v>
      </c>
      <c r="OD72" s="336">
        <v>2347303</v>
      </c>
      <c r="OE72" s="336">
        <v>363860</v>
      </c>
      <c r="OF72" s="336">
        <v>10381</v>
      </c>
      <c r="OG72" s="336">
        <v>456904</v>
      </c>
      <c r="OH72" s="336">
        <v>0</v>
      </c>
      <c r="OI72" s="336">
        <v>0</v>
      </c>
      <c r="OJ72" s="336">
        <v>0</v>
      </c>
      <c r="OK72" s="336">
        <v>0</v>
      </c>
      <c r="OL72" s="336">
        <v>0</v>
      </c>
      <c r="OM72" s="336">
        <v>638866</v>
      </c>
      <c r="ON72" s="336">
        <v>0</v>
      </c>
      <c r="OO72" s="336">
        <v>17611</v>
      </c>
      <c r="OP72" s="336">
        <v>0</v>
      </c>
      <c r="OQ72" s="336">
        <v>35015</v>
      </c>
      <c r="OR72" s="336">
        <v>1245065</v>
      </c>
      <c r="OS72" s="336">
        <v>3152952</v>
      </c>
      <c r="OT72" s="336">
        <v>7350000</v>
      </c>
      <c r="OU72" s="336">
        <v>0</v>
      </c>
      <c r="OV72" s="336">
        <v>0</v>
      </c>
      <c r="OW72" s="336">
        <v>0</v>
      </c>
      <c r="OX72" s="336">
        <v>0</v>
      </c>
      <c r="OY72" s="336">
        <v>0</v>
      </c>
      <c r="OZ72" s="336">
        <v>0</v>
      </c>
      <c r="PA72" s="336">
        <v>0</v>
      </c>
      <c r="PB72" s="336">
        <v>1084208</v>
      </c>
      <c r="PC72" s="336">
        <v>0</v>
      </c>
      <c r="PD72" s="336">
        <v>0</v>
      </c>
      <c r="PE72" s="336">
        <v>-2920263</v>
      </c>
      <c r="PF72" s="336">
        <v>7910191</v>
      </c>
      <c r="PG72" s="336">
        <v>-1316933</v>
      </c>
      <c r="PH72" s="336">
        <v>-13593365</v>
      </c>
      <c r="PI72" s="336">
        <v>38220</v>
      </c>
      <c r="PJ72" s="336">
        <v>-164039</v>
      </c>
      <c r="PK72" s="336">
        <v>2149040</v>
      </c>
      <c r="PL72" s="336">
        <v>13751689</v>
      </c>
      <c r="PM72" s="336">
        <v>10976961</v>
      </c>
      <c r="PN72" s="336">
        <v>0</v>
      </c>
      <c r="PO72" s="336">
        <v>0</v>
      </c>
      <c r="PP72" s="336">
        <v>0</v>
      </c>
      <c r="PQ72" s="336">
        <v>0</v>
      </c>
      <c r="PR72" s="336">
        <v>0</v>
      </c>
      <c r="PS72" s="336">
        <v>0</v>
      </c>
      <c r="PT72" s="336">
        <v>0</v>
      </c>
      <c r="PU72" s="336">
        <v>0</v>
      </c>
      <c r="PV72" s="336">
        <v>0</v>
      </c>
      <c r="PW72" s="336">
        <v>0</v>
      </c>
      <c r="PX72" s="336">
        <v>0</v>
      </c>
      <c r="PY72" s="336">
        <v>0</v>
      </c>
      <c r="PZ72" s="336">
        <v>0</v>
      </c>
      <c r="QA72" s="336">
        <v>0</v>
      </c>
      <c r="QB72" s="336">
        <v>0</v>
      </c>
      <c r="QC72" s="336">
        <v>0</v>
      </c>
      <c r="QD72" s="336">
        <v>-6389001</v>
      </c>
      <c r="QE72" s="336">
        <v>0</v>
      </c>
      <c r="QF72" s="336">
        <v>0</v>
      </c>
      <c r="QG72" s="336">
        <v>0</v>
      </c>
      <c r="QH72" s="336">
        <v>0</v>
      </c>
      <c r="QI72" s="336">
        <v>0</v>
      </c>
      <c r="QJ72" s="336">
        <v>0</v>
      </c>
      <c r="QK72" s="336">
        <v>0</v>
      </c>
      <c r="QL72" s="336">
        <v>0</v>
      </c>
      <c r="QM72" s="336">
        <v>0</v>
      </c>
      <c r="QN72" s="336">
        <v>0</v>
      </c>
      <c r="QO72" s="336">
        <v>0</v>
      </c>
      <c r="QP72" s="336">
        <v>0</v>
      </c>
      <c r="QQ72" s="336">
        <v>0</v>
      </c>
      <c r="QR72" s="336">
        <v>0</v>
      </c>
      <c r="QS72" s="336">
        <v>0</v>
      </c>
      <c r="QT72" s="336">
        <v>620997</v>
      </c>
      <c r="QU72" s="336">
        <v>0</v>
      </c>
      <c r="QV72" s="336">
        <v>0</v>
      </c>
      <c r="QW72" s="336">
        <v>0</v>
      </c>
      <c r="QX72" s="336">
        <v>0</v>
      </c>
      <c r="QY72" s="336">
        <v>0</v>
      </c>
      <c r="QZ72" s="336">
        <v>0</v>
      </c>
      <c r="RA72" s="336">
        <v>0</v>
      </c>
      <c r="RB72" s="336">
        <v>0</v>
      </c>
      <c r="RC72" s="336">
        <v>0</v>
      </c>
      <c r="RD72" s="336">
        <v>0</v>
      </c>
      <c r="RE72" s="336">
        <v>0</v>
      </c>
      <c r="RF72" s="336">
        <v>0</v>
      </c>
      <c r="RG72" s="336">
        <v>0</v>
      </c>
      <c r="RH72" s="336">
        <v>0</v>
      </c>
      <c r="RI72" s="336">
        <v>0</v>
      </c>
      <c r="RJ72" s="336">
        <v>0</v>
      </c>
      <c r="RK72" s="336">
        <v>0</v>
      </c>
      <c r="RL72" s="336">
        <v>0</v>
      </c>
      <c r="RM72" s="336">
        <v>0</v>
      </c>
      <c r="RN72" s="336">
        <v>0</v>
      </c>
      <c r="RO72" s="336">
        <v>-13759897</v>
      </c>
      <c r="RP72" s="336">
        <v>0</v>
      </c>
      <c r="RQ72" s="336">
        <v>0</v>
      </c>
      <c r="RR72" s="336">
        <v>0</v>
      </c>
      <c r="RS72" s="336">
        <v>0</v>
      </c>
      <c r="RT72" s="336">
        <v>0</v>
      </c>
      <c r="RU72" s="336">
        <v>0</v>
      </c>
      <c r="RV72" s="336">
        <v>0</v>
      </c>
      <c r="RW72" s="336">
        <v>0</v>
      </c>
      <c r="RX72" s="336">
        <v>0</v>
      </c>
      <c r="RY72" s="336">
        <v>0</v>
      </c>
      <c r="RZ72" s="336">
        <v>0</v>
      </c>
      <c r="SA72" s="336">
        <v>0</v>
      </c>
      <c r="SB72" s="336">
        <v>0</v>
      </c>
      <c r="SC72" s="336">
        <v>0</v>
      </c>
      <c r="SD72" s="336">
        <v>0</v>
      </c>
      <c r="SE72" s="336">
        <v>0</v>
      </c>
      <c r="SF72" s="336">
        <v>0</v>
      </c>
      <c r="SG72" s="336">
        <v>0</v>
      </c>
      <c r="SH72" s="336">
        <v>0</v>
      </c>
      <c r="SI72" s="336">
        <v>0</v>
      </c>
      <c r="SJ72" s="336">
        <v>0</v>
      </c>
      <c r="SK72" s="336">
        <v>0</v>
      </c>
      <c r="SL72" s="336">
        <v>0</v>
      </c>
      <c r="SM72" s="336">
        <v>0</v>
      </c>
      <c r="SN72" s="336">
        <v>0</v>
      </c>
      <c r="SO72" s="336">
        <v>0</v>
      </c>
      <c r="SP72" s="336">
        <v>0</v>
      </c>
      <c r="SQ72" s="336">
        <v>2347303</v>
      </c>
      <c r="SR72" s="336">
        <v>363754</v>
      </c>
      <c r="SS72" s="336">
        <v>10381</v>
      </c>
      <c r="ST72" s="336">
        <v>456904</v>
      </c>
      <c r="SU72" s="336">
        <v>0</v>
      </c>
      <c r="SV72" s="336">
        <v>0</v>
      </c>
      <c r="SW72" s="336">
        <v>-1084208</v>
      </c>
      <c r="SX72" s="336">
        <v>0</v>
      </c>
      <c r="SY72" s="336">
        <v>0</v>
      </c>
      <c r="SZ72" s="336" t="s">
        <v>1420</v>
      </c>
      <c r="TA72" s="336" t="s">
        <v>1420</v>
      </c>
      <c r="TB72" s="336" t="s">
        <v>1420</v>
      </c>
      <c r="TC72" s="336">
        <v>96488</v>
      </c>
      <c r="TD72" s="336">
        <v>384213</v>
      </c>
      <c r="TE72" s="336">
        <v>0</v>
      </c>
      <c r="TF72" s="336">
        <v>0</v>
      </c>
      <c r="TG72" s="336">
        <v>2186363</v>
      </c>
      <c r="TH72" s="336">
        <v>142689</v>
      </c>
      <c r="TI72" s="336">
        <v>0</v>
      </c>
      <c r="TJ72" s="336">
        <v>358314</v>
      </c>
      <c r="TK72" s="336">
        <v>0</v>
      </c>
      <c r="TL72" s="336">
        <v>10381</v>
      </c>
      <c r="TM72" s="336">
        <v>0</v>
      </c>
      <c r="TN72" s="336">
        <v>0</v>
      </c>
      <c r="TO72" s="336">
        <v>0</v>
      </c>
      <c r="TP72" s="336">
        <v>0</v>
      </c>
      <c r="TQ72" s="336">
        <v>0</v>
      </c>
      <c r="TR72" s="336">
        <v>0</v>
      </c>
      <c r="TS72" s="336">
        <v>0</v>
      </c>
      <c r="TT72" s="336">
        <v>0</v>
      </c>
      <c r="TU72" s="336">
        <v>0</v>
      </c>
      <c r="TV72" s="336">
        <v>0</v>
      </c>
      <c r="TW72" s="336">
        <v>0</v>
      </c>
      <c r="TX72" s="336">
        <v>0</v>
      </c>
      <c r="TY72" s="336">
        <v>0</v>
      </c>
      <c r="TZ72" s="336">
        <v>0</v>
      </c>
      <c r="UA72" s="336">
        <v>0</v>
      </c>
      <c r="UB72" s="336">
        <v>0</v>
      </c>
      <c r="UC72" s="336">
        <v>0</v>
      </c>
      <c r="UD72" s="336">
        <v>0</v>
      </c>
      <c r="UE72" s="336">
        <v>0</v>
      </c>
      <c r="UF72" s="336">
        <v>0</v>
      </c>
      <c r="UG72" s="336">
        <v>0</v>
      </c>
      <c r="UH72" s="336">
        <v>48709306</v>
      </c>
      <c r="UI72" s="336">
        <v>2962645</v>
      </c>
      <c r="UJ72" s="336">
        <v>165587</v>
      </c>
      <c r="UK72" s="336">
        <v>0</v>
      </c>
      <c r="UL72" s="336">
        <v>29598451</v>
      </c>
      <c r="UM72" s="336">
        <v>9402457</v>
      </c>
      <c r="UN72" s="336">
        <v>19239429</v>
      </c>
      <c r="UO72" s="336">
        <v>11887231</v>
      </c>
      <c r="UP72" s="336">
        <v>13998645</v>
      </c>
      <c r="UQ72" s="336">
        <v>8307661</v>
      </c>
      <c r="UR72"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3178448</v>
      </c>
      <c r="US72" s="338">
        <f>SUM(Input[[#This Row],[Oth Exp E&amp;G]],Input[[#This Row],[Oth Exp Desg]],Input[[#This Row],[Oth Exp Aux]],Input[[#This Row],[Oth Exp R Exp]],Input[[#This Row],[Oth Exp Loan]],Input[[#This Row],[Oth Exp Annuity]],Input[[#This Row],[Oth Exp Unexp]],Input[[#This Row],[Oth Exp R of Ind]],Input[[#This Row],[Oth Exp Inv in P]])</f>
        <v>12439509</v>
      </c>
      <c r="UT72" s="336">
        <v>4060176</v>
      </c>
      <c r="UU72" s="336">
        <v>2734880</v>
      </c>
      <c r="UV72" s="339" t="s">
        <v>1461</v>
      </c>
      <c r="UW72" s="340">
        <v>2812832129</v>
      </c>
      <c r="UX72" s="339" t="s">
        <v>1462</v>
      </c>
      <c r="UY72" s="339" t="s">
        <v>1463</v>
      </c>
      <c r="UZ72" s="340">
        <v>2812832131</v>
      </c>
      <c r="VA72" s="339" t="s">
        <v>1464</v>
      </c>
      <c r="VB72" s="341" cm="1">
        <f t="array" ref="VB72">IFERROR(_xlfn.IFS(Input[[#This Row],[Type]]="HRI",VLOOKUP(Input[[#This Row],[Institution Name]],FTSEHRI[],9,FALSE),Input[[#This Row],[Type]]="UNIV",VLOOKUP(Input[[#This Row],[Institution Name]],FTSEUNIV[],9,FALSE),OR(Input[[#This Row],[Type]]="TSTC",Input[[#This Row],[Type]]="LSC"),VLOOKUP(Input[[#This Row],[Institution Name]],FTSETSTC[],8,FALSE)),"N/A")</f>
        <v>5934.41</v>
      </c>
      <c r="VC72" s="342" t="str" cm="1">
        <f t="array" ref="VC72">IFERROR(_xlfn.IFS(Input[[#This Row],[Type]]="HRI",VLOOKUP(Input[[#This Row],[Institution Name]],FTSEHRI[],11,FALSE),Input[[#This Row],[Type]]="UNIV",VLOOKUP(Input[[#This Row],[Institution Name]],FTSEUNIV[],11,FALSE),Input[[#This Row],[Type]]="TSTC",VLOOKUP(Input[[#This Row],[Institution Name]],FTSETSTC[],10,FALSE)),"N/A")</f>
        <v>N/A</v>
      </c>
      <c r="VD72"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49754230</v>
      </c>
      <c r="VE72"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7959137</v>
      </c>
      <c r="VF72" s="338">
        <f>SUM(Input[[#This Row],[Fed G&amp;C E&amp;G]],Input[[#This Row],[Fed G&amp;C Desg]],Input[[#This Row],[Fed G&amp;C R Exp]],Input[[#This Row],[Fed G&amp;C Loan]],Input[[#This Row],[Fed G&amp;C Annuity]],Input[[#This Row],[Fed G&amp;C Unexp]],Input[[#This Row],[Fed G&amp;C R of Ind]],Input[[#This Row],[Fed G&amp;C Inv in P]])</f>
        <v>21704479</v>
      </c>
      <c r="VG72"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16222218</v>
      </c>
      <c r="VH72"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41018753</v>
      </c>
      <c r="VI72"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7011051</v>
      </c>
      <c r="VJ72" s="338">
        <f>SUM(Input[[#This Row],[Oth Inc E&amp;G]],Input[[#This Row],[Oth Exp Desg]],Input[[#This Row],[Oth Exp R Exp]],Input[[#This Row],[Oth Exp Loan]],Input[[#This Row],[Oth Exp Annuity]],Input[[#This Row],[Oth Exp Unexp]],Input[[#This Row],[Oth Exp R of Ind]],Input[[#This Row],[Oth Exp Inv in P]])</f>
        <v>11783032</v>
      </c>
      <c r="VK72" s="343">
        <f>SUM(Input[[#This Row],[Instr E&amp;G]],Input[[#This Row],[Instr Desg]],Input[[#This Row],[Instr R Exp]],Input[[#This Row],[Instr Loan]],Input[[#This Row],[Instr Annuity]],Input[[#This Row],[Instr Unexp]],Input[[#This Row],[Instr R of Ind]],Input[[#This Row],[Instr Inv in P]])</f>
        <v>48709306</v>
      </c>
      <c r="VL72" s="343">
        <f>SUM(Input[[#This Row],[Res E&amp;G]],Input[[#This Row],[Res Desg]],Input[[#This Row],[Res R Exp]],Input[[#This Row],[Res Loan]],Input[[#This Row],[Res Annuity]],Input[[#This Row],[Res Unexp]],Input[[#This Row],[Res R of Ind]],Input[[#This Row],[Res Inv in P]])</f>
        <v>2962645</v>
      </c>
      <c r="VM72" s="343">
        <f>SUM(Input[[#This Row],[Acad Sup E&amp;G]],Input[[#This Row],[Acad Sup Desg]],Input[[#This Row],[Acad Sup R Exp]],Input[[#This Row],[Acad Sup Loan]],Input[[#This Row],[Acad Sup Annuity]],Input[[#This Row],[Acad Sup Unexp]],Input[[#This Row],[Acad Sup R of Ind]],Input[[#This Row],[Acad Sup Inv in P]])</f>
        <v>29598451</v>
      </c>
      <c r="VN72" s="343">
        <f>SUM(Input[[#This Row],[Stu Svc E&amp;G]],Input[[#This Row],[Stu Svc Desg]],Input[[#This Row],[Stu Svc R Exp]],Input[[#This Row],[Stu Svc Loan]],Input[[#This Row],[Stu Svc Annuity]],Input[[#This Row],[Stu Svc Unexp]],Input[[#This Row],[Stu Svc R of Ind]],Input[[#This Row],[Stu Svc Inv in P]])</f>
        <v>9402457</v>
      </c>
      <c r="VO72" s="343">
        <f>SUM(Input[[#This Row],[Inst. Spt E&amp;G]],Input[[#This Row],[Inst. Spt Desg]],Input[[#This Row],[Inst. Spt R Exp]],Input[[#This Row],[Inst. Spt Loan]],Input[[#This Row],[Inst. Spt Annuity]],Input[[#This Row],[Inst. Spt Unexp]],Input[[#This Row],[Inst. Spt R of Ind]],Input[[#This Row],[Inst. Spt Inv in P]])</f>
        <v>19239429</v>
      </c>
      <c r="VP72" s="343">
        <f>SUM(Input[[#This Row],[M&amp;O Plnt E&amp;G]],Input[[#This Row],[M&amp;O Plnt Desg]],Input[[#This Row],[M&amp;O Plnt R Exp]],Input[[#This Row],[M&amp;O Plnt Loan]],Input[[#This Row],[M&amp;O Plnt Annuity]],Input[[#This Row],[M&amp;O Plnt Unexp]],Input[[#This Row],[M&amp;O Plnt R of Ind]],Input[[#This Row],[M&amp;O Plnt Inv in P]])</f>
        <v>11887231</v>
      </c>
      <c r="VQ72" s="343">
        <f>SUM(Input[[#This Row],[Schl &amp; Fell E&amp;G]],Input[[#This Row],[Schl &amp; Fell Desg]],Input[[#This Row],[Schl &amp; Fell R Exp]],Input[[#This Row],[Schl &amp; Fell Loan]],Input[[#This Row],[Schl &amp; Fell Annuity]],Input[[#This Row],[Schl &amp; Fell Unexp]],Input[[#This Row],[Schl &amp; Fell R of Ind]],Input[[#This Row],[Schl &amp; Fell Inv in P]])</f>
        <v>13998645</v>
      </c>
      <c r="VR72" s="343">
        <f>SUM(Input[[#This Row],[Cap Out fund E&amp;G]],Input[[#This Row],[Cap Out fund Desg]],Input[[#This Row],[Cap Out fund R Exp]],Input[[#This Row],[Cap Out fund Loan]],Input[[#This Row],[Cap Out fund Annuity]],Input[[#This Row],[Cap Out fund Unexp]],Input[[#This Row],[Cap Out fund R of Ind]],Input[[#This Row],[Cap Out fund Inv in P]])</f>
        <v>3168067</v>
      </c>
      <c r="VS72" s="343">
        <f>SUM(Input[[#This Row],[Oth Exp E&amp;G]],Input[[#This Row],[Oth Exp Desg]],Input[[#This Row],[Oth Exp R Exp]],Input[[#This Row],[Oth Exp Loan]],Input[[#This Row],[Oth Exp Annuity]],Input[[#This Row],[Oth Exp Unexp]],Input[[#This Row],[Oth Exp R of Ind]],Input[[#This Row],[Oth Exp Inv in P]],Input[[#This Row],[Oth Exp Inv in P]])</f>
        <v>12421898</v>
      </c>
    </row>
    <row r="73" spans="1:591" s="344" customFormat="1" ht="27" customHeight="1" x14ac:dyDescent="0.55000000000000004">
      <c r="A73" s="339" t="s">
        <v>80</v>
      </c>
      <c r="B73" s="334" t="s">
        <v>828</v>
      </c>
      <c r="C73" s="334" t="s">
        <v>21</v>
      </c>
      <c r="D73" s="334">
        <v>250</v>
      </c>
      <c r="E73" s="334" t="s">
        <v>1622</v>
      </c>
      <c r="F73" s="335">
        <v>12826</v>
      </c>
      <c r="G73" s="336">
        <v>37010933</v>
      </c>
      <c r="H73" s="336">
        <v>0</v>
      </c>
      <c r="I73" s="336">
        <v>0</v>
      </c>
      <c r="J73" s="336">
        <v>0</v>
      </c>
      <c r="K73" s="336">
        <v>0</v>
      </c>
      <c r="L73" s="336">
        <v>0</v>
      </c>
      <c r="M73" s="336">
        <v>0</v>
      </c>
      <c r="N73" s="336">
        <v>0</v>
      </c>
      <c r="O73" s="336">
        <v>0</v>
      </c>
      <c r="P73" s="336">
        <v>1880</v>
      </c>
      <c r="Q73" s="336">
        <v>8191</v>
      </c>
      <c r="R73" s="336">
        <v>0</v>
      </c>
      <c r="S73" s="336">
        <v>10388772</v>
      </c>
      <c r="T73" s="336">
        <v>0</v>
      </c>
      <c r="U73" s="336">
        <v>0</v>
      </c>
      <c r="V73" s="336">
        <v>0</v>
      </c>
      <c r="W73" s="336">
        <v>0</v>
      </c>
      <c r="X73" s="336">
        <v>0</v>
      </c>
      <c r="Y73" s="336">
        <v>11155034</v>
      </c>
      <c r="Z73" s="336">
        <v>0</v>
      </c>
      <c r="AA73" s="336">
        <v>0</v>
      </c>
      <c r="AB73" s="336">
        <v>0</v>
      </c>
      <c r="AC73" s="336">
        <v>0</v>
      </c>
      <c r="AD73" s="336">
        <v>0</v>
      </c>
      <c r="AE73" s="336">
        <v>0</v>
      </c>
      <c r="AF73" s="336">
        <v>0</v>
      </c>
      <c r="AG73" s="336">
        <v>0</v>
      </c>
      <c r="AH73" s="336">
        <v>0</v>
      </c>
      <c r="AI73" s="336">
        <v>0</v>
      </c>
      <c r="AJ73" s="336">
        <v>0</v>
      </c>
      <c r="AK73" s="336">
        <v>0</v>
      </c>
      <c r="AL73" s="336">
        <v>0</v>
      </c>
      <c r="AM73" s="336">
        <v>0</v>
      </c>
      <c r="AN73" s="336">
        <v>0</v>
      </c>
      <c r="AO73" s="336">
        <v>0</v>
      </c>
      <c r="AP73" s="336">
        <v>0</v>
      </c>
      <c r="AQ73" s="336">
        <v>-673096</v>
      </c>
      <c r="AR73" s="336">
        <v>0</v>
      </c>
      <c r="AS73" s="336">
        <v>0</v>
      </c>
      <c r="AT73" s="336">
        <v>0</v>
      </c>
      <c r="AU73" s="336">
        <v>0</v>
      </c>
      <c r="AV73" s="336">
        <v>0</v>
      </c>
      <c r="AW73" s="336">
        <v>0</v>
      </c>
      <c r="AX73" s="336">
        <v>0</v>
      </c>
      <c r="AY73" s="336">
        <v>0</v>
      </c>
      <c r="AZ73" s="336">
        <v>0</v>
      </c>
      <c r="BA73" s="336">
        <v>-25677</v>
      </c>
      <c r="BB73" s="336">
        <v>0</v>
      </c>
      <c r="BC73" s="336">
        <v>0</v>
      </c>
      <c r="BD73" s="336">
        <v>0</v>
      </c>
      <c r="BE73" s="336">
        <v>0</v>
      </c>
      <c r="BF73" s="336">
        <v>0</v>
      </c>
      <c r="BG73" s="336">
        <v>0</v>
      </c>
      <c r="BH73" s="336">
        <v>0</v>
      </c>
      <c r="BI73" s="336">
        <v>0</v>
      </c>
      <c r="BJ73" s="336">
        <v>0</v>
      </c>
      <c r="BK73" s="336">
        <v>0</v>
      </c>
      <c r="BL73" s="336">
        <v>0</v>
      </c>
      <c r="BM73" s="336">
        <v>0</v>
      </c>
      <c r="BN73" s="336">
        <v>0</v>
      </c>
      <c r="BO73" s="336">
        <v>0</v>
      </c>
      <c r="BP73" s="336">
        <v>0</v>
      </c>
      <c r="BQ73" s="336">
        <v>0</v>
      </c>
      <c r="BR73" s="336">
        <v>0</v>
      </c>
      <c r="BS73" s="336">
        <v>0</v>
      </c>
      <c r="BT73" s="336">
        <v>0</v>
      </c>
      <c r="BU73" s="336">
        <v>0</v>
      </c>
      <c r="BV73" s="336">
        <v>0</v>
      </c>
      <c r="BW73" s="336">
        <v>0</v>
      </c>
      <c r="BX73" s="336">
        <v>0</v>
      </c>
      <c r="BY73" s="336">
        <v>0</v>
      </c>
      <c r="BZ73" s="336">
        <v>0</v>
      </c>
      <c r="CA73" s="336">
        <v>20649288</v>
      </c>
      <c r="CB73" s="336">
        <v>65828852</v>
      </c>
      <c r="CC73" s="336">
        <v>0</v>
      </c>
      <c r="CD73" s="336">
        <v>0</v>
      </c>
      <c r="CE73" s="336">
        <v>0</v>
      </c>
      <c r="CF73" s="336">
        <v>0</v>
      </c>
      <c r="CG73" s="336">
        <v>0</v>
      </c>
      <c r="CH73" s="336">
        <v>0</v>
      </c>
      <c r="CI73" s="336">
        <v>0</v>
      </c>
      <c r="CJ73" s="336">
        <v>0</v>
      </c>
      <c r="CK73" s="336">
        <v>0</v>
      </c>
      <c r="CL73" s="336">
        <v>0</v>
      </c>
      <c r="CM73" s="336">
        <v>0</v>
      </c>
      <c r="CN73" s="336">
        <v>0</v>
      </c>
      <c r="CO73" s="336">
        <v>0</v>
      </c>
      <c r="CP73" s="336">
        <v>0</v>
      </c>
      <c r="CQ73" s="336">
        <v>0</v>
      </c>
      <c r="CR73" s="336">
        <v>0</v>
      </c>
      <c r="CS73" s="336">
        <v>0</v>
      </c>
      <c r="CT73" s="336">
        <v>0</v>
      </c>
      <c r="CU73" s="336">
        <v>0</v>
      </c>
      <c r="CV73" s="336">
        <v>0</v>
      </c>
      <c r="CW73" s="336">
        <v>0</v>
      </c>
      <c r="CX73" s="336">
        <v>0</v>
      </c>
      <c r="CY73" s="336">
        <v>0</v>
      </c>
      <c r="CZ73" s="336">
        <v>0</v>
      </c>
      <c r="DA73" s="336">
        <v>0</v>
      </c>
      <c r="DB73" s="336">
        <v>-516292</v>
      </c>
      <c r="DC73" s="336">
        <v>-1804925</v>
      </c>
      <c r="DD73" s="336">
        <v>0</v>
      </c>
      <c r="DE73" s="336">
        <v>0</v>
      </c>
      <c r="DF73" s="336">
        <v>0</v>
      </c>
      <c r="DG73" s="336">
        <v>0</v>
      </c>
      <c r="DH73" s="336">
        <v>0</v>
      </c>
      <c r="DI73" s="336">
        <v>0</v>
      </c>
      <c r="DJ73" s="336">
        <v>0</v>
      </c>
      <c r="DK73" s="336">
        <v>0</v>
      </c>
      <c r="DL73" s="336">
        <v>0</v>
      </c>
      <c r="DM73" s="336">
        <v>0</v>
      </c>
      <c r="DN73" s="336">
        <v>0</v>
      </c>
      <c r="DO73" s="336">
        <v>0</v>
      </c>
      <c r="DP73" s="336">
        <v>0</v>
      </c>
      <c r="DQ73" s="336">
        <v>0</v>
      </c>
      <c r="DR73" s="336">
        <v>0</v>
      </c>
      <c r="DS73" s="336">
        <v>0</v>
      </c>
      <c r="DT73" s="336">
        <v>-6337936</v>
      </c>
      <c r="DU73" s="336">
        <v>-20045997</v>
      </c>
      <c r="DV73" s="336">
        <v>0</v>
      </c>
      <c r="DW73" s="336">
        <v>0</v>
      </c>
      <c r="DX73" s="336">
        <v>0</v>
      </c>
      <c r="DY73" s="336">
        <v>0</v>
      </c>
      <c r="DZ73" s="336">
        <v>0</v>
      </c>
      <c r="EA73" s="336">
        <v>0</v>
      </c>
      <c r="EB73" s="336">
        <v>0</v>
      </c>
      <c r="EC73" s="336">
        <v>0</v>
      </c>
      <c r="ED73" s="336">
        <v>0</v>
      </c>
      <c r="EE73" s="336">
        <v>0</v>
      </c>
      <c r="EF73" s="336">
        <v>0</v>
      </c>
      <c r="EG73" s="336">
        <v>0</v>
      </c>
      <c r="EH73" s="336">
        <v>0</v>
      </c>
      <c r="EI73" s="336">
        <v>0</v>
      </c>
      <c r="EJ73" s="336">
        <v>0</v>
      </c>
      <c r="EK73" s="336">
        <v>0</v>
      </c>
      <c r="EL73" s="336">
        <v>0</v>
      </c>
      <c r="EM73" s="336">
        <v>0</v>
      </c>
      <c r="EN73" s="336">
        <v>0</v>
      </c>
      <c r="EO73" s="336">
        <v>0</v>
      </c>
      <c r="EP73" s="336">
        <v>0</v>
      </c>
      <c r="EQ73" s="336">
        <v>0</v>
      </c>
      <c r="ER73" s="336">
        <v>0</v>
      </c>
      <c r="ES73" s="336">
        <v>0</v>
      </c>
      <c r="ET73" s="336">
        <v>0</v>
      </c>
      <c r="EU73" s="336">
        <v>0</v>
      </c>
      <c r="EV73" s="336">
        <v>0</v>
      </c>
      <c r="EW73" s="336">
        <v>0</v>
      </c>
      <c r="EX73" s="336">
        <v>0</v>
      </c>
      <c r="EY73" s="336">
        <v>0</v>
      </c>
      <c r="EZ73" s="336">
        <v>0</v>
      </c>
      <c r="FA73" s="336">
        <v>0</v>
      </c>
      <c r="FB73" s="336">
        <v>0</v>
      </c>
      <c r="FC73" s="336">
        <v>0</v>
      </c>
      <c r="FD73" s="336">
        <v>0</v>
      </c>
      <c r="FE73" s="336">
        <v>0</v>
      </c>
      <c r="FF73" s="336">
        <v>0</v>
      </c>
      <c r="FG73" s="336">
        <v>0</v>
      </c>
      <c r="FH73" s="336">
        <v>0</v>
      </c>
      <c r="FI73" s="336">
        <v>0</v>
      </c>
      <c r="FJ73" s="336">
        <v>0</v>
      </c>
      <c r="FK73" s="336">
        <v>0</v>
      </c>
      <c r="FL73" s="336">
        <v>0</v>
      </c>
      <c r="FM73" s="336">
        <v>0</v>
      </c>
      <c r="FN73" s="336">
        <v>15381337</v>
      </c>
      <c r="FO73" s="336">
        <v>9826278</v>
      </c>
      <c r="FP73" s="336">
        <v>0</v>
      </c>
      <c r="FQ73" s="336">
        <v>0</v>
      </c>
      <c r="FR73" s="336">
        <v>0</v>
      </c>
      <c r="FS73" s="336">
        <v>0</v>
      </c>
      <c r="FT73" s="336">
        <v>0</v>
      </c>
      <c r="FU73" s="336">
        <v>0</v>
      </c>
      <c r="FV73" s="336">
        <v>0</v>
      </c>
      <c r="FW73" s="336">
        <v>0</v>
      </c>
      <c r="FX73" s="336">
        <v>0</v>
      </c>
      <c r="FY73" s="336">
        <v>0</v>
      </c>
      <c r="FZ73" s="336">
        <v>0</v>
      </c>
      <c r="GA73" s="336">
        <v>0</v>
      </c>
      <c r="GB73" s="336">
        <v>0</v>
      </c>
      <c r="GC73" s="336">
        <v>0</v>
      </c>
      <c r="GD73" s="336">
        <v>0</v>
      </c>
      <c r="GE73" s="336">
        <v>0</v>
      </c>
      <c r="GF73" s="336">
        <v>0</v>
      </c>
      <c r="GG73" s="336">
        <v>0</v>
      </c>
      <c r="GH73" s="336">
        <v>0</v>
      </c>
      <c r="GI73" s="336">
        <v>0</v>
      </c>
      <c r="GJ73" s="336">
        <v>0</v>
      </c>
      <c r="GK73" s="336">
        <v>0</v>
      </c>
      <c r="GL73" s="336">
        <v>0</v>
      </c>
      <c r="GM73" s="336">
        <v>0</v>
      </c>
      <c r="GN73" s="336">
        <v>0</v>
      </c>
      <c r="GO73" s="336">
        <v>-349017</v>
      </c>
      <c r="GP73" s="336">
        <v>-157501</v>
      </c>
      <c r="GQ73" s="336">
        <v>0</v>
      </c>
      <c r="GR73" s="336">
        <v>0</v>
      </c>
      <c r="GS73" s="336">
        <v>0</v>
      </c>
      <c r="GT73" s="336">
        <v>0</v>
      </c>
      <c r="GU73" s="336">
        <v>0</v>
      </c>
      <c r="GV73" s="336">
        <v>0</v>
      </c>
      <c r="GW73" s="336">
        <v>0</v>
      </c>
      <c r="GX73" s="336">
        <v>0</v>
      </c>
      <c r="GY73" s="336">
        <v>0</v>
      </c>
      <c r="GZ73" s="336">
        <v>0</v>
      </c>
      <c r="HA73" s="336">
        <v>0</v>
      </c>
      <c r="HB73" s="336">
        <v>0</v>
      </c>
      <c r="HC73" s="336">
        <v>0</v>
      </c>
      <c r="HD73" s="336">
        <v>0</v>
      </c>
      <c r="HE73" s="336">
        <v>0</v>
      </c>
      <c r="HF73" s="336">
        <v>0</v>
      </c>
      <c r="HG73" s="336">
        <v>-4756592</v>
      </c>
      <c r="HH73" s="336">
        <v>-3104188</v>
      </c>
      <c r="HI73" s="336">
        <v>0</v>
      </c>
      <c r="HJ73" s="336">
        <v>0</v>
      </c>
      <c r="HK73" s="336">
        <v>0</v>
      </c>
      <c r="HL73" s="336">
        <v>0</v>
      </c>
      <c r="HM73" s="336">
        <v>0</v>
      </c>
      <c r="HN73" s="336">
        <v>0</v>
      </c>
      <c r="HO73" s="336">
        <v>-18652</v>
      </c>
      <c r="HP73" s="336">
        <v>371632</v>
      </c>
      <c r="HQ73" s="336">
        <v>0</v>
      </c>
      <c r="HR73" s="336">
        <v>49958537</v>
      </c>
      <c r="HS73" s="336">
        <v>0</v>
      </c>
      <c r="HT73" s="336">
        <v>0</v>
      </c>
      <c r="HU73" s="336">
        <v>0</v>
      </c>
      <c r="HV73" s="336">
        <v>0</v>
      </c>
      <c r="HW73" s="336">
        <v>0</v>
      </c>
      <c r="HX73" s="336">
        <v>0</v>
      </c>
      <c r="HY73" s="336">
        <v>0</v>
      </c>
      <c r="HZ73" s="336">
        <v>0</v>
      </c>
      <c r="IA73" s="336">
        <v>0</v>
      </c>
      <c r="IB73" s="336">
        <v>0</v>
      </c>
      <c r="IC73" s="336">
        <v>0</v>
      </c>
      <c r="ID73" s="336">
        <v>0</v>
      </c>
      <c r="IE73" s="336">
        <v>0</v>
      </c>
      <c r="IF73" s="336">
        <v>0</v>
      </c>
      <c r="IG73" s="336">
        <v>0</v>
      </c>
      <c r="IH73" s="336">
        <v>0</v>
      </c>
      <c r="II73" s="336">
        <v>0</v>
      </c>
      <c r="IJ73" s="336">
        <v>0</v>
      </c>
      <c r="IK73" s="336">
        <v>0</v>
      </c>
      <c r="IL73" s="336">
        <v>0</v>
      </c>
      <c r="IM73" s="336">
        <v>0</v>
      </c>
      <c r="IN73" s="336">
        <v>0</v>
      </c>
      <c r="IO73" s="336">
        <v>0</v>
      </c>
      <c r="IP73" s="336">
        <v>248110</v>
      </c>
      <c r="IQ73" s="336">
        <v>2705040</v>
      </c>
      <c r="IR73" s="336">
        <v>0</v>
      </c>
      <c r="IS73" s="336">
        <v>0</v>
      </c>
      <c r="IT73" s="336">
        <v>102580</v>
      </c>
      <c r="IU73" s="336">
        <v>2408219</v>
      </c>
      <c r="IV73" s="336">
        <v>881661</v>
      </c>
      <c r="IW73" s="336">
        <v>0</v>
      </c>
      <c r="IX73" s="336">
        <v>0</v>
      </c>
      <c r="IY73" s="336">
        <v>0</v>
      </c>
      <c r="IZ73" s="336">
        <v>0</v>
      </c>
      <c r="JA73" s="336">
        <v>0</v>
      </c>
      <c r="JB73" s="336">
        <v>0</v>
      </c>
      <c r="JC73" s="336">
        <v>0</v>
      </c>
      <c r="JD73" s="336">
        <v>0</v>
      </c>
      <c r="JE73" s="336">
        <v>0</v>
      </c>
      <c r="JF73" s="336">
        <v>0</v>
      </c>
      <c r="JG73" s="336">
        <v>0</v>
      </c>
      <c r="JH73" s="336">
        <v>-171894</v>
      </c>
      <c r="JI73" s="336">
        <v>0</v>
      </c>
      <c r="JJ73" s="336">
        <v>0</v>
      </c>
      <c r="JK73" s="336">
        <v>-2326757</v>
      </c>
      <c r="JL73" s="336">
        <v>0</v>
      </c>
      <c r="JM73" s="336">
        <v>942</v>
      </c>
      <c r="JN73" s="336">
        <v>0</v>
      </c>
      <c r="JO73" s="336">
        <v>0</v>
      </c>
      <c r="JP73" s="336">
        <v>0</v>
      </c>
      <c r="JQ73" s="336">
        <v>0</v>
      </c>
      <c r="JR73" s="336">
        <v>2543110</v>
      </c>
      <c r="JS73" s="336">
        <v>0</v>
      </c>
      <c r="JT73" s="336">
        <v>0</v>
      </c>
      <c r="JU73" s="336">
        <v>0</v>
      </c>
      <c r="JV73" s="336">
        <v>0</v>
      </c>
      <c r="JW73" s="336">
        <v>0</v>
      </c>
      <c r="JX73" s="336">
        <v>0</v>
      </c>
      <c r="JY73" s="336">
        <v>0</v>
      </c>
      <c r="JZ73" s="336">
        <v>0</v>
      </c>
      <c r="KA73" s="336">
        <v>0</v>
      </c>
      <c r="KB73" s="336">
        <v>1625911</v>
      </c>
      <c r="KC73" s="336">
        <v>0</v>
      </c>
      <c r="KD73" s="336">
        <v>0</v>
      </c>
      <c r="KE73" s="336">
        <v>0</v>
      </c>
      <c r="KF73" s="336">
        <v>0</v>
      </c>
      <c r="KG73" s="336">
        <v>0</v>
      </c>
      <c r="KH73" s="336">
        <v>0</v>
      </c>
      <c r="KI73" s="336">
        <v>0</v>
      </c>
      <c r="KJ73" s="336">
        <v>1064430</v>
      </c>
      <c r="KK73" s="336">
        <v>0</v>
      </c>
      <c r="KL73" s="336">
        <v>2340774</v>
      </c>
      <c r="KM73" s="336">
        <v>0</v>
      </c>
      <c r="KN73" s="336">
        <v>0</v>
      </c>
      <c r="KO73" s="336">
        <v>0</v>
      </c>
      <c r="KP73" s="336">
        <v>0</v>
      </c>
      <c r="KQ73" s="336">
        <v>0</v>
      </c>
      <c r="KR73" s="336">
        <v>37882269</v>
      </c>
      <c r="KS73" s="336">
        <v>18149607</v>
      </c>
      <c r="KT73" s="336">
        <v>0</v>
      </c>
      <c r="KU73" s="336">
        <v>1724964</v>
      </c>
      <c r="KV73" s="336">
        <v>0</v>
      </c>
      <c r="KW73" s="336">
        <v>0</v>
      </c>
      <c r="KX73" s="336">
        <v>0</v>
      </c>
      <c r="KY73" s="336">
        <v>0</v>
      </c>
      <c r="KZ73" s="336">
        <v>0</v>
      </c>
      <c r="LA73" s="336">
        <v>354857</v>
      </c>
      <c r="LB73" s="336">
        <v>299948</v>
      </c>
      <c r="LC73" s="336">
        <v>0</v>
      </c>
      <c r="LD73" s="336">
        <v>2462650</v>
      </c>
      <c r="LE73" s="336">
        <v>0</v>
      </c>
      <c r="LF73" s="336">
        <v>0</v>
      </c>
      <c r="LG73" s="336">
        <v>0</v>
      </c>
      <c r="LH73" s="336">
        <v>0</v>
      </c>
      <c r="LI73" s="336">
        <v>0</v>
      </c>
      <c r="LJ73" s="336">
        <v>230034</v>
      </c>
      <c r="LK73" s="336">
        <v>1833176</v>
      </c>
      <c r="LL73" s="336">
        <v>0</v>
      </c>
      <c r="LM73" s="336">
        <v>1004937</v>
      </c>
      <c r="LN73" s="336">
        <v>0</v>
      </c>
      <c r="LO73" s="336">
        <v>0</v>
      </c>
      <c r="LP73" s="336">
        <v>0</v>
      </c>
      <c r="LQ73" s="336">
        <v>0</v>
      </c>
      <c r="LR73" s="336">
        <v>0</v>
      </c>
      <c r="LS73" s="336">
        <v>0</v>
      </c>
      <c r="LT73" s="336">
        <v>0</v>
      </c>
      <c r="LU73" s="336">
        <v>0</v>
      </c>
      <c r="LV73" s="336">
        <v>0</v>
      </c>
      <c r="LW73" s="336">
        <v>0</v>
      </c>
      <c r="LX73" s="336">
        <v>0</v>
      </c>
      <c r="LY73" s="336">
        <v>0</v>
      </c>
      <c r="LZ73" s="336">
        <v>0</v>
      </c>
      <c r="MA73" s="336">
        <v>0</v>
      </c>
      <c r="MB73" s="336">
        <v>4212490</v>
      </c>
      <c r="MC73" s="336">
        <v>24288483</v>
      </c>
      <c r="MD73" s="336">
        <v>0</v>
      </c>
      <c r="ME73" s="336">
        <v>1737852</v>
      </c>
      <c r="MF73" s="336">
        <v>0</v>
      </c>
      <c r="MG73" s="336">
        <v>0</v>
      </c>
      <c r="MH73" s="336">
        <v>0</v>
      </c>
      <c r="MI73" s="336">
        <v>0</v>
      </c>
      <c r="MJ73" s="336">
        <v>0</v>
      </c>
      <c r="MK73" s="336">
        <v>2567380</v>
      </c>
      <c r="ML73" s="336">
        <v>5760973</v>
      </c>
      <c r="MM73" s="336">
        <v>0</v>
      </c>
      <c r="MN73" s="336">
        <v>479959</v>
      </c>
      <c r="MO73" s="336">
        <v>0</v>
      </c>
      <c r="MP73" s="336">
        <v>0</v>
      </c>
      <c r="MQ73" s="336">
        <v>0</v>
      </c>
      <c r="MR73" s="336">
        <v>0</v>
      </c>
      <c r="MS73" s="336">
        <v>0</v>
      </c>
      <c r="MT73" s="336">
        <v>8601470</v>
      </c>
      <c r="MU73" s="336">
        <v>24233705</v>
      </c>
      <c r="MV73" s="336">
        <v>0</v>
      </c>
      <c r="MW73" s="336">
        <v>-139332</v>
      </c>
      <c r="MX73" s="336">
        <v>0</v>
      </c>
      <c r="MY73" s="336">
        <v>0</v>
      </c>
      <c r="MZ73" s="336">
        <v>0</v>
      </c>
      <c r="NA73" s="336">
        <v>0</v>
      </c>
      <c r="NB73" s="336">
        <v>0</v>
      </c>
      <c r="NC73" s="336">
        <v>4360784</v>
      </c>
      <c r="ND73" s="336">
        <v>6328659</v>
      </c>
      <c r="NE73" s="336">
        <v>0</v>
      </c>
      <c r="NF73" s="336">
        <v>9658</v>
      </c>
      <c r="NG73" s="336">
        <v>0</v>
      </c>
      <c r="NH73" s="336">
        <v>0</v>
      </c>
      <c r="NI73" s="336">
        <v>0</v>
      </c>
      <c r="NJ73" s="336">
        <v>0</v>
      </c>
      <c r="NK73" s="336">
        <v>0</v>
      </c>
      <c r="NL73" s="336">
        <v>-212767</v>
      </c>
      <c r="NM73" s="336">
        <v>4822183</v>
      </c>
      <c r="NN73" s="336">
        <v>0</v>
      </c>
      <c r="NO73" s="336">
        <v>23679689</v>
      </c>
      <c r="NP73" s="336">
        <v>0</v>
      </c>
      <c r="NQ73" s="336">
        <v>0</v>
      </c>
      <c r="NR73" s="336">
        <v>0</v>
      </c>
      <c r="NS73" s="336">
        <v>0</v>
      </c>
      <c r="NT73" s="336">
        <v>0</v>
      </c>
      <c r="NU73" s="336">
        <v>0</v>
      </c>
      <c r="NV73" s="336">
        <v>0</v>
      </c>
      <c r="NW73" s="336">
        <v>8555791</v>
      </c>
      <c r="NX73" s="336">
        <v>145974</v>
      </c>
      <c r="NY73" s="336">
        <v>0</v>
      </c>
      <c r="NZ73" s="336">
        <v>0</v>
      </c>
      <c r="OA73" s="336">
        <v>0</v>
      </c>
      <c r="OB73" s="336">
        <v>0</v>
      </c>
      <c r="OC73" s="336">
        <v>0</v>
      </c>
      <c r="OD73" s="336">
        <v>4294852</v>
      </c>
      <c r="OE73" s="336">
        <v>90752</v>
      </c>
      <c r="OF73" s="336">
        <v>10212</v>
      </c>
      <c r="OG73" s="336">
        <v>443429</v>
      </c>
      <c r="OH73" s="336">
        <v>0</v>
      </c>
      <c r="OI73" s="336">
        <v>0</v>
      </c>
      <c r="OJ73" s="336">
        <v>0</v>
      </c>
      <c r="OK73" s="336">
        <v>0</v>
      </c>
      <c r="OL73" s="336">
        <v>0</v>
      </c>
      <c r="OM73" s="336">
        <v>0</v>
      </c>
      <c r="ON73" s="336">
        <v>0</v>
      </c>
      <c r="OO73" s="336">
        <v>318543</v>
      </c>
      <c r="OP73" s="336">
        <v>0</v>
      </c>
      <c r="OQ73" s="336">
        <v>0</v>
      </c>
      <c r="OR73" s="336">
        <v>1751173</v>
      </c>
      <c r="OS73" s="336">
        <v>4931047</v>
      </c>
      <c r="OT73" s="336">
        <v>0</v>
      </c>
      <c r="OU73" s="336">
        <v>0</v>
      </c>
      <c r="OV73" s="336">
        <v>0</v>
      </c>
      <c r="OW73" s="336">
        <v>0</v>
      </c>
      <c r="OX73" s="336">
        <v>0</v>
      </c>
      <c r="OY73" s="336">
        <v>0</v>
      </c>
      <c r="OZ73" s="336">
        <v>0</v>
      </c>
      <c r="PA73" s="336">
        <v>0</v>
      </c>
      <c r="PB73" s="336">
        <v>-6224496</v>
      </c>
      <c r="PC73" s="336">
        <v>0</v>
      </c>
      <c r="PD73" s="336">
        <v>0</v>
      </c>
      <c r="PE73" s="336">
        <v>-5059810</v>
      </c>
      <c r="PF73" s="336">
        <v>21517286</v>
      </c>
      <c r="PG73" s="336">
        <v>325326</v>
      </c>
      <c r="PH73" s="336">
        <v>-30367781</v>
      </c>
      <c r="PI73" s="336">
        <v>238552</v>
      </c>
      <c r="PJ73" s="336">
        <v>-314873</v>
      </c>
      <c r="PK73" s="336">
        <v>3322183</v>
      </c>
      <c r="PL73" s="336">
        <v>14956869</v>
      </c>
      <c r="PM73" s="336">
        <v>0</v>
      </c>
      <c r="PN73" s="336">
        <v>0</v>
      </c>
      <c r="PO73" s="336">
        <v>0</v>
      </c>
      <c r="PP73" s="336">
        <v>0</v>
      </c>
      <c r="PQ73" s="336">
        <v>0</v>
      </c>
      <c r="PR73" s="336">
        <v>0</v>
      </c>
      <c r="PS73" s="336">
        <v>0</v>
      </c>
      <c r="PT73" s="336">
        <v>0</v>
      </c>
      <c r="PU73" s="336">
        <v>0</v>
      </c>
      <c r="PV73" s="336">
        <v>0</v>
      </c>
      <c r="PW73" s="336">
        <v>0</v>
      </c>
      <c r="PX73" s="336">
        <v>0</v>
      </c>
      <c r="PY73" s="336">
        <v>0</v>
      </c>
      <c r="PZ73" s="336">
        <v>0</v>
      </c>
      <c r="QA73" s="336">
        <v>0</v>
      </c>
      <c r="QB73" s="336">
        <v>0</v>
      </c>
      <c r="QC73" s="336">
        <v>0</v>
      </c>
      <c r="QD73" s="336">
        <v>-14940689</v>
      </c>
      <c r="QE73" s="336">
        <v>0</v>
      </c>
      <c r="QF73" s="336">
        <v>0</v>
      </c>
      <c r="QG73" s="336">
        <v>935427</v>
      </c>
      <c r="QH73" s="336">
        <v>0</v>
      </c>
      <c r="QI73" s="336">
        <v>0</v>
      </c>
      <c r="QJ73" s="336">
        <v>0</v>
      </c>
      <c r="QK73" s="336">
        <v>2786592</v>
      </c>
      <c r="QL73" s="336">
        <v>0</v>
      </c>
      <c r="QM73" s="336">
        <v>0</v>
      </c>
      <c r="QN73" s="336">
        <v>0</v>
      </c>
      <c r="QO73" s="336">
        <v>0</v>
      </c>
      <c r="QP73" s="336">
        <v>0</v>
      </c>
      <c r="QQ73" s="336">
        <v>0</v>
      </c>
      <c r="QR73" s="336">
        <v>0</v>
      </c>
      <c r="QS73" s="336">
        <v>0</v>
      </c>
      <c r="QT73" s="336">
        <v>1086339</v>
      </c>
      <c r="QU73" s="336">
        <v>0</v>
      </c>
      <c r="QV73" s="336">
        <v>0</v>
      </c>
      <c r="QW73" s="336">
        <v>0</v>
      </c>
      <c r="QX73" s="336">
        <v>0</v>
      </c>
      <c r="QY73" s="336">
        <v>0</v>
      </c>
      <c r="QZ73" s="336">
        <v>0</v>
      </c>
      <c r="RA73" s="336">
        <v>0</v>
      </c>
      <c r="RB73" s="336">
        <v>0</v>
      </c>
      <c r="RC73" s="336">
        <v>0</v>
      </c>
      <c r="RD73" s="336">
        <v>0</v>
      </c>
      <c r="RE73" s="336">
        <v>0</v>
      </c>
      <c r="RF73" s="336">
        <v>0</v>
      </c>
      <c r="RG73" s="336">
        <v>0</v>
      </c>
      <c r="RH73" s="336">
        <v>0</v>
      </c>
      <c r="RI73" s="336">
        <v>0</v>
      </c>
      <c r="RJ73" s="336">
        <v>0</v>
      </c>
      <c r="RK73" s="336">
        <v>0</v>
      </c>
      <c r="RL73" s="336">
        <v>0</v>
      </c>
      <c r="RM73" s="336">
        <v>0</v>
      </c>
      <c r="RN73" s="336">
        <v>0</v>
      </c>
      <c r="RO73" s="336">
        <v>-15161866</v>
      </c>
      <c r="RP73" s="336">
        <v>0</v>
      </c>
      <c r="RQ73" s="336">
        <v>0</v>
      </c>
      <c r="RR73" s="336">
        <v>0</v>
      </c>
      <c r="RS73" s="336">
        <v>0</v>
      </c>
      <c r="RT73" s="336">
        <v>0</v>
      </c>
      <c r="RU73" s="336">
        <v>0</v>
      </c>
      <c r="RV73" s="336">
        <v>0</v>
      </c>
      <c r="RW73" s="336">
        <v>0</v>
      </c>
      <c r="RX73" s="336">
        <v>0</v>
      </c>
      <c r="RY73" s="336">
        <v>0</v>
      </c>
      <c r="RZ73" s="336">
        <v>0</v>
      </c>
      <c r="SA73" s="336">
        <v>0</v>
      </c>
      <c r="SB73" s="336">
        <v>0</v>
      </c>
      <c r="SC73" s="336">
        <v>0</v>
      </c>
      <c r="SD73" s="336">
        <v>0</v>
      </c>
      <c r="SE73" s="336">
        <v>0</v>
      </c>
      <c r="SF73" s="336">
        <v>0</v>
      </c>
      <c r="SG73" s="336">
        <v>0</v>
      </c>
      <c r="SH73" s="336">
        <v>0</v>
      </c>
      <c r="SI73" s="336">
        <v>0</v>
      </c>
      <c r="SJ73" s="336">
        <v>0</v>
      </c>
      <c r="SK73" s="336">
        <v>0</v>
      </c>
      <c r="SL73" s="336">
        <v>0</v>
      </c>
      <c r="SM73" s="336">
        <v>0</v>
      </c>
      <c r="SN73" s="336">
        <v>0</v>
      </c>
      <c r="SO73" s="336">
        <v>0</v>
      </c>
      <c r="SP73" s="336">
        <v>0</v>
      </c>
      <c r="SQ73" s="336">
        <v>4294852</v>
      </c>
      <c r="SR73" s="336">
        <v>90752</v>
      </c>
      <c r="SS73" s="336">
        <v>10212</v>
      </c>
      <c r="ST73" s="336">
        <v>443429</v>
      </c>
      <c r="SU73" s="336">
        <v>0</v>
      </c>
      <c r="SV73" s="336">
        <v>0</v>
      </c>
      <c r="SW73" s="336">
        <v>6224496</v>
      </c>
      <c r="SX73" s="336">
        <v>0</v>
      </c>
      <c r="SY73" s="336">
        <v>0</v>
      </c>
      <c r="SZ73" s="336" t="s">
        <v>1420</v>
      </c>
      <c r="TA73" s="336" t="s">
        <v>1420</v>
      </c>
      <c r="TB73" s="336" t="s">
        <v>1420</v>
      </c>
      <c r="TC73" s="336">
        <v>112651</v>
      </c>
      <c r="TD73" s="336">
        <v>13848</v>
      </c>
      <c r="TE73" s="336">
        <v>0</v>
      </c>
      <c r="TF73" s="336">
        <v>0</v>
      </c>
      <c r="TG73" s="336">
        <v>3271661</v>
      </c>
      <c r="TH73" s="336">
        <v>0</v>
      </c>
      <c r="TI73" s="336">
        <v>947885</v>
      </c>
      <c r="TJ73" s="336">
        <v>482988</v>
      </c>
      <c r="TK73" s="336">
        <v>10212</v>
      </c>
      <c r="TL73" s="336">
        <v>0</v>
      </c>
      <c r="TM73" s="336">
        <v>0</v>
      </c>
      <c r="TN73" s="336">
        <v>0</v>
      </c>
      <c r="TO73" s="336">
        <v>0</v>
      </c>
      <c r="TP73" s="336">
        <v>0</v>
      </c>
      <c r="TQ73" s="336">
        <v>0</v>
      </c>
      <c r="TR73" s="336">
        <v>0</v>
      </c>
      <c r="TS73" s="336">
        <v>0</v>
      </c>
      <c r="TT73" s="336">
        <v>0</v>
      </c>
      <c r="TU73" s="336">
        <v>0</v>
      </c>
      <c r="TV73" s="336">
        <v>0</v>
      </c>
      <c r="TW73" s="336">
        <v>0</v>
      </c>
      <c r="TX73" s="336">
        <v>216416</v>
      </c>
      <c r="TY73" s="336">
        <v>0</v>
      </c>
      <c r="TZ73" s="336">
        <v>0</v>
      </c>
      <c r="UA73" s="336">
        <v>0</v>
      </c>
      <c r="UB73" s="336">
        <v>0</v>
      </c>
      <c r="UC73" s="336">
        <v>0</v>
      </c>
      <c r="UD73" s="336">
        <v>0</v>
      </c>
      <c r="UE73" s="336">
        <v>0</v>
      </c>
      <c r="UF73" s="336">
        <v>0</v>
      </c>
      <c r="UG73" s="336">
        <v>0</v>
      </c>
      <c r="UH73" s="336">
        <v>57756840</v>
      </c>
      <c r="UI73" s="336">
        <v>3117455</v>
      </c>
      <c r="UJ73" s="336">
        <v>3068147</v>
      </c>
      <c r="UK73" s="336">
        <v>0</v>
      </c>
      <c r="UL73" s="336">
        <v>30238825</v>
      </c>
      <c r="UM73" s="336">
        <v>8808312</v>
      </c>
      <c r="UN73" s="336">
        <v>32695843</v>
      </c>
      <c r="UO73" s="336">
        <v>10699101</v>
      </c>
      <c r="UP73" s="336">
        <v>28289105</v>
      </c>
      <c r="UQ73" s="336">
        <v>8701765</v>
      </c>
      <c r="UR73"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4839245</v>
      </c>
      <c r="US73" s="338">
        <f>SUM(Input[[#This Row],[Oth Exp E&amp;G]],Input[[#This Row],[Oth Exp Desg]],Input[[#This Row],[Oth Exp Aux]],Input[[#This Row],[Oth Exp R Exp]],Input[[#This Row],[Oth Exp Loan]],Input[[#This Row],[Oth Exp Annuity]],Input[[#This Row],[Oth Exp Unexp]],Input[[#This Row],[Oth Exp R of Ind]],Input[[#This Row],[Oth Exp Inv in P]])</f>
        <v>7000763</v>
      </c>
      <c r="UT73" s="336">
        <v>0</v>
      </c>
      <c r="UU73" s="336">
        <v>0</v>
      </c>
      <c r="UV73" s="339" t="s">
        <v>1465</v>
      </c>
      <c r="UW73" s="340">
        <v>7132218617</v>
      </c>
      <c r="UX73" s="339" t="s">
        <v>1466</v>
      </c>
      <c r="UY73" s="339" t="s">
        <v>1467</v>
      </c>
      <c r="UZ73" s="340">
        <v>7132218612</v>
      </c>
      <c r="VA73" s="339" t="s">
        <v>1468</v>
      </c>
      <c r="VB73" s="341" cm="1">
        <f t="array" ref="VB73">IFERROR(_xlfn.IFS(Input[[#This Row],[Type]]="HRI",VLOOKUP(Input[[#This Row],[Institution Name]],FTSEHRI[],9,FALSE),Input[[#This Row],[Type]]="UNIV",VLOOKUP(Input[[#This Row],[Institution Name]],FTSEUNIV[],9,FALSE),OR(Input[[#This Row],[Type]]="TSTC",Input[[#This Row],[Type]]="LSC"),VLOOKUP(Input[[#This Row],[Institution Name]],FTSETSTC[],8,FALSE)),"N/A")</f>
        <v>10302.99</v>
      </c>
      <c r="VC73" s="342" t="str" cm="1">
        <f t="array" ref="VC73">IFERROR(_xlfn.IFS(Input[[#This Row],[Type]]="HRI",VLOOKUP(Input[[#This Row],[Institution Name]],FTSEHRI[],11,FALSE),Input[[#This Row],[Type]]="UNIV",VLOOKUP(Input[[#This Row],[Institution Name]],FTSEUNIV[],11,FALSE),Input[[#This Row],[Type]]="TSTC",VLOOKUP(Input[[#This Row],[Institution Name]],FTSETSTC[],10,FALSE)),"N/A")</f>
        <v>N/A</v>
      </c>
      <c r="VD73"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47409776</v>
      </c>
      <c r="VE73"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11155034</v>
      </c>
      <c r="VF73" s="338">
        <f>SUM(Input[[#This Row],[Fed G&amp;C E&amp;G]],Input[[#This Row],[Fed G&amp;C Desg]],Input[[#This Row],[Fed G&amp;C R Exp]],Input[[#This Row],[Fed G&amp;C Loan]],Input[[#This Row],[Fed G&amp;C Annuity]],Input[[#This Row],[Fed G&amp;C Unexp]],Input[[#This Row],[Fed G&amp;C R of Ind]],Input[[#This Row],[Fed G&amp;C Inv in P]])</f>
        <v>50311517</v>
      </c>
      <c r="VG73"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9796215</v>
      </c>
      <c r="VH73"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57772990</v>
      </c>
      <c r="VI73"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10275728</v>
      </c>
      <c r="VJ73" s="338">
        <f>SUM(Input[[#This Row],[Oth Inc E&amp;G]],Input[[#This Row],[Oth Exp Desg]],Input[[#This Row],[Oth Exp R Exp]],Input[[#This Row],[Oth Exp Loan]],Input[[#This Row],[Oth Exp Annuity]],Input[[#This Row],[Oth Exp Unexp]],Input[[#This Row],[Oth Exp R of Ind]],Input[[#This Row],[Oth Exp Inv in P]])</f>
        <v>6682220</v>
      </c>
      <c r="VK73" s="343">
        <f>SUM(Input[[#This Row],[Instr E&amp;G]],Input[[#This Row],[Instr Desg]],Input[[#This Row],[Instr R Exp]],Input[[#This Row],[Instr Loan]],Input[[#This Row],[Instr Annuity]],Input[[#This Row],[Instr Unexp]],Input[[#This Row],[Instr R of Ind]],Input[[#This Row],[Instr Inv in P]])</f>
        <v>57756840</v>
      </c>
      <c r="VL73" s="343">
        <f>SUM(Input[[#This Row],[Res E&amp;G]],Input[[#This Row],[Res Desg]],Input[[#This Row],[Res R Exp]],Input[[#This Row],[Res Loan]],Input[[#This Row],[Res Annuity]],Input[[#This Row],[Res Unexp]],Input[[#This Row],[Res R of Ind]],Input[[#This Row],[Res Inv in P]])</f>
        <v>3117455</v>
      </c>
      <c r="VM73" s="343">
        <f>SUM(Input[[#This Row],[Acad Sup E&amp;G]],Input[[#This Row],[Acad Sup Desg]],Input[[#This Row],[Acad Sup R Exp]],Input[[#This Row],[Acad Sup Loan]],Input[[#This Row],[Acad Sup Annuity]],Input[[#This Row],[Acad Sup Unexp]],Input[[#This Row],[Acad Sup R of Ind]],Input[[#This Row],[Acad Sup Inv in P]])</f>
        <v>30238825</v>
      </c>
      <c r="VN73" s="343">
        <f>SUM(Input[[#This Row],[Stu Svc E&amp;G]],Input[[#This Row],[Stu Svc Desg]],Input[[#This Row],[Stu Svc R Exp]],Input[[#This Row],[Stu Svc Loan]],Input[[#This Row],[Stu Svc Annuity]],Input[[#This Row],[Stu Svc Unexp]],Input[[#This Row],[Stu Svc R of Ind]],Input[[#This Row],[Stu Svc Inv in P]])</f>
        <v>8808312</v>
      </c>
      <c r="VO73" s="343">
        <f>SUM(Input[[#This Row],[Inst. Spt E&amp;G]],Input[[#This Row],[Inst. Spt Desg]],Input[[#This Row],[Inst. Spt R Exp]],Input[[#This Row],[Inst. Spt Loan]],Input[[#This Row],[Inst. Spt Annuity]],Input[[#This Row],[Inst. Spt Unexp]],Input[[#This Row],[Inst. Spt R of Ind]],Input[[#This Row],[Inst. Spt Inv in P]])</f>
        <v>32695843</v>
      </c>
      <c r="VP73" s="343">
        <f>SUM(Input[[#This Row],[M&amp;O Plnt E&amp;G]],Input[[#This Row],[M&amp;O Plnt Desg]],Input[[#This Row],[M&amp;O Plnt R Exp]],Input[[#This Row],[M&amp;O Plnt Loan]],Input[[#This Row],[M&amp;O Plnt Annuity]],Input[[#This Row],[M&amp;O Plnt Unexp]],Input[[#This Row],[M&amp;O Plnt R of Ind]],Input[[#This Row],[M&amp;O Plnt Inv in P]])</f>
        <v>10699101</v>
      </c>
      <c r="VQ73" s="343">
        <f>SUM(Input[[#This Row],[Schl &amp; Fell E&amp;G]],Input[[#This Row],[Schl &amp; Fell Desg]],Input[[#This Row],[Schl &amp; Fell R Exp]],Input[[#This Row],[Schl &amp; Fell Loan]],Input[[#This Row],[Schl &amp; Fell Annuity]],Input[[#This Row],[Schl &amp; Fell Unexp]],Input[[#This Row],[Schl &amp; Fell R of Ind]],Input[[#This Row],[Schl &amp; Fell Inv in P]])</f>
        <v>28289105</v>
      </c>
      <c r="VR73" s="343">
        <f>SUM(Input[[#This Row],[Cap Out fund E&amp;G]],Input[[#This Row],[Cap Out fund Desg]],Input[[#This Row],[Cap Out fund R Exp]],Input[[#This Row],[Cap Out fund Loan]],Input[[#This Row],[Cap Out fund Annuity]],Input[[#This Row],[Cap Out fund Unexp]],Input[[#This Row],[Cap Out fund R of Ind]],Input[[#This Row],[Cap Out fund Inv in P]])</f>
        <v>4829033</v>
      </c>
      <c r="VS73" s="343">
        <f>SUM(Input[[#This Row],[Oth Exp E&amp;G]],Input[[#This Row],[Oth Exp Desg]],Input[[#This Row],[Oth Exp R Exp]],Input[[#This Row],[Oth Exp Loan]],Input[[#This Row],[Oth Exp Annuity]],Input[[#This Row],[Oth Exp Unexp]],Input[[#This Row],[Oth Exp R of Ind]],Input[[#This Row],[Oth Exp Inv in P]],Input[[#This Row],[Oth Exp Inv in P]])</f>
        <v>6682220</v>
      </c>
    </row>
    <row r="74" spans="1:591" s="344" customFormat="1" ht="27" customHeight="1" x14ac:dyDescent="0.55000000000000004">
      <c r="A74" s="339" t="s">
        <v>81</v>
      </c>
      <c r="B74" s="334" t="s">
        <v>828</v>
      </c>
      <c r="C74" s="334" t="s">
        <v>21</v>
      </c>
      <c r="D74" s="334">
        <v>260</v>
      </c>
      <c r="E74" s="334" t="s">
        <v>1622</v>
      </c>
      <c r="F74" s="335">
        <v>13231</v>
      </c>
      <c r="G74" s="336">
        <v>20584585</v>
      </c>
      <c r="H74" s="336">
        <v>0</v>
      </c>
      <c r="I74" s="336">
        <v>0</v>
      </c>
      <c r="J74" s="336">
        <v>0</v>
      </c>
      <c r="K74" s="336">
        <v>0</v>
      </c>
      <c r="L74" s="336">
        <v>0</v>
      </c>
      <c r="M74" s="336">
        <v>0</v>
      </c>
      <c r="N74" s="336">
        <v>0</v>
      </c>
      <c r="O74" s="336">
        <v>0</v>
      </c>
      <c r="P74" s="336">
        <v>29314</v>
      </c>
      <c r="Q74" s="336">
        <v>0</v>
      </c>
      <c r="R74" s="336">
        <v>0</v>
      </c>
      <c r="S74" s="336">
        <v>1866729</v>
      </c>
      <c r="T74" s="336">
        <v>0</v>
      </c>
      <c r="U74" s="336">
        <v>0</v>
      </c>
      <c r="V74" s="336">
        <v>0</v>
      </c>
      <c r="W74" s="336">
        <v>0</v>
      </c>
      <c r="X74" s="336">
        <v>0</v>
      </c>
      <c r="Y74" s="336">
        <v>3649703</v>
      </c>
      <c r="Z74" s="336">
        <v>0</v>
      </c>
      <c r="AA74" s="336">
        <v>0</v>
      </c>
      <c r="AB74" s="336">
        <v>0</v>
      </c>
      <c r="AC74" s="336">
        <v>0</v>
      </c>
      <c r="AD74" s="336">
        <v>0</v>
      </c>
      <c r="AE74" s="336">
        <v>0</v>
      </c>
      <c r="AF74" s="336">
        <v>0</v>
      </c>
      <c r="AG74" s="336">
        <v>0</v>
      </c>
      <c r="AH74" s="336">
        <v>0</v>
      </c>
      <c r="AI74" s="336">
        <v>0</v>
      </c>
      <c r="AJ74" s="336">
        <v>0</v>
      </c>
      <c r="AK74" s="336">
        <v>0</v>
      </c>
      <c r="AL74" s="336">
        <v>0</v>
      </c>
      <c r="AM74" s="336">
        <v>0</v>
      </c>
      <c r="AN74" s="336">
        <v>0</v>
      </c>
      <c r="AO74" s="336">
        <v>0</v>
      </c>
      <c r="AP74" s="336">
        <v>0</v>
      </c>
      <c r="AQ74" s="336">
        <v>-645888</v>
      </c>
      <c r="AR74" s="336">
        <v>0</v>
      </c>
      <c r="AS74" s="336">
        <v>0</v>
      </c>
      <c r="AT74" s="336">
        <v>0</v>
      </c>
      <c r="AU74" s="336">
        <v>0</v>
      </c>
      <c r="AV74" s="336">
        <v>0</v>
      </c>
      <c r="AW74" s="336">
        <v>0</v>
      </c>
      <c r="AX74" s="336">
        <v>0</v>
      </c>
      <c r="AY74" s="336">
        <v>0</v>
      </c>
      <c r="AZ74" s="336">
        <v>0</v>
      </c>
      <c r="BA74" s="336">
        <v>0</v>
      </c>
      <c r="BB74" s="336">
        <v>0</v>
      </c>
      <c r="BC74" s="336">
        <v>0</v>
      </c>
      <c r="BD74" s="336">
        <v>0</v>
      </c>
      <c r="BE74" s="336">
        <v>0</v>
      </c>
      <c r="BF74" s="336">
        <v>0</v>
      </c>
      <c r="BG74" s="336">
        <v>0</v>
      </c>
      <c r="BH74" s="336">
        <v>0</v>
      </c>
      <c r="BI74" s="336">
        <v>0</v>
      </c>
      <c r="BJ74" s="336">
        <v>0</v>
      </c>
      <c r="BK74" s="336">
        <v>0</v>
      </c>
      <c r="BL74" s="336">
        <v>0</v>
      </c>
      <c r="BM74" s="336">
        <v>0</v>
      </c>
      <c r="BN74" s="336">
        <v>0</v>
      </c>
      <c r="BO74" s="336">
        <v>0</v>
      </c>
      <c r="BP74" s="336">
        <v>0</v>
      </c>
      <c r="BQ74" s="336">
        <v>0</v>
      </c>
      <c r="BR74" s="336">
        <v>0</v>
      </c>
      <c r="BS74" s="336">
        <v>0</v>
      </c>
      <c r="BT74" s="336">
        <v>0</v>
      </c>
      <c r="BU74" s="336">
        <v>0</v>
      </c>
      <c r="BV74" s="336">
        <v>0</v>
      </c>
      <c r="BW74" s="336">
        <v>0</v>
      </c>
      <c r="BX74" s="336">
        <v>0</v>
      </c>
      <c r="BY74" s="336">
        <v>0</v>
      </c>
      <c r="BZ74" s="336">
        <v>0</v>
      </c>
      <c r="CA74" s="336">
        <v>6146092</v>
      </c>
      <c r="CB74" s="336">
        <v>15296545</v>
      </c>
      <c r="CC74" s="336">
        <v>0</v>
      </c>
      <c r="CD74" s="336">
        <v>0</v>
      </c>
      <c r="CE74" s="336">
        <v>0</v>
      </c>
      <c r="CF74" s="336">
        <v>0</v>
      </c>
      <c r="CG74" s="336">
        <v>0</v>
      </c>
      <c r="CH74" s="336">
        <v>0</v>
      </c>
      <c r="CI74" s="336">
        <v>0</v>
      </c>
      <c r="CJ74" s="336">
        <v>0</v>
      </c>
      <c r="CK74" s="336">
        <v>0</v>
      </c>
      <c r="CL74" s="336">
        <v>0</v>
      </c>
      <c r="CM74" s="336">
        <v>0</v>
      </c>
      <c r="CN74" s="336">
        <v>0</v>
      </c>
      <c r="CO74" s="336">
        <v>0</v>
      </c>
      <c r="CP74" s="336">
        <v>0</v>
      </c>
      <c r="CQ74" s="336">
        <v>0</v>
      </c>
      <c r="CR74" s="336">
        <v>0</v>
      </c>
      <c r="CS74" s="336">
        <v>0</v>
      </c>
      <c r="CT74" s="336">
        <v>0</v>
      </c>
      <c r="CU74" s="336">
        <v>0</v>
      </c>
      <c r="CV74" s="336">
        <v>0</v>
      </c>
      <c r="CW74" s="336">
        <v>0</v>
      </c>
      <c r="CX74" s="336">
        <v>0</v>
      </c>
      <c r="CY74" s="336">
        <v>0</v>
      </c>
      <c r="CZ74" s="336">
        <v>0</v>
      </c>
      <c r="DA74" s="336">
        <v>0</v>
      </c>
      <c r="DB74" s="336">
        <v>-233654</v>
      </c>
      <c r="DC74" s="336">
        <v>-631287</v>
      </c>
      <c r="DD74" s="336">
        <v>0</v>
      </c>
      <c r="DE74" s="336">
        <v>0</v>
      </c>
      <c r="DF74" s="336">
        <v>0</v>
      </c>
      <c r="DG74" s="336">
        <v>0</v>
      </c>
      <c r="DH74" s="336">
        <v>0</v>
      </c>
      <c r="DI74" s="336">
        <v>0</v>
      </c>
      <c r="DJ74" s="336">
        <v>0</v>
      </c>
      <c r="DK74" s="336">
        <v>0</v>
      </c>
      <c r="DL74" s="336">
        <v>0</v>
      </c>
      <c r="DM74" s="336">
        <v>0</v>
      </c>
      <c r="DN74" s="336">
        <v>0</v>
      </c>
      <c r="DO74" s="336">
        <v>0</v>
      </c>
      <c r="DP74" s="336">
        <v>0</v>
      </c>
      <c r="DQ74" s="336">
        <v>0</v>
      </c>
      <c r="DR74" s="336">
        <v>0</v>
      </c>
      <c r="DS74" s="336">
        <v>0</v>
      </c>
      <c r="DT74" s="336">
        <v>-1636440</v>
      </c>
      <c r="DU74" s="336">
        <v>-4022871</v>
      </c>
      <c r="DV74" s="336">
        <v>0</v>
      </c>
      <c r="DW74" s="336">
        <v>0</v>
      </c>
      <c r="DX74" s="336">
        <v>0</v>
      </c>
      <c r="DY74" s="336">
        <v>0</v>
      </c>
      <c r="DZ74" s="336">
        <v>0</v>
      </c>
      <c r="EA74" s="336">
        <v>0</v>
      </c>
      <c r="EB74" s="336">
        <v>0</v>
      </c>
      <c r="EC74" s="336">
        <v>0</v>
      </c>
      <c r="ED74" s="336">
        <v>0</v>
      </c>
      <c r="EE74" s="336">
        <v>0</v>
      </c>
      <c r="EF74" s="336">
        <v>0</v>
      </c>
      <c r="EG74" s="336">
        <v>0</v>
      </c>
      <c r="EH74" s="336">
        <v>0</v>
      </c>
      <c r="EI74" s="336">
        <v>0</v>
      </c>
      <c r="EJ74" s="336">
        <v>0</v>
      </c>
      <c r="EK74" s="336">
        <v>0</v>
      </c>
      <c r="EL74" s="336">
        <v>0</v>
      </c>
      <c r="EM74" s="336">
        <v>0</v>
      </c>
      <c r="EN74" s="336">
        <v>0</v>
      </c>
      <c r="EO74" s="336">
        <v>0</v>
      </c>
      <c r="EP74" s="336">
        <v>0</v>
      </c>
      <c r="EQ74" s="336">
        <v>0</v>
      </c>
      <c r="ER74" s="336">
        <v>0</v>
      </c>
      <c r="ES74" s="336">
        <v>0</v>
      </c>
      <c r="ET74" s="336">
        <v>0</v>
      </c>
      <c r="EU74" s="336">
        <v>0</v>
      </c>
      <c r="EV74" s="336">
        <v>0</v>
      </c>
      <c r="EW74" s="336">
        <v>0</v>
      </c>
      <c r="EX74" s="336">
        <v>0</v>
      </c>
      <c r="EY74" s="336">
        <v>0</v>
      </c>
      <c r="EZ74" s="336">
        <v>0</v>
      </c>
      <c r="FA74" s="336">
        <v>0</v>
      </c>
      <c r="FB74" s="336">
        <v>0</v>
      </c>
      <c r="FC74" s="336">
        <v>0</v>
      </c>
      <c r="FD74" s="336">
        <v>0</v>
      </c>
      <c r="FE74" s="336">
        <v>0</v>
      </c>
      <c r="FF74" s="336">
        <v>0</v>
      </c>
      <c r="FG74" s="336">
        <v>0</v>
      </c>
      <c r="FH74" s="336">
        <v>0</v>
      </c>
      <c r="FI74" s="336">
        <v>0</v>
      </c>
      <c r="FJ74" s="336">
        <v>0</v>
      </c>
      <c r="FK74" s="336">
        <v>0</v>
      </c>
      <c r="FL74" s="336">
        <v>0</v>
      </c>
      <c r="FM74" s="336">
        <v>2438</v>
      </c>
      <c r="FN74" s="336">
        <v>5249336</v>
      </c>
      <c r="FO74" s="336">
        <v>3994825</v>
      </c>
      <c r="FP74" s="336">
        <v>0</v>
      </c>
      <c r="FQ74" s="336">
        <v>0</v>
      </c>
      <c r="FR74" s="336">
        <v>0</v>
      </c>
      <c r="FS74" s="336">
        <v>0</v>
      </c>
      <c r="FT74" s="336">
        <v>0</v>
      </c>
      <c r="FU74" s="336">
        <v>0</v>
      </c>
      <c r="FV74" s="336">
        <v>0</v>
      </c>
      <c r="FW74" s="336">
        <v>0</v>
      </c>
      <c r="FX74" s="336">
        <v>0</v>
      </c>
      <c r="FY74" s="336">
        <v>0</v>
      </c>
      <c r="FZ74" s="336">
        <v>0</v>
      </c>
      <c r="GA74" s="336">
        <v>0</v>
      </c>
      <c r="GB74" s="336">
        <v>0</v>
      </c>
      <c r="GC74" s="336">
        <v>0</v>
      </c>
      <c r="GD74" s="336">
        <v>0</v>
      </c>
      <c r="GE74" s="336">
        <v>0</v>
      </c>
      <c r="GF74" s="336">
        <v>0</v>
      </c>
      <c r="GG74" s="336">
        <v>0</v>
      </c>
      <c r="GH74" s="336">
        <v>0</v>
      </c>
      <c r="GI74" s="336">
        <v>0</v>
      </c>
      <c r="GJ74" s="336">
        <v>0</v>
      </c>
      <c r="GK74" s="336">
        <v>0</v>
      </c>
      <c r="GL74" s="336">
        <v>0</v>
      </c>
      <c r="GM74" s="336">
        <v>0</v>
      </c>
      <c r="GN74" s="336">
        <v>-84</v>
      </c>
      <c r="GO74" s="336">
        <v>-216640</v>
      </c>
      <c r="GP74" s="336">
        <v>-127176</v>
      </c>
      <c r="GQ74" s="336">
        <v>0</v>
      </c>
      <c r="GR74" s="336">
        <v>0</v>
      </c>
      <c r="GS74" s="336">
        <v>0</v>
      </c>
      <c r="GT74" s="336">
        <v>0</v>
      </c>
      <c r="GU74" s="336">
        <v>0</v>
      </c>
      <c r="GV74" s="336">
        <v>0</v>
      </c>
      <c r="GW74" s="336">
        <v>0</v>
      </c>
      <c r="GX74" s="336">
        <v>0</v>
      </c>
      <c r="GY74" s="336">
        <v>0</v>
      </c>
      <c r="GZ74" s="336">
        <v>0</v>
      </c>
      <c r="HA74" s="336">
        <v>0</v>
      </c>
      <c r="HB74" s="336">
        <v>0</v>
      </c>
      <c r="HC74" s="336">
        <v>0</v>
      </c>
      <c r="HD74" s="336">
        <v>0</v>
      </c>
      <c r="HE74" s="336">
        <v>0</v>
      </c>
      <c r="HF74" s="336">
        <v>-587</v>
      </c>
      <c r="HG74" s="336">
        <v>-1380534</v>
      </c>
      <c r="HH74" s="336">
        <v>-1088298</v>
      </c>
      <c r="HI74" s="336">
        <v>0</v>
      </c>
      <c r="HJ74" s="336">
        <v>0</v>
      </c>
      <c r="HK74" s="336">
        <v>0</v>
      </c>
      <c r="HL74" s="336">
        <v>0</v>
      </c>
      <c r="HM74" s="336">
        <v>0</v>
      </c>
      <c r="HN74" s="336">
        <v>0</v>
      </c>
      <c r="HO74" s="336">
        <v>0</v>
      </c>
      <c r="HP74" s="336">
        <v>0</v>
      </c>
      <c r="HQ74" s="336">
        <v>0</v>
      </c>
      <c r="HR74" s="336">
        <v>10146552</v>
      </c>
      <c r="HS74" s="336">
        <v>0</v>
      </c>
      <c r="HT74" s="336">
        <v>0</v>
      </c>
      <c r="HU74" s="336">
        <v>0</v>
      </c>
      <c r="HV74" s="336">
        <v>0</v>
      </c>
      <c r="HW74" s="336">
        <v>0</v>
      </c>
      <c r="HX74" s="336">
        <v>0</v>
      </c>
      <c r="HY74" s="336">
        <v>0</v>
      </c>
      <c r="HZ74" s="336">
        <v>0</v>
      </c>
      <c r="IA74" s="336">
        <v>0</v>
      </c>
      <c r="IB74" s="336">
        <v>0</v>
      </c>
      <c r="IC74" s="336">
        <v>0</v>
      </c>
      <c r="ID74" s="336">
        <v>0</v>
      </c>
      <c r="IE74" s="336">
        <v>0</v>
      </c>
      <c r="IF74" s="336">
        <v>0</v>
      </c>
      <c r="IG74" s="336">
        <v>0</v>
      </c>
      <c r="IH74" s="336">
        <v>0</v>
      </c>
      <c r="II74" s="336">
        <v>0</v>
      </c>
      <c r="IJ74" s="336">
        <v>0</v>
      </c>
      <c r="IK74" s="336">
        <v>0</v>
      </c>
      <c r="IL74" s="336">
        <v>0</v>
      </c>
      <c r="IM74" s="336">
        <v>0</v>
      </c>
      <c r="IN74" s="336">
        <v>0</v>
      </c>
      <c r="IO74" s="336">
        <v>0</v>
      </c>
      <c r="IP74" s="336">
        <v>132553</v>
      </c>
      <c r="IQ74" s="336">
        <v>208303</v>
      </c>
      <c r="IR74" s="336">
        <v>0</v>
      </c>
      <c r="IS74" s="336">
        <v>0</v>
      </c>
      <c r="IT74" s="336">
        <v>0</v>
      </c>
      <c r="IU74" s="336">
        <v>810519</v>
      </c>
      <c r="IV74" s="336">
        <v>0</v>
      </c>
      <c r="IW74" s="336">
        <v>0</v>
      </c>
      <c r="IX74" s="336">
        <v>0</v>
      </c>
      <c r="IY74" s="336">
        <v>0</v>
      </c>
      <c r="IZ74" s="336">
        <v>0</v>
      </c>
      <c r="JA74" s="336">
        <v>0</v>
      </c>
      <c r="JB74" s="336">
        <v>0</v>
      </c>
      <c r="JC74" s="336">
        <v>0</v>
      </c>
      <c r="JD74" s="336">
        <v>0</v>
      </c>
      <c r="JE74" s="336">
        <v>0</v>
      </c>
      <c r="JF74" s="336">
        <v>0</v>
      </c>
      <c r="JG74" s="336">
        <v>0</v>
      </c>
      <c r="JH74" s="336">
        <v>0</v>
      </c>
      <c r="JI74" s="336">
        <v>0</v>
      </c>
      <c r="JJ74" s="336">
        <v>46574</v>
      </c>
      <c r="JK74" s="336">
        <v>3195675</v>
      </c>
      <c r="JL74" s="336">
        <v>0</v>
      </c>
      <c r="JM74" s="336">
        <v>600</v>
      </c>
      <c r="JN74" s="336">
        <v>0</v>
      </c>
      <c r="JO74" s="336">
        <v>0</v>
      </c>
      <c r="JP74" s="336">
        <v>0</v>
      </c>
      <c r="JQ74" s="336">
        <v>0</v>
      </c>
      <c r="JR74" s="336">
        <v>430165</v>
      </c>
      <c r="JS74" s="336">
        <v>0</v>
      </c>
      <c r="JT74" s="336">
        <v>0</v>
      </c>
      <c r="JU74" s="336">
        <v>0</v>
      </c>
      <c r="JV74" s="336">
        <v>0</v>
      </c>
      <c r="JW74" s="336">
        <v>0</v>
      </c>
      <c r="JX74" s="336">
        <v>0</v>
      </c>
      <c r="JY74" s="336">
        <v>0</v>
      </c>
      <c r="JZ74" s="336">
        <v>0</v>
      </c>
      <c r="KA74" s="336">
        <v>0</v>
      </c>
      <c r="KB74" s="336">
        <v>2206547</v>
      </c>
      <c r="KC74" s="336">
        <v>0</v>
      </c>
      <c r="KD74" s="336">
        <v>0</v>
      </c>
      <c r="KE74" s="336">
        <v>0</v>
      </c>
      <c r="KF74" s="336">
        <v>0</v>
      </c>
      <c r="KG74" s="336">
        <v>0</v>
      </c>
      <c r="KH74" s="336">
        <v>0</v>
      </c>
      <c r="KI74" s="336">
        <v>0</v>
      </c>
      <c r="KJ74" s="336">
        <v>787</v>
      </c>
      <c r="KK74" s="336">
        <v>0</v>
      </c>
      <c r="KL74" s="336">
        <v>0</v>
      </c>
      <c r="KM74" s="336">
        <v>0</v>
      </c>
      <c r="KN74" s="336">
        <v>0</v>
      </c>
      <c r="KO74" s="336">
        <v>0</v>
      </c>
      <c r="KP74" s="336">
        <v>0</v>
      </c>
      <c r="KQ74" s="336">
        <v>52758</v>
      </c>
      <c r="KR74" s="336">
        <v>19110672</v>
      </c>
      <c r="KS74" s="336">
        <v>1196074</v>
      </c>
      <c r="KT74" s="336">
        <v>0</v>
      </c>
      <c r="KU74" s="336">
        <v>412335</v>
      </c>
      <c r="KV74" s="336">
        <v>0</v>
      </c>
      <c r="KW74" s="336">
        <v>0</v>
      </c>
      <c r="KX74" s="336">
        <v>0</v>
      </c>
      <c r="KY74" s="336">
        <v>0</v>
      </c>
      <c r="KZ74" s="336">
        <v>0</v>
      </c>
      <c r="LA74" s="336">
        <v>181881</v>
      </c>
      <c r="LB74" s="336">
        <v>7489</v>
      </c>
      <c r="LC74" s="336">
        <v>0</v>
      </c>
      <c r="LD74" s="336">
        <v>621128</v>
      </c>
      <c r="LE74" s="336">
        <v>0</v>
      </c>
      <c r="LF74" s="336">
        <v>0</v>
      </c>
      <c r="LG74" s="336">
        <v>0</v>
      </c>
      <c r="LH74" s="336">
        <v>0</v>
      </c>
      <c r="LI74" s="336">
        <v>0</v>
      </c>
      <c r="LJ74" s="336">
        <v>308562</v>
      </c>
      <c r="LK74" s="336">
        <v>143422</v>
      </c>
      <c r="LL74" s="336">
        <v>6232</v>
      </c>
      <c r="LM74" s="336">
        <v>265835</v>
      </c>
      <c r="LN74" s="336">
        <v>0</v>
      </c>
      <c r="LO74" s="336">
        <v>0</v>
      </c>
      <c r="LP74" s="336">
        <v>0</v>
      </c>
      <c r="LQ74" s="336">
        <v>0</v>
      </c>
      <c r="LR74" s="336">
        <v>0</v>
      </c>
      <c r="LS74" s="336">
        <v>0</v>
      </c>
      <c r="LT74" s="336">
        <v>0</v>
      </c>
      <c r="LU74" s="336">
        <v>0</v>
      </c>
      <c r="LV74" s="336">
        <v>0</v>
      </c>
      <c r="LW74" s="336">
        <v>0</v>
      </c>
      <c r="LX74" s="336">
        <v>0</v>
      </c>
      <c r="LY74" s="336">
        <v>0</v>
      </c>
      <c r="LZ74" s="336">
        <v>0</v>
      </c>
      <c r="MA74" s="336">
        <v>0</v>
      </c>
      <c r="MB74" s="336">
        <v>3150501</v>
      </c>
      <c r="MC74" s="336">
        <v>4507622</v>
      </c>
      <c r="MD74" s="336">
        <v>28798</v>
      </c>
      <c r="ME74" s="336">
        <v>623012</v>
      </c>
      <c r="MF74" s="336">
        <v>0</v>
      </c>
      <c r="MG74" s="336">
        <v>0</v>
      </c>
      <c r="MH74" s="336">
        <v>0</v>
      </c>
      <c r="MI74" s="336">
        <v>0</v>
      </c>
      <c r="MJ74" s="336">
        <v>0</v>
      </c>
      <c r="MK74" s="336">
        <v>599769</v>
      </c>
      <c r="ML74" s="336">
        <v>4102266</v>
      </c>
      <c r="MM74" s="336">
        <v>2396931</v>
      </c>
      <c r="MN74" s="336">
        <v>42893</v>
      </c>
      <c r="MO74" s="336">
        <v>41840</v>
      </c>
      <c r="MP74" s="336">
        <v>0</v>
      </c>
      <c r="MQ74" s="336">
        <v>0</v>
      </c>
      <c r="MR74" s="336">
        <v>0</v>
      </c>
      <c r="MS74" s="336">
        <v>0</v>
      </c>
      <c r="MT74" s="336">
        <v>2741044</v>
      </c>
      <c r="MU74" s="336">
        <v>2547520</v>
      </c>
      <c r="MV74" s="336">
        <v>12941</v>
      </c>
      <c r="MW74" s="336">
        <v>75727</v>
      </c>
      <c r="MX74" s="336">
        <v>0</v>
      </c>
      <c r="MY74" s="336">
        <v>0</v>
      </c>
      <c r="MZ74" s="336">
        <v>0</v>
      </c>
      <c r="NA74" s="336">
        <v>0</v>
      </c>
      <c r="NB74" s="336">
        <v>0</v>
      </c>
      <c r="NC74" s="336">
        <v>855744</v>
      </c>
      <c r="ND74" s="336">
        <v>2389941</v>
      </c>
      <c r="NE74" s="336">
        <v>9000</v>
      </c>
      <c r="NF74" s="336">
        <v>-13467</v>
      </c>
      <c r="NG74" s="336">
        <v>0</v>
      </c>
      <c r="NH74" s="336">
        <v>0</v>
      </c>
      <c r="NI74" s="336">
        <v>0</v>
      </c>
      <c r="NJ74" s="336">
        <v>0</v>
      </c>
      <c r="NK74" s="336">
        <v>0</v>
      </c>
      <c r="NL74" s="336">
        <v>89007</v>
      </c>
      <c r="NM74" s="336">
        <v>1965467</v>
      </c>
      <c r="NN74" s="336">
        <v>130894</v>
      </c>
      <c r="NO74" s="336">
        <v>4721672</v>
      </c>
      <c r="NP74" s="336">
        <v>0</v>
      </c>
      <c r="NQ74" s="336">
        <v>0</v>
      </c>
      <c r="NR74" s="336">
        <v>0</v>
      </c>
      <c r="NS74" s="336">
        <v>0</v>
      </c>
      <c r="NT74" s="336">
        <v>0</v>
      </c>
      <c r="NU74" s="336">
        <v>0</v>
      </c>
      <c r="NV74" s="336">
        <v>0</v>
      </c>
      <c r="NW74" s="336">
        <v>2415899</v>
      </c>
      <c r="NX74" s="336">
        <v>96769</v>
      </c>
      <c r="NY74" s="336">
        <v>0</v>
      </c>
      <c r="NZ74" s="336">
        <v>0</v>
      </c>
      <c r="OA74" s="336">
        <v>0</v>
      </c>
      <c r="OB74" s="336">
        <v>0</v>
      </c>
      <c r="OC74" s="336">
        <v>0</v>
      </c>
      <c r="OD74" s="336">
        <v>298191</v>
      </c>
      <c r="OE74" s="336">
        <v>130726</v>
      </c>
      <c r="OF74" s="336">
        <v>0</v>
      </c>
      <c r="OG74" s="336">
        <v>2038558</v>
      </c>
      <c r="OH74" s="336">
        <v>0</v>
      </c>
      <c r="OI74" s="336">
        <v>0</v>
      </c>
      <c r="OJ74" s="336">
        <v>0</v>
      </c>
      <c r="OK74" s="336">
        <v>0</v>
      </c>
      <c r="OL74" s="336">
        <v>0</v>
      </c>
      <c r="OM74" s="336">
        <v>0</v>
      </c>
      <c r="ON74" s="336">
        <v>68670</v>
      </c>
      <c r="OO74" s="336">
        <v>6725</v>
      </c>
      <c r="OP74" s="336">
        <v>260</v>
      </c>
      <c r="OQ74" s="336">
        <v>0</v>
      </c>
      <c r="OR74" s="336">
        <v>0</v>
      </c>
      <c r="OS74" s="336">
        <v>456395</v>
      </c>
      <c r="OT74" s="336">
        <v>0</v>
      </c>
      <c r="OU74" s="336">
        <v>1927</v>
      </c>
      <c r="OV74" s="336">
        <v>0</v>
      </c>
      <c r="OW74" s="336">
        <v>0</v>
      </c>
      <c r="OX74" s="336">
        <v>0</v>
      </c>
      <c r="OY74" s="336">
        <v>0</v>
      </c>
      <c r="OZ74" s="336">
        <v>0</v>
      </c>
      <c r="PA74" s="336">
        <v>0</v>
      </c>
      <c r="PB74" s="336">
        <v>-15420225</v>
      </c>
      <c r="PC74" s="336">
        <v>0</v>
      </c>
      <c r="PD74" s="336">
        <v>0</v>
      </c>
      <c r="PE74" s="336">
        <v>-10820</v>
      </c>
      <c r="PF74" s="336">
        <v>4170837</v>
      </c>
      <c r="PG74" s="336">
        <v>-4704924</v>
      </c>
      <c r="PH74" s="336">
        <v>-6298132</v>
      </c>
      <c r="PI74" s="336">
        <v>59487</v>
      </c>
      <c r="PJ74" s="336">
        <v>-738434</v>
      </c>
      <c r="PK74" s="336">
        <v>-9198199</v>
      </c>
      <c r="PL74" s="336">
        <v>6053994</v>
      </c>
      <c r="PM74" s="336">
        <v>19279323</v>
      </c>
      <c r="PN74" s="336">
        <v>0</v>
      </c>
      <c r="PO74" s="336">
        <v>0</v>
      </c>
      <c r="PP74" s="336">
        <v>0</v>
      </c>
      <c r="PQ74" s="336">
        <v>0</v>
      </c>
      <c r="PR74" s="336">
        <v>0</v>
      </c>
      <c r="PS74" s="336">
        <v>0</v>
      </c>
      <c r="PT74" s="336">
        <v>0</v>
      </c>
      <c r="PU74" s="336">
        <v>0</v>
      </c>
      <c r="PV74" s="336">
        <v>0</v>
      </c>
      <c r="PW74" s="336">
        <v>0</v>
      </c>
      <c r="PX74" s="336">
        <v>0</v>
      </c>
      <c r="PY74" s="336">
        <v>0</v>
      </c>
      <c r="PZ74" s="336">
        <v>0</v>
      </c>
      <c r="QA74" s="336">
        <v>0</v>
      </c>
      <c r="QB74" s="336">
        <v>0</v>
      </c>
      <c r="QC74" s="336">
        <v>0</v>
      </c>
      <c r="QD74" s="336">
        <v>-12114381</v>
      </c>
      <c r="QE74" s="336">
        <v>0</v>
      </c>
      <c r="QF74" s="336">
        <v>0</v>
      </c>
      <c r="QG74" s="336">
        <v>48996</v>
      </c>
      <c r="QH74" s="336">
        <v>0</v>
      </c>
      <c r="QI74" s="336">
        <v>0</v>
      </c>
      <c r="QJ74" s="336">
        <v>0</v>
      </c>
      <c r="QK74" s="336">
        <v>868236</v>
      </c>
      <c r="QL74" s="336">
        <v>0</v>
      </c>
      <c r="QM74" s="336">
        <v>0</v>
      </c>
      <c r="QN74" s="336">
        <v>0</v>
      </c>
      <c r="QO74" s="336">
        <v>0</v>
      </c>
      <c r="QP74" s="336">
        <v>0</v>
      </c>
      <c r="QQ74" s="336">
        <v>0</v>
      </c>
      <c r="QR74" s="336">
        <v>0</v>
      </c>
      <c r="QS74" s="336">
        <v>0</v>
      </c>
      <c r="QT74" s="336">
        <v>90077</v>
      </c>
      <c r="QU74" s="336">
        <v>0</v>
      </c>
      <c r="QV74" s="336">
        <v>0</v>
      </c>
      <c r="QW74" s="336">
        <v>0</v>
      </c>
      <c r="QX74" s="336">
        <v>0</v>
      </c>
      <c r="QY74" s="336">
        <v>0</v>
      </c>
      <c r="QZ74" s="336">
        <v>0</v>
      </c>
      <c r="RA74" s="336">
        <v>0</v>
      </c>
      <c r="RB74" s="336">
        <v>0</v>
      </c>
      <c r="RC74" s="336">
        <v>0</v>
      </c>
      <c r="RD74" s="336">
        <v>0</v>
      </c>
      <c r="RE74" s="336">
        <v>6073000</v>
      </c>
      <c r="RF74" s="336">
        <v>0</v>
      </c>
      <c r="RG74" s="336">
        <v>0</v>
      </c>
      <c r="RH74" s="336">
        <v>0</v>
      </c>
      <c r="RI74" s="336">
        <v>0</v>
      </c>
      <c r="RJ74" s="336">
        <v>0</v>
      </c>
      <c r="RK74" s="336">
        <v>0</v>
      </c>
      <c r="RL74" s="336">
        <v>0</v>
      </c>
      <c r="RM74" s="336">
        <v>0</v>
      </c>
      <c r="RN74" s="336">
        <v>0</v>
      </c>
      <c r="RO74" s="336">
        <v>-7979300</v>
      </c>
      <c r="RP74" s="336">
        <v>0</v>
      </c>
      <c r="RQ74" s="336">
        <v>0</v>
      </c>
      <c r="RR74" s="336">
        <v>0</v>
      </c>
      <c r="RS74" s="336">
        <v>0</v>
      </c>
      <c r="RT74" s="336">
        <v>0</v>
      </c>
      <c r="RU74" s="336">
        <v>0</v>
      </c>
      <c r="RV74" s="336">
        <v>0</v>
      </c>
      <c r="RW74" s="336">
        <v>0</v>
      </c>
      <c r="RX74" s="336">
        <v>0</v>
      </c>
      <c r="RY74" s="336">
        <v>0</v>
      </c>
      <c r="RZ74" s="336">
        <v>0</v>
      </c>
      <c r="SA74" s="336">
        <v>0</v>
      </c>
      <c r="SB74" s="336">
        <v>0</v>
      </c>
      <c r="SC74" s="336">
        <v>0</v>
      </c>
      <c r="SD74" s="336">
        <v>0</v>
      </c>
      <c r="SE74" s="336">
        <v>0</v>
      </c>
      <c r="SF74" s="336">
        <v>0</v>
      </c>
      <c r="SG74" s="336">
        <v>0</v>
      </c>
      <c r="SH74" s="336">
        <v>0</v>
      </c>
      <c r="SI74" s="336">
        <v>0</v>
      </c>
      <c r="SJ74" s="336">
        <v>0</v>
      </c>
      <c r="SK74" s="336">
        <v>0</v>
      </c>
      <c r="SL74" s="336">
        <v>0</v>
      </c>
      <c r="SM74" s="336">
        <v>0</v>
      </c>
      <c r="SN74" s="336">
        <v>0</v>
      </c>
      <c r="SO74" s="336">
        <v>0</v>
      </c>
      <c r="SP74" s="336">
        <v>0</v>
      </c>
      <c r="SQ74" s="336">
        <v>298191</v>
      </c>
      <c r="SR74" s="336">
        <v>130726</v>
      </c>
      <c r="SS74" s="336">
        <v>0</v>
      </c>
      <c r="ST74" s="336">
        <v>2038558</v>
      </c>
      <c r="SU74" s="336">
        <v>0</v>
      </c>
      <c r="SV74" s="336">
        <v>0</v>
      </c>
      <c r="SW74" s="336">
        <v>15420225</v>
      </c>
      <c r="SX74" s="336">
        <v>0</v>
      </c>
      <c r="SY74" s="336">
        <v>0</v>
      </c>
      <c r="SZ74" s="336" t="s">
        <v>1420</v>
      </c>
      <c r="TA74" s="336" t="s">
        <v>1420</v>
      </c>
      <c r="TB74" s="336" t="s">
        <v>1420</v>
      </c>
      <c r="TC74" s="336">
        <v>42019</v>
      </c>
      <c r="TD74" s="336">
        <v>0</v>
      </c>
      <c r="TE74" s="336">
        <v>0</v>
      </c>
      <c r="TF74" s="336">
        <v>0</v>
      </c>
      <c r="TG74" s="336">
        <v>101682</v>
      </c>
      <c r="TH74" s="336">
        <v>139900</v>
      </c>
      <c r="TI74" s="336">
        <v>39139</v>
      </c>
      <c r="TJ74" s="336">
        <v>2144735</v>
      </c>
      <c r="TK74" s="336">
        <v>0</v>
      </c>
      <c r="TL74" s="336">
        <v>0</v>
      </c>
      <c r="TM74" s="336">
        <v>-1349590</v>
      </c>
      <c r="TN74" s="336">
        <v>0</v>
      </c>
      <c r="TO74" s="336">
        <v>0</v>
      </c>
      <c r="TP74" s="336">
        <v>0</v>
      </c>
      <c r="TQ74" s="336">
        <v>0</v>
      </c>
      <c r="TR74" s="336">
        <v>0</v>
      </c>
      <c r="TS74" s="336">
        <v>0</v>
      </c>
      <c r="TT74" s="336">
        <v>0</v>
      </c>
      <c r="TU74" s="336">
        <v>0</v>
      </c>
      <c r="TV74" s="336">
        <v>0</v>
      </c>
      <c r="TW74" s="336">
        <v>0</v>
      </c>
      <c r="TX74" s="336">
        <v>0</v>
      </c>
      <c r="TY74" s="336">
        <v>0</v>
      </c>
      <c r="TZ74" s="336">
        <v>0</v>
      </c>
      <c r="UA74" s="336">
        <v>0</v>
      </c>
      <c r="UB74" s="336">
        <v>0</v>
      </c>
      <c r="UC74" s="336">
        <v>0</v>
      </c>
      <c r="UD74" s="336">
        <v>0</v>
      </c>
      <c r="UE74" s="336">
        <v>0</v>
      </c>
      <c r="UF74" s="336">
        <v>0</v>
      </c>
      <c r="UG74" s="336">
        <v>0</v>
      </c>
      <c r="UH74" s="336">
        <v>20719081</v>
      </c>
      <c r="UI74" s="336">
        <v>810498</v>
      </c>
      <c r="UJ74" s="336">
        <v>724051</v>
      </c>
      <c r="UK74" s="336">
        <v>0</v>
      </c>
      <c r="UL74" s="336">
        <v>8309933</v>
      </c>
      <c r="UM74" s="336">
        <v>7183699</v>
      </c>
      <c r="UN74" s="336">
        <v>5377232</v>
      </c>
      <c r="UO74" s="336">
        <v>3241218</v>
      </c>
      <c r="UP74" s="336">
        <v>6907040</v>
      </c>
      <c r="UQ74" s="336">
        <v>2512668</v>
      </c>
      <c r="UR74"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2467475</v>
      </c>
      <c r="US74" s="338">
        <f>SUM(Input[[#This Row],[Oth Exp E&amp;G]],Input[[#This Row],[Oth Exp Desg]],Input[[#This Row],[Oth Exp Aux]],Input[[#This Row],[Oth Exp R Exp]],Input[[#This Row],[Oth Exp Loan]],Input[[#This Row],[Oth Exp Annuity]],Input[[#This Row],[Oth Exp Unexp]],Input[[#This Row],[Oth Exp R of Ind]],Input[[#This Row],[Oth Exp Inv in P]])</f>
        <v>533977</v>
      </c>
      <c r="UT74" s="336">
        <v>0</v>
      </c>
      <c r="UU74" s="336">
        <v>0</v>
      </c>
      <c r="UV74" s="339" t="s">
        <v>1469</v>
      </c>
      <c r="UW74" s="340">
        <v>3615704873</v>
      </c>
      <c r="UX74" s="339" t="s">
        <v>1470</v>
      </c>
      <c r="UY74" s="339" t="s">
        <v>1471</v>
      </c>
      <c r="UZ74" s="340">
        <v>3615704815</v>
      </c>
      <c r="VA74" s="339" t="s">
        <v>1472</v>
      </c>
      <c r="VB74" s="341" cm="1">
        <f t="array" ref="VB74">IFERROR(_xlfn.IFS(Input[[#This Row],[Type]]="HRI",VLOOKUP(Input[[#This Row],[Institution Name]],FTSEHRI[],9,FALSE),Input[[#This Row],[Type]]="UNIV",VLOOKUP(Input[[#This Row],[Institution Name]],FTSEUNIV[],9,FALSE),OR(Input[[#This Row],[Type]]="TSTC",Input[[#This Row],[Type]]="LSC"),VLOOKUP(Input[[#This Row],[Institution Name]],FTSETSTC[],8,FALSE)),"N/A")</f>
        <v>2826.05</v>
      </c>
      <c r="VC74" s="342" t="str" cm="1">
        <f t="array" ref="VC74">IFERROR(_xlfn.IFS(Input[[#This Row],[Type]]="HRI",VLOOKUP(Input[[#This Row],[Institution Name]],FTSEHRI[],11,FALSE),Input[[#This Row],[Type]]="UNIV",VLOOKUP(Input[[#This Row],[Institution Name]],FTSEUNIV[],11,FALSE),Input[[#This Row],[Type]]="TSTC",VLOOKUP(Input[[#This Row],[Institution Name]],FTSETSTC[],10,FALSE)),"N/A")</f>
        <v>N/A</v>
      </c>
      <c r="VD74"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22480628</v>
      </c>
      <c r="VE74"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3649703</v>
      </c>
      <c r="VF74" s="338">
        <f>SUM(Input[[#This Row],[Fed G&amp;C E&amp;G]],Input[[#This Row],[Fed G&amp;C Desg]],Input[[#This Row],[Fed G&amp;C R Exp]],Input[[#This Row],[Fed G&amp;C Loan]],Input[[#This Row],[Fed G&amp;C Annuity]],Input[[#This Row],[Fed G&amp;C Unexp]],Input[[#This Row],[Fed G&amp;C R of Ind]],Input[[#This Row],[Fed G&amp;C Inv in P]])</f>
        <v>10146552</v>
      </c>
      <c r="VG74"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4831360</v>
      </c>
      <c r="VH74"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14918385</v>
      </c>
      <c r="VI74"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3653929</v>
      </c>
      <c r="VJ74" s="338">
        <f>SUM(Input[[#This Row],[Oth Inc E&amp;G]],Input[[#This Row],[Oth Exp Desg]],Input[[#This Row],[Oth Exp R Exp]],Input[[#This Row],[Oth Exp Loan]],Input[[#This Row],[Oth Exp Annuity]],Input[[#This Row],[Oth Exp Unexp]],Input[[#This Row],[Oth Exp R of Ind]],Input[[#This Row],[Oth Exp Inv in P]])</f>
        <v>527252</v>
      </c>
      <c r="VK74" s="343">
        <f>SUM(Input[[#This Row],[Instr E&amp;G]],Input[[#This Row],[Instr Desg]],Input[[#This Row],[Instr R Exp]],Input[[#This Row],[Instr Loan]],Input[[#This Row],[Instr Annuity]],Input[[#This Row],[Instr Unexp]],Input[[#This Row],[Instr R of Ind]],Input[[#This Row],[Instr Inv in P]])</f>
        <v>20719081</v>
      </c>
      <c r="VL74" s="343">
        <f>SUM(Input[[#This Row],[Res E&amp;G]],Input[[#This Row],[Res Desg]],Input[[#This Row],[Res R Exp]],Input[[#This Row],[Res Loan]],Input[[#This Row],[Res Annuity]],Input[[#This Row],[Res Unexp]],Input[[#This Row],[Res R of Ind]],Input[[#This Row],[Res Inv in P]])</f>
        <v>810498</v>
      </c>
      <c r="VM74" s="343">
        <f>SUM(Input[[#This Row],[Acad Sup E&amp;G]],Input[[#This Row],[Acad Sup Desg]],Input[[#This Row],[Acad Sup R Exp]],Input[[#This Row],[Acad Sup Loan]],Input[[#This Row],[Acad Sup Annuity]],Input[[#This Row],[Acad Sup Unexp]],Input[[#This Row],[Acad Sup R of Ind]],Input[[#This Row],[Acad Sup Inv in P]])</f>
        <v>8281135</v>
      </c>
      <c r="VN74" s="343">
        <f>SUM(Input[[#This Row],[Stu Svc E&amp;G]],Input[[#This Row],[Stu Svc Desg]],Input[[#This Row],[Stu Svc R Exp]],Input[[#This Row],[Stu Svc Loan]],Input[[#This Row],[Stu Svc Annuity]],Input[[#This Row],[Stu Svc Unexp]],Input[[#This Row],[Stu Svc R of Ind]],Input[[#This Row],[Stu Svc Inv in P]])</f>
        <v>4786768</v>
      </c>
      <c r="VO74" s="343">
        <f>SUM(Input[[#This Row],[Inst. Spt E&amp;G]],Input[[#This Row],[Inst. Spt Desg]],Input[[#This Row],[Inst. Spt R Exp]],Input[[#This Row],[Inst. Spt Loan]],Input[[#This Row],[Inst. Spt Annuity]],Input[[#This Row],[Inst. Spt Unexp]],Input[[#This Row],[Inst. Spt R of Ind]],Input[[#This Row],[Inst. Spt Inv in P]])</f>
        <v>5364291</v>
      </c>
      <c r="VP74" s="343">
        <f>SUM(Input[[#This Row],[M&amp;O Plnt E&amp;G]],Input[[#This Row],[M&amp;O Plnt Desg]],Input[[#This Row],[M&amp;O Plnt R Exp]],Input[[#This Row],[M&amp;O Plnt Loan]],Input[[#This Row],[M&amp;O Plnt Annuity]],Input[[#This Row],[M&amp;O Plnt Unexp]],Input[[#This Row],[M&amp;O Plnt R of Ind]],Input[[#This Row],[M&amp;O Plnt Inv in P]])</f>
        <v>3232218</v>
      </c>
      <c r="VQ74" s="343">
        <f>SUM(Input[[#This Row],[Schl &amp; Fell E&amp;G]],Input[[#This Row],[Schl &amp; Fell Desg]],Input[[#This Row],[Schl &amp; Fell R Exp]],Input[[#This Row],[Schl &amp; Fell Loan]],Input[[#This Row],[Schl &amp; Fell Annuity]],Input[[#This Row],[Schl &amp; Fell Unexp]],Input[[#This Row],[Schl &amp; Fell R of Ind]],Input[[#This Row],[Schl &amp; Fell Inv in P]])</f>
        <v>6776146</v>
      </c>
      <c r="VR74" s="343">
        <f>SUM(Input[[#This Row],[Cap Out fund E&amp;G]],Input[[#This Row],[Cap Out fund Desg]],Input[[#This Row],[Cap Out fund R Exp]],Input[[#This Row],[Cap Out fund Loan]],Input[[#This Row],[Cap Out fund Annuity]],Input[[#This Row],[Cap Out fund Unexp]],Input[[#This Row],[Cap Out fund R of Ind]],Input[[#This Row],[Cap Out fund Inv in P]])</f>
        <v>2467475</v>
      </c>
      <c r="VS74" s="343">
        <f>SUM(Input[[#This Row],[Oth Exp E&amp;G]],Input[[#This Row],[Oth Exp Desg]],Input[[#This Row],[Oth Exp R Exp]],Input[[#This Row],[Oth Exp Loan]],Input[[#This Row],[Oth Exp Annuity]],Input[[#This Row],[Oth Exp Unexp]],Input[[#This Row],[Oth Exp R of Ind]],Input[[#This Row],[Oth Exp Inv in P]],Input[[#This Row],[Oth Exp Inv in P]])</f>
        <v>529179</v>
      </c>
    </row>
    <row r="75" spans="1:591" s="344" customFormat="1" ht="27" customHeight="1" x14ac:dyDescent="0.55000000000000004">
      <c r="A75" s="339" t="s">
        <v>78</v>
      </c>
      <c r="B75" s="334" t="s">
        <v>828</v>
      </c>
      <c r="C75" s="334" t="s">
        <v>21</v>
      </c>
      <c r="D75" s="334">
        <v>231</v>
      </c>
      <c r="E75" s="334" t="s">
        <v>1622</v>
      </c>
      <c r="F75" s="335">
        <v>3652</v>
      </c>
      <c r="G75" s="336">
        <v>281083753</v>
      </c>
      <c r="H75" s="336">
        <v>0</v>
      </c>
      <c r="I75" s="336">
        <v>0</v>
      </c>
      <c r="J75" s="336">
        <v>0</v>
      </c>
      <c r="K75" s="336">
        <v>0</v>
      </c>
      <c r="L75" s="336">
        <v>0</v>
      </c>
      <c r="M75" s="336">
        <v>0</v>
      </c>
      <c r="N75" s="336">
        <v>0</v>
      </c>
      <c r="O75" s="336">
        <v>0</v>
      </c>
      <c r="P75" s="336">
        <v>44816</v>
      </c>
      <c r="Q75" s="336">
        <v>0</v>
      </c>
      <c r="R75" s="336">
        <v>0</v>
      </c>
      <c r="S75" s="336">
        <v>44787545</v>
      </c>
      <c r="T75" s="336">
        <v>0</v>
      </c>
      <c r="U75" s="336">
        <v>0</v>
      </c>
      <c r="V75" s="336">
        <v>0</v>
      </c>
      <c r="W75" s="336">
        <v>0</v>
      </c>
      <c r="X75" s="336">
        <v>0</v>
      </c>
      <c r="Y75" s="336">
        <v>56158685</v>
      </c>
      <c r="Z75" s="336">
        <v>0</v>
      </c>
      <c r="AA75" s="336">
        <v>0</v>
      </c>
      <c r="AB75" s="336">
        <v>0</v>
      </c>
      <c r="AC75" s="336">
        <v>0</v>
      </c>
      <c r="AD75" s="336">
        <v>0</v>
      </c>
      <c r="AE75" s="336">
        <v>0</v>
      </c>
      <c r="AF75" s="336">
        <v>0</v>
      </c>
      <c r="AG75" s="336">
        <v>0</v>
      </c>
      <c r="AH75" s="336">
        <v>0</v>
      </c>
      <c r="AI75" s="336">
        <v>0</v>
      </c>
      <c r="AJ75" s="336">
        <v>0</v>
      </c>
      <c r="AK75" s="336">
        <v>0</v>
      </c>
      <c r="AL75" s="336">
        <v>0</v>
      </c>
      <c r="AM75" s="336">
        <v>0</v>
      </c>
      <c r="AN75" s="336">
        <v>0</v>
      </c>
      <c r="AO75" s="336">
        <v>0</v>
      </c>
      <c r="AP75" s="336">
        <v>0</v>
      </c>
      <c r="AQ75" s="336">
        <v>-28185751</v>
      </c>
      <c r="AR75" s="336">
        <v>-6805098</v>
      </c>
      <c r="AS75" s="336">
        <v>0</v>
      </c>
      <c r="AT75" s="336">
        <v>0</v>
      </c>
      <c r="AU75" s="336">
        <v>0</v>
      </c>
      <c r="AV75" s="336">
        <v>0</v>
      </c>
      <c r="AW75" s="336">
        <v>0</v>
      </c>
      <c r="AX75" s="336">
        <v>0</v>
      </c>
      <c r="AY75" s="336">
        <v>0</v>
      </c>
      <c r="AZ75" s="336">
        <v>0</v>
      </c>
      <c r="BA75" s="336">
        <v>0</v>
      </c>
      <c r="BB75" s="336">
        <v>0</v>
      </c>
      <c r="BC75" s="336">
        <v>0</v>
      </c>
      <c r="BD75" s="336">
        <v>0</v>
      </c>
      <c r="BE75" s="336">
        <v>0</v>
      </c>
      <c r="BF75" s="336">
        <v>0</v>
      </c>
      <c r="BG75" s="336">
        <v>0</v>
      </c>
      <c r="BH75" s="336">
        <v>0</v>
      </c>
      <c r="BI75" s="336">
        <v>0</v>
      </c>
      <c r="BJ75" s="336">
        <v>0</v>
      </c>
      <c r="BK75" s="336">
        <v>0</v>
      </c>
      <c r="BL75" s="336">
        <v>0</v>
      </c>
      <c r="BM75" s="336">
        <v>0</v>
      </c>
      <c r="BN75" s="336">
        <v>0</v>
      </c>
      <c r="BO75" s="336">
        <v>0</v>
      </c>
      <c r="BP75" s="336">
        <v>0</v>
      </c>
      <c r="BQ75" s="336">
        <v>0</v>
      </c>
      <c r="BR75" s="336">
        <v>0</v>
      </c>
      <c r="BS75" s="336">
        <v>0</v>
      </c>
      <c r="BT75" s="336">
        <v>0</v>
      </c>
      <c r="BU75" s="336">
        <v>0</v>
      </c>
      <c r="BV75" s="336">
        <v>0</v>
      </c>
      <c r="BW75" s="336">
        <v>0</v>
      </c>
      <c r="BX75" s="336">
        <v>0</v>
      </c>
      <c r="BY75" s="336">
        <v>0</v>
      </c>
      <c r="BZ75" s="336">
        <v>0</v>
      </c>
      <c r="CA75" s="336">
        <v>91164270</v>
      </c>
      <c r="CB75" s="336">
        <v>339181226</v>
      </c>
      <c r="CC75" s="336">
        <v>0</v>
      </c>
      <c r="CD75" s="336">
        <v>0</v>
      </c>
      <c r="CE75" s="336">
        <v>0</v>
      </c>
      <c r="CF75" s="336">
        <v>0</v>
      </c>
      <c r="CG75" s="336">
        <v>0</v>
      </c>
      <c r="CH75" s="336">
        <v>0</v>
      </c>
      <c r="CI75" s="336">
        <v>0</v>
      </c>
      <c r="CJ75" s="336">
        <v>0</v>
      </c>
      <c r="CK75" s="336">
        <v>0</v>
      </c>
      <c r="CL75" s="336">
        <v>0</v>
      </c>
      <c r="CM75" s="336">
        <v>0</v>
      </c>
      <c r="CN75" s="336">
        <v>0</v>
      </c>
      <c r="CO75" s="336">
        <v>0</v>
      </c>
      <c r="CP75" s="336">
        <v>0</v>
      </c>
      <c r="CQ75" s="336">
        <v>0</v>
      </c>
      <c r="CR75" s="336">
        <v>0</v>
      </c>
      <c r="CS75" s="336">
        <v>0</v>
      </c>
      <c r="CT75" s="336">
        <v>0</v>
      </c>
      <c r="CU75" s="336">
        <v>0</v>
      </c>
      <c r="CV75" s="336">
        <v>0</v>
      </c>
      <c r="CW75" s="336">
        <v>0</v>
      </c>
      <c r="CX75" s="336">
        <v>0</v>
      </c>
      <c r="CY75" s="336">
        <v>0</v>
      </c>
      <c r="CZ75" s="336">
        <v>0</v>
      </c>
      <c r="DA75" s="336">
        <v>0</v>
      </c>
      <c r="DB75" s="336">
        <v>-2140819</v>
      </c>
      <c r="DC75" s="336">
        <v>-8588919</v>
      </c>
      <c r="DD75" s="336">
        <v>0</v>
      </c>
      <c r="DE75" s="336">
        <v>0</v>
      </c>
      <c r="DF75" s="336">
        <v>0</v>
      </c>
      <c r="DG75" s="336">
        <v>0</v>
      </c>
      <c r="DH75" s="336">
        <v>0</v>
      </c>
      <c r="DI75" s="336">
        <v>0</v>
      </c>
      <c r="DJ75" s="336">
        <v>0</v>
      </c>
      <c r="DK75" s="336">
        <v>0</v>
      </c>
      <c r="DL75" s="336">
        <v>0</v>
      </c>
      <c r="DM75" s="336">
        <v>0</v>
      </c>
      <c r="DN75" s="336">
        <v>0</v>
      </c>
      <c r="DO75" s="336">
        <v>0</v>
      </c>
      <c r="DP75" s="336">
        <v>0</v>
      </c>
      <c r="DQ75" s="336">
        <v>0</v>
      </c>
      <c r="DR75" s="336">
        <v>0</v>
      </c>
      <c r="DS75" s="336">
        <v>0</v>
      </c>
      <c r="DT75" s="336">
        <v>-24416201</v>
      </c>
      <c r="DU75" s="336">
        <v>-90258843</v>
      </c>
      <c r="DV75" s="336">
        <v>0</v>
      </c>
      <c r="DW75" s="336">
        <v>0</v>
      </c>
      <c r="DX75" s="336">
        <v>0</v>
      </c>
      <c r="DY75" s="336">
        <v>0</v>
      </c>
      <c r="DZ75" s="336">
        <v>0</v>
      </c>
      <c r="EA75" s="336">
        <v>0</v>
      </c>
      <c r="EB75" s="336">
        <v>0</v>
      </c>
      <c r="EC75" s="336">
        <v>-18</v>
      </c>
      <c r="ED75" s="336">
        <v>-39085</v>
      </c>
      <c r="EE75" s="336">
        <v>-16057</v>
      </c>
      <c r="EF75" s="336">
        <v>0</v>
      </c>
      <c r="EG75" s="336">
        <v>0</v>
      </c>
      <c r="EH75" s="336">
        <v>0</v>
      </c>
      <c r="EI75" s="336">
        <v>0</v>
      </c>
      <c r="EJ75" s="336">
        <v>0</v>
      </c>
      <c r="EK75" s="336">
        <v>0</v>
      </c>
      <c r="EL75" s="336">
        <v>0</v>
      </c>
      <c r="EM75" s="336">
        <v>0</v>
      </c>
      <c r="EN75" s="336">
        <v>0</v>
      </c>
      <c r="EO75" s="336">
        <v>0</v>
      </c>
      <c r="EP75" s="336">
        <v>0</v>
      </c>
      <c r="EQ75" s="336">
        <v>0</v>
      </c>
      <c r="ER75" s="336">
        <v>0</v>
      </c>
      <c r="ES75" s="336">
        <v>0</v>
      </c>
      <c r="ET75" s="336">
        <v>0</v>
      </c>
      <c r="EU75" s="336">
        <v>0</v>
      </c>
      <c r="EV75" s="336">
        <v>0</v>
      </c>
      <c r="EW75" s="336">
        <v>0</v>
      </c>
      <c r="EX75" s="336">
        <v>0</v>
      </c>
      <c r="EY75" s="336">
        <v>0</v>
      </c>
      <c r="EZ75" s="336">
        <v>0</v>
      </c>
      <c r="FA75" s="336">
        <v>0</v>
      </c>
      <c r="FB75" s="336">
        <v>0</v>
      </c>
      <c r="FC75" s="336">
        <v>0</v>
      </c>
      <c r="FD75" s="336">
        <v>0</v>
      </c>
      <c r="FE75" s="336">
        <v>0</v>
      </c>
      <c r="FF75" s="336">
        <v>0</v>
      </c>
      <c r="FG75" s="336">
        <v>0</v>
      </c>
      <c r="FH75" s="336">
        <v>0</v>
      </c>
      <c r="FI75" s="336">
        <v>0</v>
      </c>
      <c r="FJ75" s="336">
        <v>0</v>
      </c>
      <c r="FK75" s="336">
        <v>0</v>
      </c>
      <c r="FL75" s="336">
        <v>0</v>
      </c>
      <c r="FM75" s="336">
        <v>459452</v>
      </c>
      <c r="FN75" s="336">
        <v>108127262</v>
      </c>
      <c r="FO75" s="336">
        <v>46858247</v>
      </c>
      <c r="FP75" s="336">
        <v>0</v>
      </c>
      <c r="FQ75" s="336">
        <v>0</v>
      </c>
      <c r="FR75" s="336">
        <v>0</v>
      </c>
      <c r="FS75" s="336">
        <v>0</v>
      </c>
      <c r="FT75" s="336">
        <v>0</v>
      </c>
      <c r="FU75" s="336">
        <v>0</v>
      </c>
      <c r="FV75" s="336">
        <v>0</v>
      </c>
      <c r="FW75" s="336">
        <v>0</v>
      </c>
      <c r="FX75" s="336">
        <v>0</v>
      </c>
      <c r="FY75" s="336">
        <v>0</v>
      </c>
      <c r="FZ75" s="336">
        <v>0</v>
      </c>
      <c r="GA75" s="336">
        <v>0</v>
      </c>
      <c r="GB75" s="336">
        <v>0</v>
      </c>
      <c r="GC75" s="336">
        <v>0</v>
      </c>
      <c r="GD75" s="336">
        <v>0</v>
      </c>
      <c r="GE75" s="336">
        <v>0</v>
      </c>
      <c r="GF75" s="336">
        <v>0</v>
      </c>
      <c r="GG75" s="336">
        <v>0</v>
      </c>
      <c r="GH75" s="336">
        <v>0</v>
      </c>
      <c r="GI75" s="336">
        <v>0</v>
      </c>
      <c r="GJ75" s="336">
        <v>0</v>
      </c>
      <c r="GK75" s="336">
        <v>0</v>
      </c>
      <c r="GL75" s="336">
        <v>0</v>
      </c>
      <c r="GM75" s="336">
        <v>0</v>
      </c>
      <c r="GN75" s="336">
        <v>-2224</v>
      </c>
      <c r="GO75" s="336">
        <v>-2450749</v>
      </c>
      <c r="GP75" s="336">
        <v>-619837</v>
      </c>
      <c r="GQ75" s="336">
        <v>0</v>
      </c>
      <c r="GR75" s="336">
        <v>0</v>
      </c>
      <c r="GS75" s="336">
        <v>0</v>
      </c>
      <c r="GT75" s="336">
        <v>0</v>
      </c>
      <c r="GU75" s="336">
        <v>0</v>
      </c>
      <c r="GV75" s="336">
        <v>0</v>
      </c>
      <c r="GW75" s="336">
        <v>0</v>
      </c>
      <c r="GX75" s="336">
        <v>0</v>
      </c>
      <c r="GY75" s="336">
        <v>0</v>
      </c>
      <c r="GZ75" s="336">
        <v>0</v>
      </c>
      <c r="HA75" s="336">
        <v>0</v>
      </c>
      <c r="HB75" s="336">
        <v>0</v>
      </c>
      <c r="HC75" s="336">
        <v>0</v>
      </c>
      <c r="HD75" s="336">
        <v>0</v>
      </c>
      <c r="HE75" s="336">
        <v>0</v>
      </c>
      <c r="HF75" s="336">
        <v>-119565</v>
      </c>
      <c r="HG75" s="336">
        <v>-28870270</v>
      </c>
      <c r="HH75" s="336">
        <v>-13058169</v>
      </c>
      <c r="HI75" s="336">
        <v>0</v>
      </c>
      <c r="HJ75" s="336">
        <v>0</v>
      </c>
      <c r="HK75" s="336">
        <v>0</v>
      </c>
      <c r="HL75" s="336">
        <v>0</v>
      </c>
      <c r="HM75" s="336">
        <v>0</v>
      </c>
      <c r="HN75" s="336">
        <v>0</v>
      </c>
      <c r="HO75" s="336">
        <v>49688097</v>
      </c>
      <c r="HP75" s="336">
        <v>24416</v>
      </c>
      <c r="HQ75" s="336">
        <v>0</v>
      </c>
      <c r="HR75" s="336">
        <v>147042007</v>
      </c>
      <c r="HS75" s="336">
        <v>0</v>
      </c>
      <c r="HT75" s="336">
        <v>0</v>
      </c>
      <c r="HU75" s="336">
        <v>0</v>
      </c>
      <c r="HV75" s="336">
        <v>0</v>
      </c>
      <c r="HW75" s="336">
        <v>0</v>
      </c>
      <c r="HX75" s="336">
        <v>0</v>
      </c>
      <c r="HY75" s="336">
        <v>0</v>
      </c>
      <c r="HZ75" s="336">
        <v>0</v>
      </c>
      <c r="IA75" s="336">
        <v>0</v>
      </c>
      <c r="IB75" s="336">
        <v>0</v>
      </c>
      <c r="IC75" s="336">
        <v>0</v>
      </c>
      <c r="ID75" s="336">
        <v>0</v>
      </c>
      <c r="IE75" s="336">
        <v>0</v>
      </c>
      <c r="IF75" s="336">
        <v>0</v>
      </c>
      <c r="IG75" s="336">
        <v>0</v>
      </c>
      <c r="IH75" s="336">
        <v>0</v>
      </c>
      <c r="II75" s="336">
        <v>0</v>
      </c>
      <c r="IJ75" s="336">
        <v>0</v>
      </c>
      <c r="IK75" s="336">
        <v>0</v>
      </c>
      <c r="IL75" s="336">
        <v>0</v>
      </c>
      <c r="IM75" s="336">
        <v>0</v>
      </c>
      <c r="IN75" s="336">
        <v>0</v>
      </c>
      <c r="IO75" s="336">
        <v>0</v>
      </c>
      <c r="IP75" s="336">
        <v>9163199</v>
      </c>
      <c r="IQ75" s="336">
        <v>40467804</v>
      </c>
      <c r="IR75" s="336">
        <v>1267945</v>
      </c>
      <c r="IS75" s="336">
        <v>9141</v>
      </c>
      <c r="IT75" s="336">
        <v>14436</v>
      </c>
      <c r="IU75" s="336">
        <v>42534580</v>
      </c>
      <c r="IV75" s="336">
        <v>1182396</v>
      </c>
      <c r="IW75" s="336">
        <v>22823</v>
      </c>
      <c r="IX75" s="336">
        <v>0</v>
      </c>
      <c r="IY75" s="336">
        <v>0</v>
      </c>
      <c r="IZ75" s="336">
        <v>18515414</v>
      </c>
      <c r="JA75" s="336">
        <v>0</v>
      </c>
      <c r="JB75" s="336">
        <v>1173987</v>
      </c>
      <c r="JC75" s="336">
        <v>0</v>
      </c>
      <c r="JD75" s="336">
        <v>0</v>
      </c>
      <c r="JE75" s="336">
        <v>0</v>
      </c>
      <c r="JF75" s="336">
        <v>0</v>
      </c>
      <c r="JG75" s="336">
        <v>0</v>
      </c>
      <c r="JH75" s="336">
        <v>0</v>
      </c>
      <c r="JI75" s="336">
        <v>1224147</v>
      </c>
      <c r="JJ75" s="336">
        <v>125</v>
      </c>
      <c r="JK75" s="336">
        <v>77856408</v>
      </c>
      <c r="JL75" s="336">
        <v>0</v>
      </c>
      <c r="JM75" s="336">
        <v>89238</v>
      </c>
      <c r="JN75" s="336">
        <v>0</v>
      </c>
      <c r="JO75" s="336">
        <v>0</v>
      </c>
      <c r="JP75" s="336">
        <v>0</v>
      </c>
      <c r="JQ75" s="336">
        <v>1980</v>
      </c>
      <c r="JR75" s="336">
        <v>37784890</v>
      </c>
      <c r="JS75" s="336">
        <v>0</v>
      </c>
      <c r="JT75" s="336">
        <v>6777</v>
      </c>
      <c r="JU75" s="336">
        <v>0</v>
      </c>
      <c r="JV75" s="336">
        <v>0</v>
      </c>
      <c r="JW75" s="336">
        <v>0</v>
      </c>
      <c r="JX75" s="336">
        <v>0</v>
      </c>
      <c r="JY75" s="336">
        <v>0</v>
      </c>
      <c r="JZ75" s="336">
        <v>0</v>
      </c>
      <c r="KA75" s="336">
        <v>0</v>
      </c>
      <c r="KB75" s="336">
        <v>119951453</v>
      </c>
      <c r="KC75" s="336">
        <v>0</v>
      </c>
      <c r="KD75" s="336">
        <v>0</v>
      </c>
      <c r="KE75" s="336">
        <v>0</v>
      </c>
      <c r="KF75" s="336">
        <v>0</v>
      </c>
      <c r="KG75" s="336">
        <v>0</v>
      </c>
      <c r="KH75" s="336">
        <v>0</v>
      </c>
      <c r="KI75" s="336">
        <v>0</v>
      </c>
      <c r="KJ75" s="336">
        <v>15302656</v>
      </c>
      <c r="KK75" s="336">
        <v>0</v>
      </c>
      <c r="KL75" s="336">
        <v>23790378</v>
      </c>
      <c r="KM75" s="336">
        <v>0</v>
      </c>
      <c r="KN75" s="336">
        <v>0</v>
      </c>
      <c r="KO75" s="336">
        <v>0</v>
      </c>
      <c r="KP75" s="336">
        <v>0</v>
      </c>
      <c r="KQ75" s="336">
        <v>0</v>
      </c>
      <c r="KR75" s="336">
        <v>167042657</v>
      </c>
      <c r="KS75" s="336">
        <v>119079046</v>
      </c>
      <c r="KT75" s="336">
        <v>0</v>
      </c>
      <c r="KU75" s="336">
        <v>7235937</v>
      </c>
      <c r="KV75" s="336">
        <v>0</v>
      </c>
      <c r="KW75" s="336">
        <v>0</v>
      </c>
      <c r="KX75" s="336">
        <v>0</v>
      </c>
      <c r="KY75" s="336">
        <v>0</v>
      </c>
      <c r="KZ75" s="336">
        <v>0</v>
      </c>
      <c r="LA75" s="336">
        <v>17002452</v>
      </c>
      <c r="LB75" s="336">
        <v>25091430</v>
      </c>
      <c r="LC75" s="336">
        <v>0</v>
      </c>
      <c r="LD75" s="336">
        <v>125358526</v>
      </c>
      <c r="LE75" s="336">
        <v>0</v>
      </c>
      <c r="LF75" s="336">
        <v>0</v>
      </c>
      <c r="LG75" s="336">
        <v>0</v>
      </c>
      <c r="LH75" s="336">
        <v>0</v>
      </c>
      <c r="LI75" s="336">
        <v>0</v>
      </c>
      <c r="LJ75" s="336">
        <v>3555673</v>
      </c>
      <c r="LK75" s="336">
        <v>2978114</v>
      </c>
      <c r="LL75" s="336">
        <v>0</v>
      </c>
      <c r="LM75" s="336">
        <v>26627212</v>
      </c>
      <c r="LN75" s="336">
        <v>0</v>
      </c>
      <c r="LO75" s="336">
        <v>0</v>
      </c>
      <c r="LP75" s="336">
        <v>0</v>
      </c>
      <c r="LQ75" s="336">
        <v>0</v>
      </c>
      <c r="LR75" s="336">
        <v>0</v>
      </c>
      <c r="LS75" s="336">
        <v>0</v>
      </c>
      <c r="LT75" s="336">
        <v>0</v>
      </c>
      <c r="LU75" s="336">
        <v>0</v>
      </c>
      <c r="LV75" s="336">
        <v>0</v>
      </c>
      <c r="LW75" s="336">
        <v>0</v>
      </c>
      <c r="LX75" s="336">
        <v>0</v>
      </c>
      <c r="LY75" s="336">
        <v>0</v>
      </c>
      <c r="LZ75" s="336">
        <v>0</v>
      </c>
      <c r="MA75" s="336">
        <v>0</v>
      </c>
      <c r="MB75" s="336">
        <v>75612553</v>
      </c>
      <c r="MC75" s="336">
        <v>109622929</v>
      </c>
      <c r="MD75" s="336">
        <v>0</v>
      </c>
      <c r="ME75" s="336">
        <v>2312882</v>
      </c>
      <c r="MF75" s="336">
        <v>0</v>
      </c>
      <c r="MG75" s="336">
        <v>0</v>
      </c>
      <c r="MH75" s="336">
        <v>0</v>
      </c>
      <c r="MI75" s="336">
        <v>0</v>
      </c>
      <c r="MJ75" s="336">
        <v>0</v>
      </c>
      <c r="MK75" s="336">
        <v>9595977</v>
      </c>
      <c r="ML75" s="336">
        <v>23608786</v>
      </c>
      <c r="MM75" s="336">
        <v>0</v>
      </c>
      <c r="MN75" s="336">
        <v>2573347</v>
      </c>
      <c r="MO75" s="336">
        <v>0</v>
      </c>
      <c r="MP75" s="336">
        <v>0</v>
      </c>
      <c r="MQ75" s="336">
        <v>0</v>
      </c>
      <c r="MR75" s="336">
        <v>0</v>
      </c>
      <c r="MS75" s="336">
        <v>0</v>
      </c>
      <c r="MT75" s="336">
        <v>44461381</v>
      </c>
      <c r="MU75" s="336">
        <v>39006319</v>
      </c>
      <c r="MV75" s="336">
        <v>0</v>
      </c>
      <c r="MW75" s="336">
        <v>-4420341</v>
      </c>
      <c r="MX75" s="336">
        <v>0</v>
      </c>
      <c r="MY75" s="336">
        <v>0</v>
      </c>
      <c r="MZ75" s="336">
        <v>0</v>
      </c>
      <c r="NA75" s="336">
        <v>0</v>
      </c>
      <c r="NB75" s="336">
        <v>0</v>
      </c>
      <c r="NC75" s="336">
        <v>68240123</v>
      </c>
      <c r="ND75" s="336">
        <v>38320219</v>
      </c>
      <c r="NE75" s="336">
        <v>0</v>
      </c>
      <c r="NF75" s="336">
        <v>-26191149</v>
      </c>
      <c r="NG75" s="336">
        <v>0</v>
      </c>
      <c r="NH75" s="336">
        <v>0</v>
      </c>
      <c r="NI75" s="336">
        <v>0</v>
      </c>
      <c r="NJ75" s="336">
        <v>0</v>
      </c>
      <c r="NK75" s="336">
        <v>0</v>
      </c>
      <c r="NL75" s="336">
        <v>823156</v>
      </c>
      <c r="NM75" s="336">
        <v>22662550</v>
      </c>
      <c r="NN75" s="336">
        <v>0</v>
      </c>
      <c r="NO75" s="336">
        <v>38331286</v>
      </c>
      <c r="NP75" s="336">
        <v>0</v>
      </c>
      <c r="NQ75" s="336">
        <v>0</v>
      </c>
      <c r="NR75" s="336">
        <v>0</v>
      </c>
      <c r="NS75" s="336">
        <v>0</v>
      </c>
      <c r="NT75" s="336">
        <v>0</v>
      </c>
      <c r="NU75" s="336">
        <v>0</v>
      </c>
      <c r="NV75" s="336">
        <v>0</v>
      </c>
      <c r="NW75" s="336">
        <v>150594078</v>
      </c>
      <c r="NX75" s="336">
        <v>189230</v>
      </c>
      <c r="NY75" s="336">
        <v>0</v>
      </c>
      <c r="NZ75" s="336">
        <v>0</v>
      </c>
      <c r="OA75" s="336">
        <v>0</v>
      </c>
      <c r="OB75" s="336">
        <v>0</v>
      </c>
      <c r="OC75" s="336">
        <v>0</v>
      </c>
      <c r="OD75" s="336">
        <v>8134140</v>
      </c>
      <c r="OE75" s="336">
        <v>2364394</v>
      </c>
      <c r="OF75" s="336">
        <v>88940</v>
      </c>
      <c r="OG75" s="336">
        <v>7245458</v>
      </c>
      <c r="OH75" s="336">
        <v>0</v>
      </c>
      <c r="OI75" s="336">
        <v>0</v>
      </c>
      <c r="OJ75" s="336">
        <v>0</v>
      </c>
      <c r="OK75" s="336">
        <v>0</v>
      </c>
      <c r="OL75" s="336">
        <v>0</v>
      </c>
      <c r="OM75" s="336">
        <v>459499</v>
      </c>
      <c r="ON75" s="336">
        <v>0</v>
      </c>
      <c r="OO75" s="336">
        <v>1759455</v>
      </c>
      <c r="OP75" s="336">
        <v>0</v>
      </c>
      <c r="OQ75" s="336">
        <v>214607</v>
      </c>
      <c r="OR75" s="336">
        <v>30559353</v>
      </c>
      <c r="OS75" s="336">
        <v>73951035</v>
      </c>
      <c r="OT75" s="336">
        <v>0</v>
      </c>
      <c r="OU75" s="336">
        <v>0</v>
      </c>
      <c r="OV75" s="336">
        <v>0</v>
      </c>
      <c r="OW75" s="336">
        <v>0</v>
      </c>
      <c r="OX75" s="336">
        <v>0</v>
      </c>
      <c r="OY75" s="336">
        <v>0</v>
      </c>
      <c r="OZ75" s="336">
        <v>0</v>
      </c>
      <c r="PA75" s="336">
        <v>0</v>
      </c>
      <c r="PB75" s="336">
        <v>-120080459</v>
      </c>
      <c r="PC75" s="336">
        <v>0</v>
      </c>
      <c r="PD75" s="336">
        <v>0</v>
      </c>
      <c r="PE75" s="336">
        <v>-28549543</v>
      </c>
      <c r="PF75" s="336">
        <v>15076069</v>
      </c>
      <c r="PG75" s="336">
        <v>-2032388</v>
      </c>
      <c r="PH75" s="336">
        <v>-128640425</v>
      </c>
      <c r="PI75" s="336">
        <v>0</v>
      </c>
      <c r="PJ75" s="336">
        <v>-16079254</v>
      </c>
      <c r="PK75" s="336">
        <v>78418061</v>
      </c>
      <c r="PL75" s="336">
        <v>99664440</v>
      </c>
      <c r="PM75" s="336">
        <v>136229689</v>
      </c>
      <c r="PN75" s="336">
        <v>0</v>
      </c>
      <c r="PO75" s="336">
        <v>0</v>
      </c>
      <c r="PP75" s="336">
        <v>0</v>
      </c>
      <c r="PQ75" s="336">
        <v>0</v>
      </c>
      <c r="PR75" s="336">
        <v>0</v>
      </c>
      <c r="PS75" s="336">
        <v>0</v>
      </c>
      <c r="PT75" s="336">
        <v>0</v>
      </c>
      <c r="PU75" s="336">
        <v>0</v>
      </c>
      <c r="PV75" s="336">
        <v>0</v>
      </c>
      <c r="PW75" s="336">
        <v>0</v>
      </c>
      <c r="PX75" s="336">
        <v>0</v>
      </c>
      <c r="PY75" s="336">
        <v>0</v>
      </c>
      <c r="PZ75" s="336">
        <v>0</v>
      </c>
      <c r="QA75" s="336">
        <v>0</v>
      </c>
      <c r="QB75" s="336">
        <v>0</v>
      </c>
      <c r="QC75" s="336">
        <v>0</v>
      </c>
      <c r="QD75" s="336">
        <v>-101515512</v>
      </c>
      <c r="QE75" s="336">
        <v>0</v>
      </c>
      <c r="QF75" s="336">
        <v>0</v>
      </c>
      <c r="QG75" s="336">
        <v>12274916</v>
      </c>
      <c r="QH75" s="336">
        <v>0</v>
      </c>
      <c r="QI75" s="336">
        <v>0</v>
      </c>
      <c r="QJ75" s="336">
        <v>0</v>
      </c>
      <c r="QK75" s="336">
        <v>49350770</v>
      </c>
      <c r="QL75" s="336">
        <v>548251</v>
      </c>
      <c r="QM75" s="336">
        <v>0</v>
      </c>
      <c r="QN75" s="336">
        <v>0</v>
      </c>
      <c r="QO75" s="336">
        <v>0</v>
      </c>
      <c r="QP75" s="336">
        <v>0</v>
      </c>
      <c r="QQ75" s="336">
        <v>0</v>
      </c>
      <c r="QR75" s="336">
        <v>0</v>
      </c>
      <c r="QS75" s="336">
        <v>0</v>
      </c>
      <c r="QT75" s="336">
        <v>19623776</v>
      </c>
      <c r="QU75" s="336">
        <v>0</v>
      </c>
      <c r="QV75" s="336">
        <v>0</v>
      </c>
      <c r="QW75" s="336">
        <v>0</v>
      </c>
      <c r="QX75" s="336">
        <v>0</v>
      </c>
      <c r="QY75" s="336">
        <v>0</v>
      </c>
      <c r="QZ75" s="336">
        <v>0</v>
      </c>
      <c r="RA75" s="336">
        <v>0</v>
      </c>
      <c r="RB75" s="336">
        <v>0</v>
      </c>
      <c r="RC75" s="336">
        <v>0</v>
      </c>
      <c r="RD75" s="336">
        <v>0</v>
      </c>
      <c r="RE75" s="336">
        <v>0</v>
      </c>
      <c r="RF75" s="336">
        <v>0</v>
      </c>
      <c r="RG75" s="336">
        <v>0</v>
      </c>
      <c r="RH75" s="336">
        <v>0</v>
      </c>
      <c r="RI75" s="336">
        <v>0</v>
      </c>
      <c r="RJ75" s="336">
        <v>0</v>
      </c>
      <c r="RK75" s="336">
        <v>0</v>
      </c>
      <c r="RL75" s="336">
        <v>0</v>
      </c>
      <c r="RM75" s="336">
        <v>0</v>
      </c>
      <c r="RN75" s="336">
        <v>0</v>
      </c>
      <c r="RO75" s="336">
        <v>-115852392</v>
      </c>
      <c r="RP75" s="336">
        <v>0</v>
      </c>
      <c r="RQ75" s="336">
        <v>0</v>
      </c>
      <c r="RR75" s="336">
        <v>0</v>
      </c>
      <c r="RS75" s="336">
        <v>0</v>
      </c>
      <c r="RT75" s="336">
        <v>0</v>
      </c>
      <c r="RU75" s="336">
        <v>0</v>
      </c>
      <c r="RV75" s="336">
        <v>0</v>
      </c>
      <c r="RW75" s="336">
        <v>0</v>
      </c>
      <c r="RX75" s="336">
        <v>0</v>
      </c>
      <c r="RY75" s="336">
        <v>0</v>
      </c>
      <c r="RZ75" s="336">
        <v>0</v>
      </c>
      <c r="SA75" s="336">
        <v>0</v>
      </c>
      <c r="SB75" s="336">
        <v>0</v>
      </c>
      <c r="SC75" s="336">
        <v>0</v>
      </c>
      <c r="SD75" s="336">
        <v>0</v>
      </c>
      <c r="SE75" s="336">
        <v>0</v>
      </c>
      <c r="SF75" s="336">
        <v>0</v>
      </c>
      <c r="SG75" s="336">
        <v>0</v>
      </c>
      <c r="SH75" s="336">
        <v>0</v>
      </c>
      <c r="SI75" s="336">
        <v>0</v>
      </c>
      <c r="SJ75" s="336">
        <v>0</v>
      </c>
      <c r="SK75" s="336">
        <v>0</v>
      </c>
      <c r="SL75" s="336">
        <v>0</v>
      </c>
      <c r="SM75" s="336">
        <v>0</v>
      </c>
      <c r="SN75" s="336">
        <v>0</v>
      </c>
      <c r="SO75" s="336">
        <v>0</v>
      </c>
      <c r="SP75" s="336">
        <v>108797</v>
      </c>
      <c r="SQ75" s="336">
        <v>8134140</v>
      </c>
      <c r="SR75" s="336">
        <v>2364394</v>
      </c>
      <c r="SS75" s="336">
        <v>88940</v>
      </c>
      <c r="ST75" s="336">
        <v>7245458</v>
      </c>
      <c r="SU75" s="336">
        <v>0</v>
      </c>
      <c r="SV75" s="336">
        <v>0</v>
      </c>
      <c r="SW75" s="336">
        <v>120080459</v>
      </c>
      <c r="SX75" s="336">
        <v>0</v>
      </c>
      <c r="SY75" s="336">
        <v>0</v>
      </c>
      <c r="SZ75" s="336" t="s">
        <v>1420</v>
      </c>
      <c r="TA75" s="336" t="s">
        <v>1420</v>
      </c>
      <c r="TB75" s="336" t="s">
        <v>1420</v>
      </c>
      <c r="TC75" s="336">
        <v>2088202</v>
      </c>
      <c r="TD75" s="336">
        <v>10210787</v>
      </c>
      <c r="TE75" s="336">
        <v>540792</v>
      </c>
      <c r="TF75" s="336">
        <v>0</v>
      </c>
      <c r="TG75" s="336">
        <v>3166746</v>
      </c>
      <c r="TH75" s="336">
        <v>237202</v>
      </c>
      <c r="TI75" s="336">
        <v>1289078</v>
      </c>
      <c r="TJ75" s="336">
        <v>211185</v>
      </c>
      <c r="TK75" s="336">
        <v>0</v>
      </c>
      <c r="TL75" s="336">
        <v>88940</v>
      </c>
      <c r="TM75" s="336">
        <v>1122931</v>
      </c>
      <c r="TN75" s="336">
        <v>57385</v>
      </c>
      <c r="TO75" s="336">
        <v>1522344</v>
      </c>
      <c r="TP75" s="336">
        <v>1306619</v>
      </c>
      <c r="TQ75" s="336">
        <v>0</v>
      </c>
      <c r="TR75" s="336">
        <v>0</v>
      </c>
      <c r="TS75" s="336">
        <v>0</v>
      </c>
      <c r="TT75" s="336">
        <v>0</v>
      </c>
      <c r="TU75" s="336">
        <v>0</v>
      </c>
      <c r="TV75" s="336">
        <v>0</v>
      </c>
      <c r="TW75" s="336">
        <v>0</v>
      </c>
      <c r="TX75" s="336">
        <v>2274</v>
      </c>
      <c r="TY75" s="336">
        <v>0</v>
      </c>
      <c r="TZ75" s="336">
        <v>0</v>
      </c>
      <c r="UA75" s="336">
        <v>0</v>
      </c>
      <c r="UB75" s="336">
        <v>0</v>
      </c>
      <c r="UC75" s="336">
        <v>0</v>
      </c>
      <c r="UD75" s="336">
        <v>0</v>
      </c>
      <c r="UE75" s="336">
        <v>0</v>
      </c>
      <c r="UF75" s="336">
        <v>0</v>
      </c>
      <c r="UG75" s="336">
        <v>0</v>
      </c>
      <c r="UH75" s="336">
        <v>293357640</v>
      </c>
      <c r="UI75" s="336">
        <v>167452408</v>
      </c>
      <c r="UJ75" s="336">
        <v>33160999</v>
      </c>
      <c r="UK75" s="336">
        <v>0</v>
      </c>
      <c r="UL75" s="336">
        <v>187548364</v>
      </c>
      <c r="UM75" s="336">
        <v>35778110</v>
      </c>
      <c r="UN75" s="336">
        <v>79047359</v>
      </c>
      <c r="UO75" s="336">
        <v>80369193</v>
      </c>
      <c r="UP75" s="336">
        <v>61816992</v>
      </c>
      <c r="UQ75" s="336">
        <v>150783308</v>
      </c>
      <c r="UR75"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17832932</v>
      </c>
      <c r="US75" s="338">
        <f>SUM(Input[[#This Row],[Oth Exp E&amp;G]],Input[[#This Row],[Oth Exp Desg]],Input[[#This Row],[Oth Exp Aux]],Input[[#This Row],[Oth Exp R Exp]],Input[[#This Row],[Oth Exp Loan]],Input[[#This Row],[Oth Exp Annuity]],Input[[#This Row],[Oth Exp Unexp]],Input[[#This Row],[Oth Exp R of Ind]],Input[[#This Row],[Oth Exp Inv in P]])</f>
        <v>106943949</v>
      </c>
      <c r="UT75" s="336">
        <v>102853380</v>
      </c>
      <c r="UU75" s="336">
        <v>62173937</v>
      </c>
      <c r="UV75" s="339" t="s">
        <v>1459</v>
      </c>
      <c r="UW75" s="340">
        <v>1737435296</v>
      </c>
      <c r="UX75" s="339" t="s">
        <v>1456</v>
      </c>
      <c r="UY75" s="339" t="s">
        <v>1457</v>
      </c>
      <c r="UZ75" s="340">
        <v>1737431533</v>
      </c>
      <c r="VA75" s="339" t="s">
        <v>1460</v>
      </c>
      <c r="VB75" s="341" cm="1">
        <f t="array" ref="VB75">IFERROR(_xlfn.IFS(Input[[#This Row],[Type]]="HRI",VLOOKUP(Input[[#This Row],[Institution Name]],FTSEHRI[],9,FALSE),Input[[#This Row],[Type]]="UNIV",VLOOKUP(Input[[#This Row],[Institution Name]],FTSEUNIV[],9,FALSE),OR(Input[[#This Row],[Type]]="TSTC",Input[[#This Row],[Type]]="LSC"),VLOOKUP(Input[[#This Row],[Institution Name]],FTSETSTC[],8,FALSE)),"N/A")</f>
        <v>39204.69</v>
      </c>
      <c r="VC75" s="342" t="str" cm="1">
        <f t="array" ref="VC75">IFERROR(_xlfn.IFS(Input[[#This Row],[Type]]="HRI",VLOOKUP(Input[[#This Row],[Institution Name]],FTSEHRI[],11,FALSE),Input[[#This Row],[Type]]="UNIV",VLOOKUP(Input[[#This Row],[Institution Name]],FTSEUNIV[],11,FALSE),Input[[#This Row],[Type]]="TSTC",VLOOKUP(Input[[#This Row],[Institution Name]],FTSETSTC[],10,FALSE)),"N/A")</f>
        <v>N/A</v>
      </c>
      <c r="VD75"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325916114</v>
      </c>
      <c r="VE75"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56158685</v>
      </c>
      <c r="VF75" s="338">
        <f>SUM(Input[[#This Row],[Fed G&amp;C E&amp;G]],Input[[#This Row],[Fed G&amp;C Desg]],Input[[#This Row],[Fed G&amp;C R Exp]],Input[[#This Row],[Fed G&amp;C Loan]],Input[[#This Row],[Fed G&amp;C Annuity]],Input[[#This Row],[Fed G&amp;C Unexp]],Input[[#This Row],[Fed G&amp;C R of Ind]],Input[[#This Row],[Fed G&amp;C Inv in P]])</f>
        <v>196754520</v>
      </c>
      <c r="VG75"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269140254</v>
      </c>
      <c r="VH75"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304940714</v>
      </c>
      <c r="VI75"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77143906</v>
      </c>
      <c r="VJ75" s="338">
        <f>SUM(Input[[#This Row],[Oth Inc E&amp;G]],Input[[#This Row],[Oth Exp Desg]],Input[[#This Row],[Oth Exp R Exp]],Input[[#This Row],[Oth Exp Loan]],Input[[#This Row],[Oth Exp Annuity]],Input[[#This Row],[Oth Exp Unexp]],Input[[#This Row],[Oth Exp R of Ind]],Input[[#This Row],[Oth Exp Inv in P]])</f>
        <v>104724995</v>
      </c>
      <c r="VK75" s="343">
        <f>SUM(Input[[#This Row],[Instr E&amp;G]],Input[[#This Row],[Instr Desg]],Input[[#This Row],[Instr R Exp]],Input[[#This Row],[Instr Loan]],Input[[#This Row],[Instr Annuity]],Input[[#This Row],[Instr Unexp]],Input[[#This Row],[Instr R of Ind]],Input[[#This Row],[Instr Inv in P]])</f>
        <v>293357640</v>
      </c>
      <c r="VL75" s="343">
        <f>SUM(Input[[#This Row],[Res E&amp;G]],Input[[#This Row],[Res Desg]],Input[[#This Row],[Res R Exp]],Input[[#This Row],[Res Loan]],Input[[#This Row],[Res Annuity]],Input[[#This Row],[Res Unexp]],Input[[#This Row],[Res R of Ind]],Input[[#This Row],[Res Inv in P]])</f>
        <v>167452408</v>
      </c>
      <c r="VM75" s="343">
        <f>SUM(Input[[#This Row],[Acad Sup E&amp;G]],Input[[#This Row],[Acad Sup Desg]],Input[[#This Row],[Acad Sup R Exp]],Input[[#This Row],[Acad Sup Loan]],Input[[#This Row],[Acad Sup Annuity]],Input[[#This Row],[Acad Sup Unexp]],Input[[#This Row],[Acad Sup R of Ind]],Input[[#This Row],[Acad Sup Inv in P]])</f>
        <v>187548364</v>
      </c>
      <c r="VN75" s="343">
        <f>SUM(Input[[#This Row],[Stu Svc E&amp;G]],Input[[#This Row],[Stu Svc Desg]],Input[[#This Row],[Stu Svc R Exp]],Input[[#This Row],[Stu Svc Loan]],Input[[#This Row],[Stu Svc Annuity]],Input[[#This Row],[Stu Svc Unexp]],Input[[#This Row],[Stu Svc R of Ind]],Input[[#This Row],[Stu Svc Inv in P]])</f>
        <v>35778110</v>
      </c>
      <c r="VO75" s="343">
        <f>SUM(Input[[#This Row],[Inst. Spt E&amp;G]],Input[[#This Row],[Inst. Spt Desg]],Input[[#This Row],[Inst. Spt R Exp]],Input[[#This Row],[Inst. Spt Loan]],Input[[#This Row],[Inst. Spt Annuity]],Input[[#This Row],[Inst. Spt Unexp]],Input[[#This Row],[Inst. Spt R of Ind]],Input[[#This Row],[Inst. Spt Inv in P]])</f>
        <v>79047359</v>
      </c>
      <c r="VP75" s="343">
        <f>SUM(Input[[#This Row],[M&amp;O Plnt E&amp;G]],Input[[#This Row],[M&amp;O Plnt Desg]],Input[[#This Row],[M&amp;O Plnt R Exp]],Input[[#This Row],[M&amp;O Plnt Loan]],Input[[#This Row],[M&amp;O Plnt Annuity]],Input[[#This Row],[M&amp;O Plnt Unexp]],Input[[#This Row],[M&amp;O Plnt R of Ind]],Input[[#This Row],[M&amp;O Plnt Inv in P]])</f>
        <v>80369193</v>
      </c>
      <c r="VQ75" s="343">
        <f>SUM(Input[[#This Row],[Schl &amp; Fell E&amp;G]],Input[[#This Row],[Schl &amp; Fell Desg]],Input[[#This Row],[Schl &amp; Fell R Exp]],Input[[#This Row],[Schl &amp; Fell Loan]],Input[[#This Row],[Schl &amp; Fell Annuity]],Input[[#This Row],[Schl &amp; Fell Unexp]],Input[[#This Row],[Schl &amp; Fell R of Ind]],Input[[#This Row],[Schl &amp; Fell Inv in P]])</f>
        <v>61816992</v>
      </c>
      <c r="VR75" s="343">
        <f>SUM(Input[[#This Row],[Cap Out fund E&amp;G]],Input[[#This Row],[Cap Out fund Desg]],Input[[#This Row],[Cap Out fund R Exp]],Input[[#This Row],[Cap Out fund Loan]],Input[[#This Row],[Cap Out fund Annuity]],Input[[#This Row],[Cap Out fund Unexp]],Input[[#This Row],[Cap Out fund R of Ind]],Input[[#This Row],[Cap Out fund Inv in P]])</f>
        <v>17743992</v>
      </c>
      <c r="VS75" s="343">
        <f>SUM(Input[[#This Row],[Oth Exp E&amp;G]],Input[[#This Row],[Oth Exp Desg]],Input[[#This Row],[Oth Exp R Exp]],Input[[#This Row],[Oth Exp Loan]],Input[[#This Row],[Oth Exp Annuity]],Input[[#This Row],[Oth Exp Unexp]],Input[[#This Row],[Oth Exp R of Ind]],Input[[#This Row],[Oth Exp Inv in P]],Input[[#This Row],[Oth Exp Inv in P]])</f>
        <v>105184494</v>
      </c>
    </row>
    <row r="76" spans="1:591" s="344" customFormat="1" ht="27" customHeight="1" x14ac:dyDescent="0.55000000000000004">
      <c r="A76" s="339" t="s">
        <v>181</v>
      </c>
      <c r="B76" s="350" t="s">
        <v>1826</v>
      </c>
      <c r="C76" s="350" t="s">
        <v>746</v>
      </c>
      <c r="D76" s="334">
        <v>230</v>
      </c>
      <c r="E76" s="334" t="s">
        <v>1622</v>
      </c>
      <c r="F76" s="335">
        <v>3652</v>
      </c>
      <c r="G76" s="336">
        <v>301230035</v>
      </c>
      <c r="H76" s="336">
        <v>0</v>
      </c>
      <c r="I76" s="336">
        <v>0</v>
      </c>
      <c r="J76" s="336">
        <v>0</v>
      </c>
      <c r="K76" s="336">
        <v>0</v>
      </c>
      <c r="L76" s="336">
        <v>0</v>
      </c>
      <c r="M76" s="336">
        <v>0</v>
      </c>
      <c r="N76" s="336">
        <v>0</v>
      </c>
      <c r="O76" s="336">
        <v>0</v>
      </c>
      <c r="P76" s="336">
        <v>44816</v>
      </c>
      <c r="Q76" s="336">
        <v>0</v>
      </c>
      <c r="R76" s="336">
        <v>0</v>
      </c>
      <c r="S76" s="336">
        <v>44919302</v>
      </c>
      <c r="T76" s="336">
        <v>0</v>
      </c>
      <c r="U76" s="336">
        <v>0</v>
      </c>
      <c r="V76" s="336">
        <v>0</v>
      </c>
      <c r="W76" s="336">
        <v>0</v>
      </c>
      <c r="X76" s="336">
        <v>0</v>
      </c>
      <c r="Y76" s="336">
        <v>56158685</v>
      </c>
      <c r="Z76" s="336">
        <v>0</v>
      </c>
      <c r="AA76" s="336">
        <v>0</v>
      </c>
      <c r="AB76" s="336">
        <v>0</v>
      </c>
      <c r="AC76" s="336">
        <v>0</v>
      </c>
      <c r="AD76" s="336">
        <v>0</v>
      </c>
      <c r="AE76" s="336">
        <v>0</v>
      </c>
      <c r="AF76" s="336">
        <v>0</v>
      </c>
      <c r="AG76" s="336">
        <v>0</v>
      </c>
      <c r="AH76" s="336">
        <v>0</v>
      </c>
      <c r="AI76" s="336">
        <v>0</v>
      </c>
      <c r="AJ76" s="336">
        <v>0</v>
      </c>
      <c r="AK76" s="336">
        <v>0</v>
      </c>
      <c r="AL76" s="336">
        <v>0</v>
      </c>
      <c r="AM76" s="336">
        <v>0</v>
      </c>
      <c r="AN76" s="336">
        <v>0</v>
      </c>
      <c r="AO76" s="336">
        <v>0</v>
      </c>
      <c r="AP76" s="336">
        <v>0</v>
      </c>
      <c r="AQ76" s="336">
        <v>-28185751</v>
      </c>
      <c r="AR76" s="336">
        <v>-6805098</v>
      </c>
      <c r="AS76" s="336">
        <v>0</v>
      </c>
      <c r="AT76" s="336">
        <v>0</v>
      </c>
      <c r="AU76" s="336">
        <v>0</v>
      </c>
      <c r="AV76" s="336">
        <v>0</v>
      </c>
      <c r="AW76" s="336">
        <v>0</v>
      </c>
      <c r="AX76" s="336">
        <v>0</v>
      </c>
      <c r="AY76" s="336">
        <v>0</v>
      </c>
      <c r="AZ76" s="336">
        <v>0</v>
      </c>
      <c r="BA76" s="336">
        <v>0</v>
      </c>
      <c r="BB76" s="336">
        <v>0</v>
      </c>
      <c r="BC76" s="336">
        <v>0</v>
      </c>
      <c r="BD76" s="336">
        <v>0</v>
      </c>
      <c r="BE76" s="336">
        <v>0</v>
      </c>
      <c r="BF76" s="336">
        <v>0</v>
      </c>
      <c r="BG76" s="336">
        <v>0</v>
      </c>
      <c r="BH76" s="336">
        <v>0</v>
      </c>
      <c r="BI76" s="336">
        <v>0</v>
      </c>
      <c r="BJ76" s="336">
        <v>0</v>
      </c>
      <c r="BK76" s="336">
        <v>0</v>
      </c>
      <c r="BL76" s="336">
        <v>0</v>
      </c>
      <c r="BM76" s="336">
        <v>0</v>
      </c>
      <c r="BN76" s="336">
        <v>0</v>
      </c>
      <c r="BO76" s="336">
        <v>0</v>
      </c>
      <c r="BP76" s="336">
        <v>0</v>
      </c>
      <c r="BQ76" s="336">
        <v>0</v>
      </c>
      <c r="BR76" s="336">
        <v>0</v>
      </c>
      <c r="BS76" s="336">
        <v>0</v>
      </c>
      <c r="BT76" s="336">
        <v>0</v>
      </c>
      <c r="BU76" s="336">
        <v>0</v>
      </c>
      <c r="BV76" s="336">
        <v>0</v>
      </c>
      <c r="BW76" s="336">
        <v>0</v>
      </c>
      <c r="BX76" s="336">
        <v>0</v>
      </c>
      <c r="BY76" s="336">
        <v>0</v>
      </c>
      <c r="BZ76" s="336">
        <v>0</v>
      </c>
      <c r="CA76" s="336">
        <v>93415599</v>
      </c>
      <c r="CB76" s="336">
        <v>340244927</v>
      </c>
      <c r="CC76" s="336">
        <v>0</v>
      </c>
      <c r="CD76" s="336">
        <v>0</v>
      </c>
      <c r="CE76" s="336">
        <v>0</v>
      </c>
      <c r="CF76" s="336">
        <v>0</v>
      </c>
      <c r="CG76" s="336">
        <v>0</v>
      </c>
      <c r="CH76" s="336">
        <v>0</v>
      </c>
      <c r="CI76" s="336">
        <v>0</v>
      </c>
      <c r="CJ76" s="336">
        <v>0</v>
      </c>
      <c r="CK76" s="336">
        <v>0</v>
      </c>
      <c r="CL76" s="336">
        <v>0</v>
      </c>
      <c r="CM76" s="336">
        <v>0</v>
      </c>
      <c r="CN76" s="336">
        <v>0</v>
      </c>
      <c r="CO76" s="336">
        <v>0</v>
      </c>
      <c r="CP76" s="336">
        <v>0</v>
      </c>
      <c r="CQ76" s="336">
        <v>0</v>
      </c>
      <c r="CR76" s="336">
        <v>0</v>
      </c>
      <c r="CS76" s="336">
        <v>0</v>
      </c>
      <c r="CT76" s="336">
        <v>0</v>
      </c>
      <c r="CU76" s="336">
        <v>0</v>
      </c>
      <c r="CV76" s="336">
        <v>0</v>
      </c>
      <c r="CW76" s="336">
        <v>0</v>
      </c>
      <c r="CX76" s="336">
        <v>0</v>
      </c>
      <c r="CY76" s="336">
        <v>0</v>
      </c>
      <c r="CZ76" s="336">
        <v>0</v>
      </c>
      <c r="DA76" s="336">
        <v>0</v>
      </c>
      <c r="DB76" s="336">
        <v>-2158079</v>
      </c>
      <c r="DC76" s="336">
        <v>-8597352</v>
      </c>
      <c r="DD76" s="336">
        <v>0</v>
      </c>
      <c r="DE76" s="336">
        <v>0</v>
      </c>
      <c r="DF76" s="336">
        <v>0</v>
      </c>
      <c r="DG76" s="336">
        <v>0</v>
      </c>
      <c r="DH76" s="336">
        <v>0</v>
      </c>
      <c r="DI76" s="336">
        <v>0</v>
      </c>
      <c r="DJ76" s="336">
        <v>0</v>
      </c>
      <c r="DK76" s="336">
        <v>0</v>
      </c>
      <c r="DL76" s="336">
        <v>0</v>
      </c>
      <c r="DM76" s="336">
        <v>0</v>
      </c>
      <c r="DN76" s="336">
        <v>0</v>
      </c>
      <c r="DO76" s="336">
        <v>0</v>
      </c>
      <c r="DP76" s="336">
        <v>0</v>
      </c>
      <c r="DQ76" s="336">
        <v>0</v>
      </c>
      <c r="DR76" s="336">
        <v>0</v>
      </c>
      <c r="DS76" s="336">
        <v>0</v>
      </c>
      <c r="DT76" s="336">
        <v>-24331290</v>
      </c>
      <c r="DU76" s="336">
        <v>-90219637</v>
      </c>
      <c r="DV76" s="336">
        <v>0</v>
      </c>
      <c r="DW76" s="336">
        <v>0</v>
      </c>
      <c r="DX76" s="336">
        <v>0</v>
      </c>
      <c r="DY76" s="336">
        <v>0</v>
      </c>
      <c r="DZ76" s="336">
        <v>0</v>
      </c>
      <c r="EA76" s="336">
        <v>0</v>
      </c>
      <c r="EB76" s="336">
        <v>0</v>
      </c>
      <c r="EC76" s="336">
        <v>-18</v>
      </c>
      <c r="ED76" s="336">
        <v>-39085</v>
      </c>
      <c r="EE76" s="336">
        <v>-16057</v>
      </c>
      <c r="EF76" s="336">
        <v>0</v>
      </c>
      <c r="EG76" s="336">
        <v>0</v>
      </c>
      <c r="EH76" s="336">
        <v>0</v>
      </c>
      <c r="EI76" s="336">
        <v>0</v>
      </c>
      <c r="EJ76" s="336">
        <v>0</v>
      </c>
      <c r="EK76" s="336">
        <v>0</v>
      </c>
      <c r="EL76" s="336">
        <v>0</v>
      </c>
      <c r="EM76" s="336">
        <v>0</v>
      </c>
      <c r="EN76" s="336">
        <v>0</v>
      </c>
      <c r="EO76" s="336">
        <v>0</v>
      </c>
      <c r="EP76" s="336">
        <v>0</v>
      </c>
      <c r="EQ76" s="336">
        <v>0</v>
      </c>
      <c r="ER76" s="336">
        <v>0</v>
      </c>
      <c r="ES76" s="336">
        <v>0</v>
      </c>
      <c r="ET76" s="336">
        <v>0</v>
      </c>
      <c r="EU76" s="336">
        <v>0</v>
      </c>
      <c r="EV76" s="336">
        <v>0</v>
      </c>
      <c r="EW76" s="336">
        <v>0</v>
      </c>
      <c r="EX76" s="336">
        <v>0</v>
      </c>
      <c r="EY76" s="336">
        <v>0</v>
      </c>
      <c r="EZ76" s="336">
        <v>0</v>
      </c>
      <c r="FA76" s="336">
        <v>0</v>
      </c>
      <c r="FB76" s="336">
        <v>0</v>
      </c>
      <c r="FC76" s="336">
        <v>0</v>
      </c>
      <c r="FD76" s="336">
        <v>0</v>
      </c>
      <c r="FE76" s="336">
        <v>0</v>
      </c>
      <c r="FF76" s="336">
        <v>0</v>
      </c>
      <c r="FG76" s="336">
        <v>0</v>
      </c>
      <c r="FH76" s="336">
        <v>0</v>
      </c>
      <c r="FI76" s="336">
        <v>0</v>
      </c>
      <c r="FJ76" s="336">
        <v>0</v>
      </c>
      <c r="FK76" s="336">
        <v>0</v>
      </c>
      <c r="FL76" s="336">
        <v>0</v>
      </c>
      <c r="FM76" s="336">
        <v>459452</v>
      </c>
      <c r="FN76" s="336">
        <v>108784587</v>
      </c>
      <c r="FO76" s="336">
        <v>47075641</v>
      </c>
      <c r="FP76" s="336">
        <v>0</v>
      </c>
      <c r="FQ76" s="336">
        <v>0</v>
      </c>
      <c r="FR76" s="336">
        <v>0</v>
      </c>
      <c r="FS76" s="336">
        <v>0</v>
      </c>
      <c r="FT76" s="336">
        <v>0</v>
      </c>
      <c r="FU76" s="336">
        <v>0</v>
      </c>
      <c r="FV76" s="336">
        <v>0</v>
      </c>
      <c r="FW76" s="336">
        <v>0</v>
      </c>
      <c r="FX76" s="336">
        <v>0</v>
      </c>
      <c r="FY76" s="336">
        <v>0</v>
      </c>
      <c r="FZ76" s="336">
        <v>0</v>
      </c>
      <c r="GA76" s="336">
        <v>0</v>
      </c>
      <c r="GB76" s="336">
        <v>0</v>
      </c>
      <c r="GC76" s="336">
        <v>0</v>
      </c>
      <c r="GD76" s="336">
        <v>0</v>
      </c>
      <c r="GE76" s="336">
        <v>0</v>
      </c>
      <c r="GF76" s="336">
        <v>0</v>
      </c>
      <c r="GG76" s="336">
        <v>0</v>
      </c>
      <c r="GH76" s="336">
        <v>0</v>
      </c>
      <c r="GI76" s="336">
        <v>0</v>
      </c>
      <c r="GJ76" s="336">
        <v>0</v>
      </c>
      <c r="GK76" s="336">
        <v>0</v>
      </c>
      <c r="GL76" s="336">
        <v>0</v>
      </c>
      <c r="GM76" s="336">
        <v>0</v>
      </c>
      <c r="GN76" s="336">
        <v>-2224</v>
      </c>
      <c r="GO76" s="336">
        <v>-2454403</v>
      </c>
      <c r="GP76" s="336">
        <v>-619837</v>
      </c>
      <c r="GQ76" s="336">
        <v>0</v>
      </c>
      <c r="GR76" s="336">
        <v>0</v>
      </c>
      <c r="GS76" s="336">
        <v>0</v>
      </c>
      <c r="GT76" s="336">
        <v>0</v>
      </c>
      <c r="GU76" s="336">
        <v>0</v>
      </c>
      <c r="GV76" s="336">
        <v>0</v>
      </c>
      <c r="GW76" s="336">
        <v>0</v>
      </c>
      <c r="GX76" s="336">
        <v>0</v>
      </c>
      <c r="GY76" s="336">
        <v>0</v>
      </c>
      <c r="GZ76" s="336">
        <v>0</v>
      </c>
      <c r="HA76" s="336">
        <v>0</v>
      </c>
      <c r="HB76" s="336">
        <v>0</v>
      </c>
      <c r="HC76" s="336">
        <v>0</v>
      </c>
      <c r="HD76" s="336">
        <v>0</v>
      </c>
      <c r="HE76" s="336">
        <v>0</v>
      </c>
      <c r="HF76" s="336">
        <v>-119565</v>
      </c>
      <c r="HG76" s="336">
        <v>-28846042</v>
      </c>
      <c r="HH76" s="336">
        <v>-13056117</v>
      </c>
      <c r="HI76" s="336">
        <v>0</v>
      </c>
      <c r="HJ76" s="336">
        <v>0</v>
      </c>
      <c r="HK76" s="336">
        <v>0</v>
      </c>
      <c r="HL76" s="336">
        <v>0</v>
      </c>
      <c r="HM76" s="336">
        <v>0</v>
      </c>
      <c r="HN76" s="336">
        <v>0</v>
      </c>
      <c r="HO76" s="336">
        <v>49688097</v>
      </c>
      <c r="HP76" s="336">
        <v>24416</v>
      </c>
      <c r="HQ76" s="336">
        <v>0</v>
      </c>
      <c r="HR76" s="336">
        <v>147439551</v>
      </c>
      <c r="HS76" s="336">
        <v>0</v>
      </c>
      <c r="HT76" s="336">
        <v>0</v>
      </c>
      <c r="HU76" s="336">
        <v>0</v>
      </c>
      <c r="HV76" s="336">
        <v>0</v>
      </c>
      <c r="HW76" s="336">
        <v>0</v>
      </c>
      <c r="HX76" s="336">
        <v>0</v>
      </c>
      <c r="HY76" s="336">
        <v>0</v>
      </c>
      <c r="HZ76" s="336">
        <v>0</v>
      </c>
      <c r="IA76" s="336">
        <v>0</v>
      </c>
      <c r="IB76" s="336">
        <v>0</v>
      </c>
      <c r="IC76" s="336">
        <v>0</v>
      </c>
      <c r="ID76" s="336">
        <v>0</v>
      </c>
      <c r="IE76" s="336">
        <v>0</v>
      </c>
      <c r="IF76" s="336">
        <v>0</v>
      </c>
      <c r="IG76" s="336">
        <v>0</v>
      </c>
      <c r="IH76" s="336">
        <v>0</v>
      </c>
      <c r="II76" s="336">
        <v>0</v>
      </c>
      <c r="IJ76" s="336">
        <v>0</v>
      </c>
      <c r="IK76" s="336">
        <v>0</v>
      </c>
      <c r="IL76" s="336">
        <v>0</v>
      </c>
      <c r="IM76" s="336">
        <v>0</v>
      </c>
      <c r="IN76" s="336">
        <v>0</v>
      </c>
      <c r="IO76" s="336">
        <v>0</v>
      </c>
      <c r="IP76" s="336">
        <v>10761364</v>
      </c>
      <c r="IQ76" s="336">
        <v>40467804</v>
      </c>
      <c r="IR76" s="336">
        <v>1267945</v>
      </c>
      <c r="IS76" s="336">
        <v>9141</v>
      </c>
      <c r="IT76" s="336">
        <v>14436</v>
      </c>
      <c r="IU76" s="336">
        <v>42534580</v>
      </c>
      <c r="IV76" s="336">
        <v>1182396</v>
      </c>
      <c r="IW76" s="336">
        <v>22823</v>
      </c>
      <c r="IX76" s="336">
        <v>0</v>
      </c>
      <c r="IY76" s="336">
        <v>0</v>
      </c>
      <c r="IZ76" s="336">
        <v>18515414</v>
      </c>
      <c r="JA76" s="336">
        <v>0</v>
      </c>
      <c r="JB76" s="336">
        <v>1895278</v>
      </c>
      <c r="JC76" s="336">
        <v>0</v>
      </c>
      <c r="JD76" s="336">
        <v>0</v>
      </c>
      <c r="JE76" s="336">
        <v>0</v>
      </c>
      <c r="JF76" s="336">
        <v>0</v>
      </c>
      <c r="JG76" s="336">
        <v>0</v>
      </c>
      <c r="JH76" s="336">
        <v>0</v>
      </c>
      <c r="JI76" s="336">
        <v>1224767</v>
      </c>
      <c r="JJ76" s="336">
        <v>125</v>
      </c>
      <c r="JK76" s="336">
        <v>81112931</v>
      </c>
      <c r="JL76" s="336">
        <v>0</v>
      </c>
      <c r="JM76" s="336">
        <v>89238</v>
      </c>
      <c r="JN76" s="336">
        <v>0</v>
      </c>
      <c r="JO76" s="336">
        <v>0</v>
      </c>
      <c r="JP76" s="336">
        <v>0</v>
      </c>
      <c r="JQ76" s="336">
        <v>1980</v>
      </c>
      <c r="JR76" s="336">
        <v>38348733</v>
      </c>
      <c r="JS76" s="336">
        <v>0</v>
      </c>
      <c r="JT76" s="336">
        <v>6777</v>
      </c>
      <c r="JU76" s="336">
        <v>0</v>
      </c>
      <c r="JV76" s="336">
        <v>0</v>
      </c>
      <c r="JW76" s="336">
        <v>0</v>
      </c>
      <c r="JX76" s="336">
        <v>0</v>
      </c>
      <c r="JY76" s="336">
        <v>0</v>
      </c>
      <c r="JZ76" s="336">
        <v>0</v>
      </c>
      <c r="KA76" s="336">
        <v>0</v>
      </c>
      <c r="KB76" s="336">
        <v>119951453</v>
      </c>
      <c r="KC76" s="336">
        <v>0</v>
      </c>
      <c r="KD76" s="336">
        <v>0</v>
      </c>
      <c r="KE76" s="336">
        <v>0</v>
      </c>
      <c r="KF76" s="336">
        <v>0</v>
      </c>
      <c r="KG76" s="336">
        <v>0</v>
      </c>
      <c r="KH76" s="336">
        <v>0</v>
      </c>
      <c r="KI76" s="336">
        <v>0</v>
      </c>
      <c r="KJ76" s="336">
        <v>24559166</v>
      </c>
      <c r="KK76" s="336">
        <v>0</v>
      </c>
      <c r="KL76" s="336">
        <v>24771059</v>
      </c>
      <c r="KM76" s="336">
        <v>0</v>
      </c>
      <c r="KN76" s="336">
        <v>0</v>
      </c>
      <c r="KO76" s="336">
        <v>0</v>
      </c>
      <c r="KP76" s="336">
        <v>0</v>
      </c>
      <c r="KQ76" s="336">
        <v>0</v>
      </c>
      <c r="KR76" s="336">
        <v>177439731</v>
      </c>
      <c r="KS76" s="336">
        <v>119057090</v>
      </c>
      <c r="KT76" s="336">
        <v>0</v>
      </c>
      <c r="KU76" s="336">
        <v>7459679</v>
      </c>
      <c r="KV76" s="336">
        <v>0</v>
      </c>
      <c r="KW76" s="336">
        <v>0</v>
      </c>
      <c r="KX76" s="336">
        <v>0</v>
      </c>
      <c r="KY76" s="336">
        <v>0</v>
      </c>
      <c r="KZ76" s="336">
        <v>0</v>
      </c>
      <c r="LA76" s="336">
        <v>17239063</v>
      </c>
      <c r="LB76" s="336">
        <v>25092355</v>
      </c>
      <c r="LC76" s="336">
        <v>0</v>
      </c>
      <c r="LD76" s="336">
        <v>127259395</v>
      </c>
      <c r="LE76" s="336">
        <v>0</v>
      </c>
      <c r="LF76" s="336">
        <v>0</v>
      </c>
      <c r="LG76" s="336">
        <v>0</v>
      </c>
      <c r="LH76" s="336">
        <v>0</v>
      </c>
      <c r="LI76" s="336">
        <v>0</v>
      </c>
      <c r="LJ76" s="336">
        <v>3555673</v>
      </c>
      <c r="LK76" s="336">
        <v>13278576</v>
      </c>
      <c r="LL76" s="336">
        <v>0</v>
      </c>
      <c r="LM76" s="336">
        <v>26684243</v>
      </c>
      <c r="LN76" s="336">
        <v>0</v>
      </c>
      <c r="LO76" s="336">
        <v>0</v>
      </c>
      <c r="LP76" s="336">
        <v>0</v>
      </c>
      <c r="LQ76" s="336">
        <v>0</v>
      </c>
      <c r="LR76" s="336">
        <v>0</v>
      </c>
      <c r="LS76" s="336">
        <v>0</v>
      </c>
      <c r="LT76" s="336">
        <v>0</v>
      </c>
      <c r="LU76" s="336">
        <v>0</v>
      </c>
      <c r="LV76" s="336">
        <v>0</v>
      </c>
      <c r="LW76" s="336">
        <v>0</v>
      </c>
      <c r="LX76" s="336">
        <v>0</v>
      </c>
      <c r="LY76" s="336">
        <v>0</v>
      </c>
      <c r="LZ76" s="336">
        <v>0</v>
      </c>
      <c r="MA76" s="336">
        <v>0</v>
      </c>
      <c r="MB76" s="336">
        <v>88745659</v>
      </c>
      <c r="MC76" s="336">
        <v>111623071</v>
      </c>
      <c r="MD76" s="336">
        <v>0</v>
      </c>
      <c r="ME76" s="336">
        <v>3511979</v>
      </c>
      <c r="MF76" s="336">
        <v>0</v>
      </c>
      <c r="MG76" s="336">
        <v>0</v>
      </c>
      <c r="MH76" s="336">
        <v>0</v>
      </c>
      <c r="MI76" s="336">
        <v>0</v>
      </c>
      <c r="MJ76" s="336">
        <v>0</v>
      </c>
      <c r="MK76" s="336">
        <v>9595977</v>
      </c>
      <c r="ML76" s="336">
        <v>23608786</v>
      </c>
      <c r="MM76" s="336">
        <v>0</v>
      </c>
      <c r="MN76" s="336">
        <v>2573347</v>
      </c>
      <c r="MO76" s="336">
        <v>0</v>
      </c>
      <c r="MP76" s="336">
        <v>0</v>
      </c>
      <c r="MQ76" s="336">
        <v>0</v>
      </c>
      <c r="MR76" s="336">
        <v>0</v>
      </c>
      <c r="MS76" s="336">
        <v>0</v>
      </c>
      <c r="MT76" s="336">
        <v>44443352</v>
      </c>
      <c r="MU76" s="336">
        <v>39007921</v>
      </c>
      <c r="MV76" s="336">
        <v>0</v>
      </c>
      <c r="MW76" s="336">
        <v>-4420341</v>
      </c>
      <c r="MX76" s="336">
        <v>0</v>
      </c>
      <c r="MY76" s="336">
        <v>0</v>
      </c>
      <c r="MZ76" s="336">
        <v>0</v>
      </c>
      <c r="NA76" s="336">
        <v>0</v>
      </c>
      <c r="NB76" s="336">
        <v>0</v>
      </c>
      <c r="NC76" s="336">
        <v>69428533</v>
      </c>
      <c r="ND76" s="336">
        <v>38320219</v>
      </c>
      <c r="NE76" s="336">
        <v>0</v>
      </c>
      <c r="NF76" s="336">
        <v>-26191149</v>
      </c>
      <c r="NG76" s="336">
        <v>0</v>
      </c>
      <c r="NH76" s="336">
        <v>0</v>
      </c>
      <c r="NI76" s="336">
        <v>0</v>
      </c>
      <c r="NJ76" s="336">
        <v>0</v>
      </c>
      <c r="NK76" s="336">
        <v>0</v>
      </c>
      <c r="NL76" s="336">
        <v>840416</v>
      </c>
      <c r="NM76" s="336">
        <v>22665456</v>
      </c>
      <c r="NN76" s="336">
        <v>0</v>
      </c>
      <c r="NO76" s="336">
        <v>39397800</v>
      </c>
      <c r="NP76" s="336">
        <v>0</v>
      </c>
      <c r="NQ76" s="336">
        <v>0</v>
      </c>
      <c r="NR76" s="336">
        <v>0</v>
      </c>
      <c r="NS76" s="336">
        <v>0</v>
      </c>
      <c r="NT76" s="336">
        <v>0</v>
      </c>
      <c r="NU76" s="336">
        <v>0</v>
      </c>
      <c r="NV76" s="336">
        <v>0</v>
      </c>
      <c r="NW76" s="336">
        <v>150594078</v>
      </c>
      <c r="NX76" s="336">
        <v>189230</v>
      </c>
      <c r="NY76" s="336">
        <v>0</v>
      </c>
      <c r="NZ76" s="336">
        <v>0</v>
      </c>
      <c r="OA76" s="336">
        <v>0</v>
      </c>
      <c r="OB76" s="336">
        <v>0</v>
      </c>
      <c r="OC76" s="336">
        <v>0</v>
      </c>
      <c r="OD76" s="336">
        <v>8134140</v>
      </c>
      <c r="OE76" s="336">
        <v>2364394</v>
      </c>
      <c r="OF76" s="336">
        <v>88940</v>
      </c>
      <c r="OG76" s="336">
        <v>7245458</v>
      </c>
      <c r="OH76" s="336">
        <v>0</v>
      </c>
      <c r="OI76" s="336">
        <v>0</v>
      </c>
      <c r="OJ76" s="336">
        <v>0</v>
      </c>
      <c r="OK76" s="336">
        <v>0</v>
      </c>
      <c r="OL76" s="336">
        <v>0</v>
      </c>
      <c r="OM76" s="336">
        <v>459499</v>
      </c>
      <c r="ON76" s="336">
        <v>0</v>
      </c>
      <c r="OO76" s="336">
        <v>1759455</v>
      </c>
      <c r="OP76" s="336">
        <v>0</v>
      </c>
      <c r="OQ76" s="336">
        <v>214607</v>
      </c>
      <c r="OR76" s="336">
        <v>30559353</v>
      </c>
      <c r="OS76" s="336">
        <v>73951035</v>
      </c>
      <c r="OT76" s="336">
        <v>0</v>
      </c>
      <c r="OU76" s="336">
        <v>0</v>
      </c>
      <c r="OV76" s="336">
        <v>0</v>
      </c>
      <c r="OW76" s="336">
        <v>0</v>
      </c>
      <c r="OX76" s="336">
        <v>0</v>
      </c>
      <c r="OY76" s="336">
        <v>0</v>
      </c>
      <c r="OZ76" s="336">
        <v>0</v>
      </c>
      <c r="PA76" s="336">
        <v>0</v>
      </c>
      <c r="PB76" s="336">
        <v>-120080459</v>
      </c>
      <c r="PC76" s="336">
        <v>0</v>
      </c>
      <c r="PD76" s="336">
        <v>0</v>
      </c>
      <c r="PE76" s="336">
        <v>-29102294</v>
      </c>
      <c r="PF76" s="336">
        <v>15117858</v>
      </c>
      <c r="PG76" s="336">
        <v>-2032388</v>
      </c>
      <c r="PH76" s="336">
        <v>-128503485</v>
      </c>
      <c r="PI76" s="336">
        <v>0</v>
      </c>
      <c r="PJ76" s="336">
        <v>-16079254</v>
      </c>
      <c r="PK76" s="336">
        <v>78418061</v>
      </c>
      <c r="PL76" s="336">
        <v>99664440</v>
      </c>
      <c r="PM76" s="336">
        <v>136229689</v>
      </c>
      <c r="PN76" s="336">
        <v>0</v>
      </c>
      <c r="PO76" s="336">
        <v>0</v>
      </c>
      <c r="PP76" s="336">
        <v>0</v>
      </c>
      <c r="PQ76" s="336">
        <v>0</v>
      </c>
      <c r="PR76" s="336">
        <v>0</v>
      </c>
      <c r="PS76" s="336">
        <v>0</v>
      </c>
      <c r="PT76" s="336">
        <v>0</v>
      </c>
      <c r="PU76" s="336">
        <v>0</v>
      </c>
      <c r="PV76" s="336">
        <v>0</v>
      </c>
      <c r="PW76" s="336">
        <v>0</v>
      </c>
      <c r="PX76" s="336">
        <v>0</v>
      </c>
      <c r="PY76" s="336">
        <v>0</v>
      </c>
      <c r="PZ76" s="336">
        <v>0</v>
      </c>
      <c r="QA76" s="336">
        <v>0</v>
      </c>
      <c r="QB76" s="336">
        <v>0</v>
      </c>
      <c r="QC76" s="336">
        <v>0</v>
      </c>
      <c r="QD76" s="336">
        <v>-101515512</v>
      </c>
      <c r="QE76" s="336">
        <v>0</v>
      </c>
      <c r="QF76" s="336">
        <v>0</v>
      </c>
      <c r="QG76" s="336">
        <v>12274916</v>
      </c>
      <c r="QH76" s="336">
        <v>0</v>
      </c>
      <c r="QI76" s="336">
        <v>0</v>
      </c>
      <c r="QJ76" s="336">
        <v>0</v>
      </c>
      <c r="QK76" s="336">
        <v>49350770</v>
      </c>
      <c r="QL76" s="336">
        <v>548251</v>
      </c>
      <c r="QM76" s="336">
        <v>0</v>
      </c>
      <c r="QN76" s="336">
        <v>0</v>
      </c>
      <c r="QO76" s="336">
        <v>0</v>
      </c>
      <c r="QP76" s="336">
        <v>0</v>
      </c>
      <c r="QQ76" s="336">
        <v>0</v>
      </c>
      <c r="QR76" s="336">
        <v>0</v>
      </c>
      <c r="QS76" s="336">
        <v>0</v>
      </c>
      <c r="QT76" s="336">
        <v>19623776</v>
      </c>
      <c r="QU76" s="336">
        <v>0</v>
      </c>
      <c r="QV76" s="336">
        <v>0</v>
      </c>
      <c r="QW76" s="336">
        <v>0</v>
      </c>
      <c r="QX76" s="336">
        <v>0</v>
      </c>
      <c r="QY76" s="336">
        <v>0</v>
      </c>
      <c r="QZ76" s="336">
        <v>0</v>
      </c>
      <c r="RA76" s="336">
        <v>0</v>
      </c>
      <c r="RB76" s="336">
        <v>0</v>
      </c>
      <c r="RC76" s="336">
        <v>0</v>
      </c>
      <c r="RD76" s="336">
        <v>0</v>
      </c>
      <c r="RE76" s="336">
        <v>0</v>
      </c>
      <c r="RF76" s="336">
        <v>0</v>
      </c>
      <c r="RG76" s="336">
        <v>0</v>
      </c>
      <c r="RH76" s="336">
        <v>0</v>
      </c>
      <c r="RI76" s="336">
        <v>0</v>
      </c>
      <c r="RJ76" s="336">
        <v>0</v>
      </c>
      <c r="RK76" s="336">
        <v>0</v>
      </c>
      <c r="RL76" s="336">
        <v>0</v>
      </c>
      <c r="RM76" s="336">
        <v>0</v>
      </c>
      <c r="RN76" s="336">
        <v>0</v>
      </c>
      <c r="RO76" s="336">
        <v>-115852392</v>
      </c>
      <c r="RP76" s="336">
        <v>0</v>
      </c>
      <c r="RQ76" s="336">
        <v>0</v>
      </c>
      <c r="RR76" s="336">
        <v>0</v>
      </c>
      <c r="RS76" s="336">
        <v>0</v>
      </c>
      <c r="RT76" s="336">
        <v>0</v>
      </c>
      <c r="RU76" s="336">
        <v>0</v>
      </c>
      <c r="RV76" s="336">
        <v>0</v>
      </c>
      <c r="RW76" s="336">
        <v>0</v>
      </c>
      <c r="RX76" s="336">
        <v>0</v>
      </c>
      <c r="RY76" s="336">
        <v>0</v>
      </c>
      <c r="RZ76" s="336">
        <v>0</v>
      </c>
      <c r="SA76" s="336">
        <v>0</v>
      </c>
      <c r="SB76" s="336">
        <v>0</v>
      </c>
      <c r="SC76" s="336">
        <v>0</v>
      </c>
      <c r="SD76" s="336">
        <v>0</v>
      </c>
      <c r="SE76" s="336">
        <v>0</v>
      </c>
      <c r="SF76" s="336">
        <v>0</v>
      </c>
      <c r="SG76" s="336">
        <v>0</v>
      </c>
      <c r="SH76" s="336">
        <v>0</v>
      </c>
      <c r="SI76" s="336">
        <v>0</v>
      </c>
      <c r="SJ76" s="336">
        <v>0</v>
      </c>
      <c r="SK76" s="336">
        <v>0</v>
      </c>
      <c r="SL76" s="336">
        <v>0</v>
      </c>
      <c r="SM76" s="336">
        <v>0</v>
      </c>
      <c r="SN76" s="336">
        <v>0</v>
      </c>
      <c r="SO76" s="336">
        <v>0</v>
      </c>
      <c r="SP76" s="336">
        <v>108797</v>
      </c>
      <c r="SQ76" s="336">
        <v>8134140</v>
      </c>
      <c r="SR76" s="336">
        <v>2364394</v>
      </c>
      <c r="SS76" s="336">
        <v>88940</v>
      </c>
      <c r="ST76" s="336">
        <v>7245458</v>
      </c>
      <c r="SU76" s="336">
        <v>0</v>
      </c>
      <c r="SV76" s="336">
        <v>0</v>
      </c>
      <c r="SW76" s="336">
        <v>120080459</v>
      </c>
      <c r="SX76" s="336">
        <v>0</v>
      </c>
      <c r="SY76" s="336">
        <v>0</v>
      </c>
      <c r="SZ76" s="336" t="s">
        <v>1420</v>
      </c>
      <c r="TA76" s="336" t="s">
        <v>1420</v>
      </c>
      <c r="TB76" s="336" t="s">
        <v>1420</v>
      </c>
      <c r="TC76" s="336">
        <v>2088202</v>
      </c>
      <c r="TD76" s="336">
        <v>10210787</v>
      </c>
      <c r="TE76" s="336">
        <v>540792</v>
      </c>
      <c r="TF76" s="336">
        <v>0</v>
      </c>
      <c r="TG76" s="336">
        <v>3166746</v>
      </c>
      <c r="TH76" s="336">
        <v>237202</v>
      </c>
      <c r="TI76" s="336">
        <v>1289078</v>
      </c>
      <c r="TJ76" s="336">
        <v>211185</v>
      </c>
      <c r="TK76" s="336">
        <v>0</v>
      </c>
      <c r="TL76" s="336">
        <v>88940</v>
      </c>
      <c r="TM76" s="336">
        <v>1122931</v>
      </c>
      <c r="TN76" s="336">
        <v>57385</v>
      </c>
      <c r="TO76" s="336">
        <v>1629982</v>
      </c>
      <c r="TP76" s="336">
        <v>1306619</v>
      </c>
      <c r="TQ76" s="336">
        <v>0</v>
      </c>
      <c r="TR76" s="336">
        <v>0</v>
      </c>
      <c r="TS76" s="336">
        <v>0</v>
      </c>
      <c r="TT76" s="336">
        <v>0</v>
      </c>
      <c r="TU76" s="336">
        <v>0</v>
      </c>
      <c r="TV76" s="336">
        <v>0</v>
      </c>
      <c r="TW76" s="336">
        <v>0</v>
      </c>
      <c r="TX76" s="336">
        <v>2274</v>
      </c>
      <c r="TY76" s="336">
        <v>0</v>
      </c>
      <c r="TZ76" s="336">
        <v>0</v>
      </c>
      <c r="UA76" s="336">
        <v>0</v>
      </c>
      <c r="UB76" s="336">
        <v>0</v>
      </c>
      <c r="UC76" s="336">
        <v>0</v>
      </c>
      <c r="UD76" s="336">
        <v>0</v>
      </c>
      <c r="UE76" s="336">
        <v>0</v>
      </c>
      <c r="UF76" s="336">
        <v>0</v>
      </c>
      <c r="UG76" s="336">
        <v>0</v>
      </c>
      <c r="UH76" s="336">
        <v>303956500</v>
      </c>
      <c r="UI76" s="336">
        <v>169590813</v>
      </c>
      <c r="UJ76" s="336">
        <v>43518492</v>
      </c>
      <c r="UK76" s="336">
        <v>0</v>
      </c>
      <c r="UL76" s="336">
        <v>203880709</v>
      </c>
      <c r="UM76" s="336">
        <v>35778110</v>
      </c>
      <c r="UN76" s="336">
        <v>79030932</v>
      </c>
      <c r="UO76" s="336">
        <v>81557603</v>
      </c>
      <c r="UP76" s="336">
        <v>62903672</v>
      </c>
      <c r="UQ76" s="336">
        <v>150783308</v>
      </c>
      <c r="UR76"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17832932</v>
      </c>
      <c r="US76" s="338">
        <f>SUM(Input[[#This Row],[Oth Exp E&amp;G]],Input[[#This Row],[Oth Exp Desg]],Input[[#This Row],[Oth Exp Aux]],Input[[#This Row],[Oth Exp R Exp]],Input[[#This Row],[Oth Exp Loan]],Input[[#This Row],[Oth Exp Annuity]],Input[[#This Row],[Oth Exp Unexp]],Input[[#This Row],[Oth Exp R of Ind]],Input[[#This Row],[Oth Exp Inv in P]])</f>
        <v>106943949</v>
      </c>
      <c r="UT76" s="336">
        <v>102157607</v>
      </c>
      <c r="UU76" s="336">
        <v>62173937</v>
      </c>
      <c r="UV76" s="339" t="s">
        <v>1455</v>
      </c>
      <c r="UW76" s="340">
        <v>7137435296</v>
      </c>
      <c r="UX76" s="339" t="s">
        <v>1456</v>
      </c>
      <c r="UY76" s="339" t="s">
        <v>1457</v>
      </c>
      <c r="UZ76" s="340">
        <v>7137431533</v>
      </c>
      <c r="VA76" s="339" t="s">
        <v>1458</v>
      </c>
      <c r="VB76" s="341" t="str" cm="1">
        <f t="array" ref="VB76">IFERROR(_xlfn.IFS(Input[[#This Row],[Type]]="HRI",VLOOKUP(Input[[#This Row],[Institution Name]],FTSEHRI[],9,FALSE),Input[[#This Row],[Type]]="UNIV",VLOOKUP(Input[[#This Row],[Institution Name]],FTSEUNIV[],9,FALSE),OR(Input[[#This Row],[Type]]="TSTC",Input[[#This Row],[Type]]="LSC"),VLOOKUP(Input[[#This Row],[Institution Name]],FTSETSTC[],8,FALSE)),"N/A")</f>
        <v>N/A</v>
      </c>
      <c r="VC76" s="342" t="str" cm="1">
        <f t="array" ref="VC76">IFERROR(_xlfn.IFS(Input[[#This Row],[Type]]="HRI",VLOOKUP(Input[[#This Row],[Institution Name]],FTSEHRI[],11,FALSE),Input[[#This Row],[Type]]="UNIV",VLOOKUP(Input[[#This Row],[Institution Name]],FTSEUNIV[],11,FALSE),Input[[#This Row],[Type]]="TSTC",VLOOKUP(Input[[#This Row],[Institution Name]],FTSETSTC[],10,FALSE)),"N/A")</f>
        <v>N/A</v>
      </c>
      <c r="VD76"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346194153</v>
      </c>
      <c r="VE76"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56158685</v>
      </c>
      <c r="VF76" s="338">
        <f>SUM(Input[[#This Row],[Fed G&amp;C E&amp;G]],Input[[#This Row],[Fed G&amp;C Desg]],Input[[#This Row],[Fed G&amp;C R Exp]],Input[[#This Row],[Fed G&amp;C Loan]],Input[[#This Row],[Fed G&amp;C Annuity]],Input[[#This Row],[Fed G&amp;C Unexp]],Input[[#This Row],[Fed G&amp;C R of Ind]],Input[[#This Row],[Fed G&amp;C Inv in P]])</f>
        <v>197152064</v>
      </c>
      <c r="VG76"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285517887</v>
      </c>
      <c r="VH76"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308354168</v>
      </c>
      <c r="VI76"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77821805</v>
      </c>
      <c r="VJ76" s="338">
        <f>SUM(Input[[#This Row],[Oth Inc E&amp;G]],Input[[#This Row],[Oth Exp Desg]],Input[[#This Row],[Oth Exp R Exp]],Input[[#This Row],[Oth Exp Loan]],Input[[#This Row],[Oth Exp Annuity]],Input[[#This Row],[Oth Exp Unexp]],Input[[#This Row],[Oth Exp R of Ind]],Input[[#This Row],[Oth Exp Inv in P]])</f>
        <v>104724995</v>
      </c>
      <c r="VK76" s="343">
        <f>SUM(Input[[#This Row],[Instr E&amp;G]],Input[[#This Row],[Instr Desg]],Input[[#This Row],[Instr R Exp]],Input[[#This Row],[Instr Loan]],Input[[#This Row],[Instr Annuity]],Input[[#This Row],[Instr Unexp]],Input[[#This Row],[Instr R of Ind]],Input[[#This Row],[Instr Inv in P]])</f>
        <v>303956500</v>
      </c>
      <c r="VL76" s="343">
        <f>SUM(Input[[#This Row],[Res E&amp;G]],Input[[#This Row],[Res Desg]],Input[[#This Row],[Res R Exp]],Input[[#This Row],[Res Loan]],Input[[#This Row],[Res Annuity]],Input[[#This Row],[Res Unexp]],Input[[#This Row],[Res R of Ind]],Input[[#This Row],[Res Inv in P]])</f>
        <v>169590813</v>
      </c>
      <c r="VM76" s="343">
        <f>SUM(Input[[#This Row],[Acad Sup E&amp;G]],Input[[#This Row],[Acad Sup Desg]],Input[[#This Row],[Acad Sup R Exp]],Input[[#This Row],[Acad Sup Loan]],Input[[#This Row],[Acad Sup Annuity]],Input[[#This Row],[Acad Sup Unexp]],Input[[#This Row],[Acad Sup R of Ind]],Input[[#This Row],[Acad Sup Inv in P]])</f>
        <v>203880709</v>
      </c>
      <c r="VN76" s="343">
        <f>SUM(Input[[#This Row],[Stu Svc E&amp;G]],Input[[#This Row],[Stu Svc Desg]],Input[[#This Row],[Stu Svc R Exp]],Input[[#This Row],[Stu Svc Loan]],Input[[#This Row],[Stu Svc Annuity]],Input[[#This Row],[Stu Svc Unexp]],Input[[#This Row],[Stu Svc R of Ind]],Input[[#This Row],[Stu Svc Inv in P]])</f>
        <v>35778110</v>
      </c>
      <c r="VO76" s="343">
        <f>SUM(Input[[#This Row],[Inst. Spt E&amp;G]],Input[[#This Row],[Inst. Spt Desg]],Input[[#This Row],[Inst. Spt R Exp]],Input[[#This Row],[Inst. Spt Loan]],Input[[#This Row],[Inst. Spt Annuity]],Input[[#This Row],[Inst. Spt Unexp]],Input[[#This Row],[Inst. Spt R of Ind]],Input[[#This Row],[Inst. Spt Inv in P]])</f>
        <v>79030932</v>
      </c>
      <c r="VP76" s="343">
        <f>SUM(Input[[#This Row],[M&amp;O Plnt E&amp;G]],Input[[#This Row],[M&amp;O Plnt Desg]],Input[[#This Row],[M&amp;O Plnt R Exp]],Input[[#This Row],[M&amp;O Plnt Loan]],Input[[#This Row],[M&amp;O Plnt Annuity]],Input[[#This Row],[M&amp;O Plnt Unexp]],Input[[#This Row],[M&amp;O Plnt R of Ind]],Input[[#This Row],[M&amp;O Plnt Inv in P]])</f>
        <v>81557603</v>
      </c>
      <c r="VQ76" s="343">
        <f>SUM(Input[[#This Row],[Schl &amp; Fell E&amp;G]],Input[[#This Row],[Schl &amp; Fell Desg]],Input[[#This Row],[Schl &amp; Fell R Exp]],Input[[#This Row],[Schl &amp; Fell Loan]],Input[[#This Row],[Schl &amp; Fell Annuity]],Input[[#This Row],[Schl &amp; Fell Unexp]],Input[[#This Row],[Schl &amp; Fell R of Ind]],Input[[#This Row],[Schl &amp; Fell Inv in P]])</f>
        <v>62903672</v>
      </c>
      <c r="VR76" s="343">
        <f>SUM(Input[[#This Row],[Cap Out fund E&amp;G]],Input[[#This Row],[Cap Out fund Desg]],Input[[#This Row],[Cap Out fund R Exp]],Input[[#This Row],[Cap Out fund Loan]],Input[[#This Row],[Cap Out fund Annuity]],Input[[#This Row],[Cap Out fund Unexp]],Input[[#This Row],[Cap Out fund R of Ind]],Input[[#This Row],[Cap Out fund Inv in P]])</f>
        <v>17743992</v>
      </c>
      <c r="VS76" s="343">
        <f>SUM(Input[[#This Row],[Oth Exp E&amp;G]],Input[[#This Row],[Oth Exp Desg]],Input[[#This Row],[Oth Exp R Exp]],Input[[#This Row],[Oth Exp Loan]],Input[[#This Row],[Oth Exp Annuity]],Input[[#This Row],[Oth Exp Unexp]],Input[[#This Row],[Oth Exp R of Ind]],Input[[#This Row],[Oth Exp Inv in P]],Input[[#This Row],[Oth Exp Inv in P]])</f>
        <v>105184494</v>
      </c>
    </row>
    <row r="77" spans="1:591" s="344" customFormat="1" ht="27" customHeight="1" x14ac:dyDescent="0.55000000000000004">
      <c r="A77" s="339" t="s">
        <v>745</v>
      </c>
      <c r="B77" s="334" t="s">
        <v>828</v>
      </c>
      <c r="C77" s="334" t="s">
        <v>14</v>
      </c>
      <c r="D77" s="334">
        <v>520</v>
      </c>
      <c r="E77" s="334" t="s">
        <v>1622</v>
      </c>
      <c r="F77" s="335">
        <v>203652</v>
      </c>
      <c r="G77" s="336">
        <v>20146282</v>
      </c>
      <c r="H77" s="336">
        <v>0</v>
      </c>
      <c r="I77" s="336">
        <v>0</v>
      </c>
      <c r="J77" s="336">
        <v>0</v>
      </c>
      <c r="K77" s="336">
        <v>0</v>
      </c>
      <c r="L77" s="336">
        <v>0</v>
      </c>
      <c r="M77" s="336">
        <v>0</v>
      </c>
      <c r="N77" s="336">
        <v>0</v>
      </c>
      <c r="O77" s="336">
        <v>0</v>
      </c>
      <c r="P77" s="336">
        <v>0</v>
      </c>
      <c r="Q77" s="336">
        <v>0</v>
      </c>
      <c r="R77" s="336">
        <v>0</v>
      </c>
      <c r="S77" s="336">
        <v>131757</v>
      </c>
      <c r="T77" s="336">
        <v>0</v>
      </c>
      <c r="U77" s="336">
        <v>0</v>
      </c>
      <c r="V77" s="336">
        <v>0</v>
      </c>
      <c r="W77" s="336">
        <v>0</v>
      </c>
      <c r="X77" s="336">
        <v>0</v>
      </c>
      <c r="Y77" s="336">
        <v>0</v>
      </c>
      <c r="Z77" s="336">
        <v>0</v>
      </c>
      <c r="AA77" s="336">
        <v>0</v>
      </c>
      <c r="AB77" s="336">
        <v>0</v>
      </c>
      <c r="AC77" s="336">
        <v>0</v>
      </c>
      <c r="AD77" s="336">
        <v>0</v>
      </c>
      <c r="AE77" s="336">
        <v>0</v>
      </c>
      <c r="AF77" s="336">
        <v>0</v>
      </c>
      <c r="AG77" s="336">
        <v>0</v>
      </c>
      <c r="AH77" s="336">
        <v>0</v>
      </c>
      <c r="AI77" s="336">
        <v>0</v>
      </c>
      <c r="AJ77" s="336">
        <v>0</v>
      </c>
      <c r="AK77" s="336">
        <v>0</v>
      </c>
      <c r="AL77" s="336">
        <v>0</v>
      </c>
      <c r="AM77" s="336">
        <v>0</v>
      </c>
      <c r="AN77" s="336">
        <v>0</v>
      </c>
      <c r="AO77" s="336">
        <v>0</v>
      </c>
      <c r="AP77" s="336">
        <v>0</v>
      </c>
      <c r="AQ77" s="336">
        <v>0</v>
      </c>
      <c r="AR77" s="336">
        <v>0</v>
      </c>
      <c r="AS77" s="336">
        <v>0</v>
      </c>
      <c r="AT77" s="336">
        <v>0</v>
      </c>
      <c r="AU77" s="336">
        <v>0</v>
      </c>
      <c r="AV77" s="336">
        <v>0</v>
      </c>
      <c r="AW77" s="336">
        <v>0</v>
      </c>
      <c r="AX77" s="336">
        <v>0</v>
      </c>
      <c r="AY77" s="336">
        <v>0</v>
      </c>
      <c r="AZ77" s="336">
        <v>0</v>
      </c>
      <c r="BA77" s="336">
        <v>0</v>
      </c>
      <c r="BB77" s="336">
        <v>0</v>
      </c>
      <c r="BC77" s="336">
        <v>0</v>
      </c>
      <c r="BD77" s="336">
        <v>0</v>
      </c>
      <c r="BE77" s="336">
        <v>0</v>
      </c>
      <c r="BF77" s="336">
        <v>0</v>
      </c>
      <c r="BG77" s="336">
        <v>0</v>
      </c>
      <c r="BH77" s="336">
        <v>0</v>
      </c>
      <c r="BI77" s="336">
        <v>0</v>
      </c>
      <c r="BJ77" s="336">
        <v>0</v>
      </c>
      <c r="BK77" s="336">
        <v>0</v>
      </c>
      <c r="BL77" s="336">
        <v>0</v>
      </c>
      <c r="BM77" s="336">
        <v>0</v>
      </c>
      <c r="BN77" s="336">
        <v>0</v>
      </c>
      <c r="BO77" s="336">
        <v>0</v>
      </c>
      <c r="BP77" s="336">
        <v>0</v>
      </c>
      <c r="BQ77" s="336">
        <v>0</v>
      </c>
      <c r="BR77" s="336">
        <v>0</v>
      </c>
      <c r="BS77" s="336">
        <v>0</v>
      </c>
      <c r="BT77" s="336">
        <v>0</v>
      </c>
      <c r="BU77" s="336">
        <v>0</v>
      </c>
      <c r="BV77" s="336">
        <v>0</v>
      </c>
      <c r="BW77" s="336">
        <v>0</v>
      </c>
      <c r="BX77" s="336">
        <v>0</v>
      </c>
      <c r="BY77" s="336">
        <v>0</v>
      </c>
      <c r="BZ77" s="336">
        <v>0</v>
      </c>
      <c r="CA77" s="336">
        <v>2251329</v>
      </c>
      <c r="CB77" s="336">
        <v>1063701</v>
      </c>
      <c r="CC77" s="336">
        <v>0</v>
      </c>
      <c r="CD77" s="336">
        <v>0</v>
      </c>
      <c r="CE77" s="336">
        <v>0</v>
      </c>
      <c r="CF77" s="336">
        <v>0</v>
      </c>
      <c r="CG77" s="336">
        <v>0</v>
      </c>
      <c r="CH77" s="336">
        <v>0</v>
      </c>
      <c r="CI77" s="336">
        <v>0</v>
      </c>
      <c r="CJ77" s="336">
        <v>0</v>
      </c>
      <c r="CK77" s="336">
        <v>0</v>
      </c>
      <c r="CL77" s="336">
        <v>0</v>
      </c>
      <c r="CM77" s="336">
        <v>0</v>
      </c>
      <c r="CN77" s="336">
        <v>0</v>
      </c>
      <c r="CO77" s="336">
        <v>0</v>
      </c>
      <c r="CP77" s="336">
        <v>0</v>
      </c>
      <c r="CQ77" s="336">
        <v>0</v>
      </c>
      <c r="CR77" s="336">
        <v>0</v>
      </c>
      <c r="CS77" s="336">
        <v>0</v>
      </c>
      <c r="CT77" s="336">
        <v>0</v>
      </c>
      <c r="CU77" s="336">
        <v>0</v>
      </c>
      <c r="CV77" s="336">
        <v>0</v>
      </c>
      <c r="CW77" s="336">
        <v>0</v>
      </c>
      <c r="CX77" s="336">
        <v>0</v>
      </c>
      <c r="CY77" s="336">
        <v>0</v>
      </c>
      <c r="CZ77" s="336">
        <v>0</v>
      </c>
      <c r="DA77" s="336">
        <v>0</v>
      </c>
      <c r="DB77" s="336">
        <v>-17260</v>
      </c>
      <c r="DC77" s="336">
        <v>-8433</v>
      </c>
      <c r="DD77" s="336">
        <v>0</v>
      </c>
      <c r="DE77" s="336">
        <v>0</v>
      </c>
      <c r="DF77" s="336">
        <v>0</v>
      </c>
      <c r="DG77" s="336">
        <v>0</v>
      </c>
      <c r="DH77" s="336">
        <v>0</v>
      </c>
      <c r="DI77" s="336">
        <v>0</v>
      </c>
      <c r="DJ77" s="336">
        <v>0</v>
      </c>
      <c r="DK77" s="336">
        <v>0</v>
      </c>
      <c r="DL77" s="336">
        <v>0</v>
      </c>
      <c r="DM77" s="336">
        <v>0</v>
      </c>
      <c r="DN77" s="336">
        <v>0</v>
      </c>
      <c r="DO77" s="336">
        <v>0</v>
      </c>
      <c r="DP77" s="336">
        <v>0</v>
      </c>
      <c r="DQ77" s="336">
        <v>0</v>
      </c>
      <c r="DR77" s="336">
        <v>0</v>
      </c>
      <c r="DS77" s="336">
        <v>0</v>
      </c>
      <c r="DT77" s="336">
        <v>84911</v>
      </c>
      <c r="DU77" s="336">
        <v>39206</v>
      </c>
      <c r="DV77" s="336">
        <v>0</v>
      </c>
      <c r="DW77" s="336">
        <v>0</v>
      </c>
      <c r="DX77" s="336">
        <v>0</v>
      </c>
      <c r="DY77" s="336">
        <v>0</v>
      </c>
      <c r="DZ77" s="336">
        <v>0</v>
      </c>
      <c r="EA77" s="336">
        <v>0</v>
      </c>
      <c r="EB77" s="336">
        <v>0</v>
      </c>
      <c r="EC77" s="336">
        <v>0</v>
      </c>
      <c r="ED77" s="336">
        <v>0</v>
      </c>
      <c r="EE77" s="336">
        <v>0</v>
      </c>
      <c r="EF77" s="336">
        <v>0</v>
      </c>
      <c r="EG77" s="336">
        <v>0</v>
      </c>
      <c r="EH77" s="336">
        <v>0</v>
      </c>
      <c r="EI77" s="336">
        <v>0</v>
      </c>
      <c r="EJ77" s="336">
        <v>0</v>
      </c>
      <c r="EK77" s="336">
        <v>0</v>
      </c>
      <c r="EL77" s="336">
        <v>0</v>
      </c>
      <c r="EM77" s="336">
        <v>0</v>
      </c>
      <c r="EN77" s="336">
        <v>0</v>
      </c>
      <c r="EO77" s="336">
        <v>0</v>
      </c>
      <c r="EP77" s="336">
        <v>0</v>
      </c>
      <c r="EQ77" s="336">
        <v>0</v>
      </c>
      <c r="ER77" s="336">
        <v>0</v>
      </c>
      <c r="ES77" s="336">
        <v>0</v>
      </c>
      <c r="ET77" s="336">
        <v>0</v>
      </c>
      <c r="EU77" s="336">
        <v>0</v>
      </c>
      <c r="EV77" s="336">
        <v>0</v>
      </c>
      <c r="EW77" s="336">
        <v>0</v>
      </c>
      <c r="EX77" s="336">
        <v>0</v>
      </c>
      <c r="EY77" s="336">
        <v>0</v>
      </c>
      <c r="EZ77" s="336">
        <v>0</v>
      </c>
      <c r="FA77" s="336">
        <v>0</v>
      </c>
      <c r="FB77" s="336">
        <v>0</v>
      </c>
      <c r="FC77" s="336">
        <v>0</v>
      </c>
      <c r="FD77" s="336">
        <v>0</v>
      </c>
      <c r="FE77" s="336">
        <v>0</v>
      </c>
      <c r="FF77" s="336">
        <v>0</v>
      </c>
      <c r="FG77" s="336">
        <v>0</v>
      </c>
      <c r="FH77" s="336">
        <v>0</v>
      </c>
      <c r="FI77" s="336">
        <v>0</v>
      </c>
      <c r="FJ77" s="336">
        <v>0</v>
      </c>
      <c r="FK77" s="336">
        <v>0</v>
      </c>
      <c r="FL77" s="336">
        <v>0</v>
      </c>
      <c r="FM77" s="336">
        <v>0</v>
      </c>
      <c r="FN77" s="336">
        <v>657325</v>
      </c>
      <c r="FO77" s="336">
        <v>217394</v>
      </c>
      <c r="FP77" s="336">
        <v>0</v>
      </c>
      <c r="FQ77" s="336">
        <v>0</v>
      </c>
      <c r="FR77" s="336">
        <v>0</v>
      </c>
      <c r="FS77" s="336">
        <v>0</v>
      </c>
      <c r="FT77" s="336">
        <v>0</v>
      </c>
      <c r="FU77" s="336">
        <v>0</v>
      </c>
      <c r="FV77" s="336">
        <v>0</v>
      </c>
      <c r="FW77" s="336">
        <v>0</v>
      </c>
      <c r="FX77" s="336">
        <v>0</v>
      </c>
      <c r="FY77" s="336">
        <v>0</v>
      </c>
      <c r="FZ77" s="336">
        <v>0</v>
      </c>
      <c r="GA77" s="336">
        <v>0</v>
      </c>
      <c r="GB77" s="336">
        <v>0</v>
      </c>
      <c r="GC77" s="336">
        <v>0</v>
      </c>
      <c r="GD77" s="336">
        <v>0</v>
      </c>
      <c r="GE77" s="336">
        <v>0</v>
      </c>
      <c r="GF77" s="336">
        <v>0</v>
      </c>
      <c r="GG77" s="336">
        <v>0</v>
      </c>
      <c r="GH77" s="336">
        <v>0</v>
      </c>
      <c r="GI77" s="336">
        <v>0</v>
      </c>
      <c r="GJ77" s="336">
        <v>0</v>
      </c>
      <c r="GK77" s="336">
        <v>0</v>
      </c>
      <c r="GL77" s="336">
        <v>0</v>
      </c>
      <c r="GM77" s="336">
        <v>0</v>
      </c>
      <c r="GN77" s="336">
        <v>0</v>
      </c>
      <c r="GO77" s="336">
        <v>-3654</v>
      </c>
      <c r="GP77" s="336">
        <v>0</v>
      </c>
      <c r="GQ77" s="336">
        <v>0</v>
      </c>
      <c r="GR77" s="336">
        <v>0</v>
      </c>
      <c r="GS77" s="336">
        <v>0</v>
      </c>
      <c r="GT77" s="336">
        <v>0</v>
      </c>
      <c r="GU77" s="336">
        <v>0</v>
      </c>
      <c r="GV77" s="336">
        <v>0</v>
      </c>
      <c r="GW77" s="336">
        <v>0</v>
      </c>
      <c r="GX77" s="336">
        <v>0</v>
      </c>
      <c r="GY77" s="336">
        <v>0</v>
      </c>
      <c r="GZ77" s="336">
        <v>0</v>
      </c>
      <c r="HA77" s="336">
        <v>0</v>
      </c>
      <c r="HB77" s="336">
        <v>0</v>
      </c>
      <c r="HC77" s="336">
        <v>0</v>
      </c>
      <c r="HD77" s="336">
        <v>0</v>
      </c>
      <c r="HE77" s="336">
        <v>0</v>
      </c>
      <c r="HF77" s="336">
        <v>0</v>
      </c>
      <c r="HG77" s="336">
        <v>24228</v>
      </c>
      <c r="HH77" s="336">
        <v>2052</v>
      </c>
      <c r="HI77" s="336">
        <v>0</v>
      </c>
      <c r="HJ77" s="336">
        <v>0</v>
      </c>
      <c r="HK77" s="336">
        <v>0</v>
      </c>
      <c r="HL77" s="336">
        <v>0</v>
      </c>
      <c r="HM77" s="336">
        <v>0</v>
      </c>
      <c r="HN77" s="336">
        <v>0</v>
      </c>
      <c r="HO77" s="336">
        <v>0</v>
      </c>
      <c r="HP77" s="336">
        <v>0</v>
      </c>
      <c r="HQ77" s="336">
        <v>0</v>
      </c>
      <c r="HR77" s="336">
        <v>397544</v>
      </c>
      <c r="HS77" s="336">
        <v>0</v>
      </c>
      <c r="HT77" s="336">
        <v>0</v>
      </c>
      <c r="HU77" s="336">
        <v>0</v>
      </c>
      <c r="HV77" s="336">
        <v>0</v>
      </c>
      <c r="HW77" s="336">
        <v>0</v>
      </c>
      <c r="HX77" s="336">
        <v>0</v>
      </c>
      <c r="HY77" s="336">
        <v>0</v>
      </c>
      <c r="HZ77" s="336">
        <v>0</v>
      </c>
      <c r="IA77" s="336">
        <v>0</v>
      </c>
      <c r="IB77" s="336">
        <v>0</v>
      </c>
      <c r="IC77" s="336">
        <v>0</v>
      </c>
      <c r="ID77" s="336">
        <v>0</v>
      </c>
      <c r="IE77" s="336">
        <v>0</v>
      </c>
      <c r="IF77" s="336">
        <v>0</v>
      </c>
      <c r="IG77" s="336">
        <v>0</v>
      </c>
      <c r="IH77" s="336">
        <v>0</v>
      </c>
      <c r="II77" s="336">
        <v>0</v>
      </c>
      <c r="IJ77" s="336">
        <v>0</v>
      </c>
      <c r="IK77" s="336">
        <v>0</v>
      </c>
      <c r="IL77" s="336">
        <v>0</v>
      </c>
      <c r="IM77" s="336">
        <v>0</v>
      </c>
      <c r="IN77" s="336">
        <v>0</v>
      </c>
      <c r="IO77" s="336">
        <v>0</v>
      </c>
      <c r="IP77" s="336">
        <v>1598165</v>
      </c>
      <c r="IQ77" s="336">
        <v>0</v>
      </c>
      <c r="IR77" s="336">
        <v>0</v>
      </c>
      <c r="IS77" s="336">
        <v>0</v>
      </c>
      <c r="IT77" s="336">
        <v>0</v>
      </c>
      <c r="IU77" s="336">
        <v>0</v>
      </c>
      <c r="IV77" s="336">
        <v>0</v>
      </c>
      <c r="IW77" s="336">
        <v>0</v>
      </c>
      <c r="IX77" s="336">
        <v>0</v>
      </c>
      <c r="IY77" s="336">
        <v>0</v>
      </c>
      <c r="IZ77" s="336">
        <v>0</v>
      </c>
      <c r="JA77" s="336">
        <v>0</v>
      </c>
      <c r="JB77" s="336">
        <v>721291</v>
      </c>
      <c r="JC77" s="336">
        <v>0</v>
      </c>
      <c r="JD77" s="336">
        <v>0</v>
      </c>
      <c r="JE77" s="336">
        <v>0</v>
      </c>
      <c r="JF77" s="336">
        <v>0</v>
      </c>
      <c r="JG77" s="336">
        <v>0</v>
      </c>
      <c r="JH77" s="336">
        <v>0</v>
      </c>
      <c r="JI77" s="336">
        <v>620</v>
      </c>
      <c r="JJ77" s="336">
        <v>0</v>
      </c>
      <c r="JK77" s="336">
        <v>3256523</v>
      </c>
      <c r="JL77" s="336">
        <v>0</v>
      </c>
      <c r="JM77" s="336">
        <v>0</v>
      </c>
      <c r="JN77" s="336">
        <v>0</v>
      </c>
      <c r="JO77" s="336">
        <v>0</v>
      </c>
      <c r="JP77" s="336">
        <v>0</v>
      </c>
      <c r="JQ77" s="336">
        <v>0</v>
      </c>
      <c r="JR77" s="336">
        <v>563843</v>
      </c>
      <c r="JS77" s="336">
        <v>0</v>
      </c>
      <c r="JT77" s="336">
        <v>0</v>
      </c>
      <c r="JU77" s="336">
        <v>0</v>
      </c>
      <c r="JV77" s="336">
        <v>0</v>
      </c>
      <c r="JW77" s="336">
        <v>0</v>
      </c>
      <c r="JX77" s="336">
        <v>0</v>
      </c>
      <c r="JY77" s="336">
        <v>0</v>
      </c>
      <c r="JZ77" s="336">
        <v>0</v>
      </c>
      <c r="KA77" s="336">
        <v>0</v>
      </c>
      <c r="KB77" s="336">
        <v>0</v>
      </c>
      <c r="KC77" s="336">
        <v>0</v>
      </c>
      <c r="KD77" s="336">
        <v>0</v>
      </c>
      <c r="KE77" s="336">
        <v>0</v>
      </c>
      <c r="KF77" s="336">
        <v>0</v>
      </c>
      <c r="KG77" s="336">
        <v>0</v>
      </c>
      <c r="KH77" s="336">
        <v>0</v>
      </c>
      <c r="KI77" s="336">
        <v>0</v>
      </c>
      <c r="KJ77" s="336">
        <v>9256510</v>
      </c>
      <c r="KK77" s="336">
        <v>0</v>
      </c>
      <c r="KL77" s="336">
        <v>980681</v>
      </c>
      <c r="KM77" s="336">
        <v>0</v>
      </c>
      <c r="KN77" s="336">
        <v>0</v>
      </c>
      <c r="KO77" s="336">
        <v>0</v>
      </c>
      <c r="KP77" s="336">
        <v>0</v>
      </c>
      <c r="KQ77" s="336">
        <v>0</v>
      </c>
      <c r="KR77" s="336">
        <v>10397074</v>
      </c>
      <c r="KS77" s="336">
        <v>-21956</v>
      </c>
      <c r="KT77" s="336">
        <v>0</v>
      </c>
      <c r="KU77" s="336">
        <v>223742</v>
      </c>
      <c r="KV77" s="336">
        <v>0</v>
      </c>
      <c r="KW77" s="336">
        <v>0</v>
      </c>
      <c r="KX77" s="336">
        <v>0</v>
      </c>
      <c r="KY77" s="336">
        <v>0</v>
      </c>
      <c r="KZ77" s="336">
        <v>0</v>
      </c>
      <c r="LA77" s="336">
        <v>236611</v>
      </c>
      <c r="LB77" s="336">
        <v>925</v>
      </c>
      <c r="LC77" s="336">
        <v>0</v>
      </c>
      <c r="LD77" s="336">
        <v>1900869</v>
      </c>
      <c r="LE77" s="336">
        <v>0</v>
      </c>
      <c r="LF77" s="336">
        <v>0</v>
      </c>
      <c r="LG77" s="336">
        <v>0</v>
      </c>
      <c r="LH77" s="336">
        <v>0</v>
      </c>
      <c r="LI77" s="336">
        <v>0</v>
      </c>
      <c r="LJ77" s="336">
        <v>0</v>
      </c>
      <c r="LK77" s="336">
        <v>10300462</v>
      </c>
      <c r="LL77" s="336">
        <v>0</v>
      </c>
      <c r="LM77" s="336">
        <v>57031</v>
      </c>
      <c r="LN77" s="336">
        <v>0</v>
      </c>
      <c r="LO77" s="336">
        <v>0</v>
      </c>
      <c r="LP77" s="336">
        <v>0</v>
      </c>
      <c r="LQ77" s="336">
        <v>0</v>
      </c>
      <c r="LR77" s="336">
        <v>0</v>
      </c>
      <c r="LS77" s="336">
        <v>0</v>
      </c>
      <c r="LT77" s="336">
        <v>0</v>
      </c>
      <c r="LU77" s="336">
        <v>0</v>
      </c>
      <c r="LV77" s="336">
        <v>0</v>
      </c>
      <c r="LW77" s="336">
        <v>0</v>
      </c>
      <c r="LX77" s="336">
        <v>0</v>
      </c>
      <c r="LY77" s="336">
        <v>0</v>
      </c>
      <c r="LZ77" s="336">
        <v>0</v>
      </c>
      <c r="MA77" s="336">
        <v>0</v>
      </c>
      <c r="MB77" s="336">
        <v>13133106</v>
      </c>
      <c r="MC77" s="336">
        <v>2000142</v>
      </c>
      <c r="MD77" s="336">
        <v>0</v>
      </c>
      <c r="ME77" s="336">
        <v>1199097</v>
      </c>
      <c r="MF77" s="336">
        <v>0</v>
      </c>
      <c r="MG77" s="336">
        <v>0</v>
      </c>
      <c r="MH77" s="336">
        <v>0</v>
      </c>
      <c r="MI77" s="336">
        <v>0</v>
      </c>
      <c r="MJ77" s="336">
        <v>0</v>
      </c>
      <c r="MK77" s="336">
        <v>0</v>
      </c>
      <c r="ML77" s="336">
        <v>0</v>
      </c>
      <c r="MM77" s="336">
        <v>0</v>
      </c>
      <c r="MN77" s="336">
        <v>0</v>
      </c>
      <c r="MO77" s="336">
        <v>0</v>
      </c>
      <c r="MP77" s="336">
        <v>0</v>
      </c>
      <c r="MQ77" s="336">
        <v>0</v>
      </c>
      <c r="MR77" s="336">
        <v>0</v>
      </c>
      <c r="MS77" s="336">
        <v>0</v>
      </c>
      <c r="MT77" s="336">
        <v>-18029</v>
      </c>
      <c r="MU77" s="336">
        <v>1602</v>
      </c>
      <c r="MV77" s="336">
        <v>0</v>
      </c>
      <c r="MW77" s="336">
        <v>0</v>
      </c>
      <c r="MX77" s="336">
        <v>0</v>
      </c>
      <c r="MY77" s="336">
        <v>0</v>
      </c>
      <c r="MZ77" s="336">
        <v>0</v>
      </c>
      <c r="NA77" s="336">
        <v>0</v>
      </c>
      <c r="NB77" s="336">
        <v>0</v>
      </c>
      <c r="NC77" s="336">
        <v>1188410</v>
      </c>
      <c r="ND77" s="336">
        <v>0</v>
      </c>
      <c r="NE77" s="336">
        <v>0</v>
      </c>
      <c r="NF77" s="336">
        <v>0</v>
      </c>
      <c r="NG77" s="336">
        <v>0</v>
      </c>
      <c r="NH77" s="336">
        <v>0</v>
      </c>
      <c r="NI77" s="336">
        <v>0</v>
      </c>
      <c r="NJ77" s="336">
        <v>0</v>
      </c>
      <c r="NK77" s="336">
        <v>0</v>
      </c>
      <c r="NL77" s="336">
        <v>17260</v>
      </c>
      <c r="NM77" s="336">
        <v>2906</v>
      </c>
      <c r="NN77" s="336">
        <v>0</v>
      </c>
      <c r="NO77" s="336">
        <v>1066514</v>
      </c>
      <c r="NP77" s="336">
        <v>0</v>
      </c>
      <c r="NQ77" s="336">
        <v>0</v>
      </c>
      <c r="NR77" s="336">
        <v>0</v>
      </c>
      <c r="NS77" s="336">
        <v>0</v>
      </c>
      <c r="NT77" s="336">
        <v>0</v>
      </c>
      <c r="NU77" s="336">
        <v>0</v>
      </c>
      <c r="NV77" s="336">
        <v>0</v>
      </c>
      <c r="NW77" s="336">
        <v>0</v>
      </c>
      <c r="NX77" s="336">
        <v>0</v>
      </c>
      <c r="NY77" s="336">
        <v>0</v>
      </c>
      <c r="NZ77" s="336">
        <v>0</v>
      </c>
      <c r="OA77" s="336">
        <v>0</v>
      </c>
      <c r="OB77" s="336">
        <v>0</v>
      </c>
      <c r="OC77" s="336">
        <v>0</v>
      </c>
      <c r="OD77" s="336">
        <v>0</v>
      </c>
      <c r="OE77" s="336">
        <v>0</v>
      </c>
      <c r="OF77" s="336">
        <v>0</v>
      </c>
      <c r="OG77" s="336">
        <v>0</v>
      </c>
      <c r="OH77" s="336">
        <v>0</v>
      </c>
      <c r="OI77" s="336">
        <v>0</v>
      </c>
      <c r="OJ77" s="336">
        <v>0</v>
      </c>
      <c r="OK77" s="336">
        <v>0</v>
      </c>
      <c r="OL77" s="336">
        <v>0</v>
      </c>
      <c r="OM77" s="336">
        <v>0</v>
      </c>
      <c r="ON77" s="336">
        <v>0</v>
      </c>
      <c r="OO77" s="336">
        <v>0</v>
      </c>
      <c r="OP77" s="336">
        <v>0</v>
      </c>
      <c r="OQ77" s="336">
        <v>0</v>
      </c>
      <c r="OR77" s="336">
        <v>0</v>
      </c>
      <c r="OS77" s="336">
        <v>0</v>
      </c>
      <c r="OT77" s="336">
        <v>0</v>
      </c>
      <c r="OU77" s="336">
        <v>0</v>
      </c>
      <c r="OV77" s="336">
        <v>0</v>
      </c>
      <c r="OW77" s="336">
        <v>0</v>
      </c>
      <c r="OX77" s="336">
        <v>0</v>
      </c>
      <c r="OY77" s="336">
        <v>0</v>
      </c>
      <c r="OZ77" s="336">
        <v>0</v>
      </c>
      <c r="PA77" s="336">
        <v>0</v>
      </c>
      <c r="PB77" s="336">
        <v>0</v>
      </c>
      <c r="PC77" s="336">
        <v>0</v>
      </c>
      <c r="PD77" s="336">
        <v>0</v>
      </c>
      <c r="PE77" s="336">
        <v>-552751</v>
      </c>
      <c r="PF77" s="336">
        <v>41789</v>
      </c>
      <c r="PG77" s="336">
        <v>0</v>
      </c>
      <c r="PH77" s="336">
        <v>136940</v>
      </c>
      <c r="PI77" s="336">
        <v>0</v>
      </c>
      <c r="PJ77" s="336">
        <v>0</v>
      </c>
      <c r="PK77" s="336">
        <v>0</v>
      </c>
      <c r="PL77" s="336">
        <v>0</v>
      </c>
      <c r="PM77" s="336">
        <v>0</v>
      </c>
      <c r="PN77" s="336">
        <v>0</v>
      </c>
      <c r="PO77" s="336">
        <v>0</v>
      </c>
      <c r="PP77" s="336">
        <v>0</v>
      </c>
      <c r="PQ77" s="336">
        <v>0</v>
      </c>
      <c r="PR77" s="336">
        <v>0</v>
      </c>
      <c r="PS77" s="336">
        <v>0</v>
      </c>
      <c r="PT77" s="336">
        <v>0</v>
      </c>
      <c r="PU77" s="336">
        <v>0</v>
      </c>
      <c r="PV77" s="336">
        <v>0</v>
      </c>
      <c r="PW77" s="336">
        <v>0</v>
      </c>
      <c r="PX77" s="336">
        <v>0</v>
      </c>
      <c r="PY77" s="336">
        <v>0</v>
      </c>
      <c r="PZ77" s="336">
        <v>0</v>
      </c>
      <c r="QA77" s="336">
        <v>0</v>
      </c>
      <c r="QB77" s="336">
        <v>0</v>
      </c>
      <c r="QC77" s="336">
        <v>0</v>
      </c>
      <c r="QD77" s="336">
        <v>0</v>
      </c>
      <c r="QE77" s="336">
        <v>0</v>
      </c>
      <c r="QF77" s="336">
        <v>0</v>
      </c>
      <c r="QG77" s="336">
        <v>0</v>
      </c>
      <c r="QH77" s="336">
        <v>0</v>
      </c>
      <c r="QI77" s="336">
        <v>0</v>
      </c>
      <c r="QJ77" s="336">
        <v>0</v>
      </c>
      <c r="QK77" s="336">
        <v>0</v>
      </c>
      <c r="QL77" s="336">
        <v>0</v>
      </c>
      <c r="QM77" s="336">
        <v>0</v>
      </c>
      <c r="QN77" s="336">
        <v>0</v>
      </c>
      <c r="QO77" s="336">
        <v>0</v>
      </c>
      <c r="QP77" s="336">
        <v>0</v>
      </c>
      <c r="QQ77" s="336">
        <v>0</v>
      </c>
      <c r="QR77" s="336">
        <v>0</v>
      </c>
      <c r="QS77" s="336">
        <v>0</v>
      </c>
      <c r="QT77" s="336">
        <v>0</v>
      </c>
      <c r="QU77" s="336">
        <v>0</v>
      </c>
      <c r="QV77" s="336">
        <v>0</v>
      </c>
      <c r="QW77" s="336">
        <v>0</v>
      </c>
      <c r="QX77" s="336">
        <v>0</v>
      </c>
      <c r="QY77" s="336">
        <v>0</v>
      </c>
      <c r="QZ77" s="336">
        <v>0</v>
      </c>
      <c r="RA77" s="336">
        <v>0</v>
      </c>
      <c r="RB77" s="336">
        <v>0</v>
      </c>
      <c r="RC77" s="336">
        <v>0</v>
      </c>
      <c r="RD77" s="336">
        <v>0</v>
      </c>
      <c r="RE77" s="336">
        <v>0</v>
      </c>
      <c r="RF77" s="336">
        <v>0</v>
      </c>
      <c r="RG77" s="336">
        <v>0</v>
      </c>
      <c r="RH77" s="336">
        <v>0</v>
      </c>
      <c r="RI77" s="336">
        <v>0</v>
      </c>
      <c r="RJ77" s="336">
        <v>0</v>
      </c>
      <c r="RK77" s="336">
        <v>0</v>
      </c>
      <c r="RL77" s="336">
        <v>0</v>
      </c>
      <c r="RM77" s="336">
        <v>0</v>
      </c>
      <c r="RN77" s="336">
        <v>0</v>
      </c>
      <c r="RO77" s="336">
        <v>0</v>
      </c>
      <c r="RP77" s="336">
        <v>0</v>
      </c>
      <c r="RQ77" s="336">
        <v>0</v>
      </c>
      <c r="RR77" s="336">
        <v>0</v>
      </c>
      <c r="RS77" s="336">
        <v>0</v>
      </c>
      <c r="RT77" s="336">
        <v>0</v>
      </c>
      <c r="RU77" s="336">
        <v>0</v>
      </c>
      <c r="RV77" s="336">
        <v>0</v>
      </c>
      <c r="RW77" s="336">
        <v>0</v>
      </c>
      <c r="RX77" s="336">
        <v>0</v>
      </c>
      <c r="RY77" s="336">
        <v>0</v>
      </c>
      <c r="RZ77" s="336">
        <v>0</v>
      </c>
      <c r="SA77" s="336">
        <v>0</v>
      </c>
      <c r="SB77" s="336">
        <v>0</v>
      </c>
      <c r="SC77" s="336">
        <v>0</v>
      </c>
      <c r="SD77" s="336">
        <v>0</v>
      </c>
      <c r="SE77" s="336">
        <v>0</v>
      </c>
      <c r="SF77" s="336">
        <v>0</v>
      </c>
      <c r="SG77" s="336">
        <v>0</v>
      </c>
      <c r="SH77" s="336">
        <v>0</v>
      </c>
      <c r="SI77" s="336">
        <v>0</v>
      </c>
      <c r="SJ77" s="336">
        <v>0</v>
      </c>
      <c r="SK77" s="336">
        <v>0</v>
      </c>
      <c r="SL77" s="336">
        <v>0</v>
      </c>
      <c r="SM77" s="336">
        <v>0</v>
      </c>
      <c r="SN77" s="336">
        <v>0</v>
      </c>
      <c r="SO77" s="336">
        <v>0</v>
      </c>
      <c r="SP77" s="336">
        <v>0</v>
      </c>
      <c r="SQ77" s="336">
        <v>0</v>
      </c>
      <c r="SR77" s="336">
        <v>0</v>
      </c>
      <c r="SS77" s="336">
        <v>0</v>
      </c>
      <c r="ST77" s="336">
        <v>0</v>
      </c>
      <c r="SU77" s="336">
        <v>0</v>
      </c>
      <c r="SV77" s="336">
        <v>0</v>
      </c>
      <c r="SW77" s="336">
        <v>0</v>
      </c>
      <c r="SX77" s="336">
        <v>0</v>
      </c>
      <c r="SY77" s="336">
        <v>0</v>
      </c>
      <c r="SZ77" s="336" t="s">
        <v>1420</v>
      </c>
      <c r="TA77" s="336" t="s">
        <v>1420</v>
      </c>
      <c r="TB77" s="336" t="s">
        <v>1420</v>
      </c>
      <c r="TC77" s="336">
        <v>0</v>
      </c>
      <c r="TD77" s="336">
        <v>0</v>
      </c>
      <c r="TE77" s="336">
        <v>0</v>
      </c>
      <c r="TF77" s="336">
        <v>0</v>
      </c>
      <c r="TG77" s="336">
        <v>0</v>
      </c>
      <c r="TH77" s="336">
        <v>0</v>
      </c>
      <c r="TI77" s="336">
        <v>0</v>
      </c>
      <c r="TJ77" s="336">
        <v>0</v>
      </c>
      <c r="TK77" s="336">
        <v>0</v>
      </c>
      <c r="TL77" s="336">
        <v>0</v>
      </c>
      <c r="TM77" s="336">
        <v>0</v>
      </c>
      <c r="TN77" s="336">
        <v>0</v>
      </c>
      <c r="TO77" s="336">
        <v>107638</v>
      </c>
      <c r="TP77" s="336">
        <v>0</v>
      </c>
      <c r="TQ77" s="336">
        <v>0</v>
      </c>
      <c r="TR77" s="336">
        <v>0</v>
      </c>
      <c r="TS77" s="336">
        <v>0</v>
      </c>
      <c r="TT77" s="336">
        <v>0</v>
      </c>
      <c r="TU77" s="336">
        <v>0</v>
      </c>
      <c r="TV77" s="336">
        <v>0</v>
      </c>
      <c r="TW77" s="336">
        <v>0</v>
      </c>
      <c r="TX77" s="336">
        <v>0</v>
      </c>
      <c r="TY77" s="336">
        <v>0</v>
      </c>
      <c r="TZ77" s="336">
        <v>0</v>
      </c>
      <c r="UA77" s="336">
        <v>0</v>
      </c>
      <c r="UB77" s="336">
        <v>0</v>
      </c>
      <c r="UC77" s="336">
        <v>0</v>
      </c>
      <c r="UD77" s="336">
        <v>0</v>
      </c>
      <c r="UE77" s="336">
        <v>0</v>
      </c>
      <c r="UF77" s="336">
        <v>0</v>
      </c>
      <c r="UG77" s="336">
        <v>0</v>
      </c>
      <c r="UH77" s="336">
        <v>10598860</v>
      </c>
      <c r="UI77" s="336">
        <v>2138405</v>
      </c>
      <c r="UJ77" s="336">
        <v>10357493</v>
      </c>
      <c r="UK77" s="336">
        <v>0</v>
      </c>
      <c r="UL77" s="336">
        <v>16332345</v>
      </c>
      <c r="UM77" s="336">
        <v>0</v>
      </c>
      <c r="UN77" s="336">
        <v>-16427</v>
      </c>
      <c r="UO77" s="336">
        <v>1188410</v>
      </c>
      <c r="UP77" s="336">
        <v>1086680</v>
      </c>
      <c r="UQ77" s="336">
        <v>0</v>
      </c>
      <c r="UR77"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0</v>
      </c>
      <c r="US77" s="338">
        <f>SUM(Input[[#This Row],[Oth Exp E&amp;G]],Input[[#This Row],[Oth Exp Desg]],Input[[#This Row],[Oth Exp Aux]],Input[[#This Row],[Oth Exp R Exp]],Input[[#This Row],[Oth Exp Loan]],Input[[#This Row],[Oth Exp Annuity]],Input[[#This Row],[Oth Exp Unexp]],Input[[#This Row],[Oth Exp R of Ind]],Input[[#This Row],[Oth Exp Inv in P]])</f>
        <v>0</v>
      </c>
      <c r="UT77" s="336">
        <v>0</v>
      </c>
      <c r="UU77" s="336">
        <v>0</v>
      </c>
      <c r="UV77" s="339" t="s">
        <v>1455</v>
      </c>
      <c r="UW77" s="340">
        <v>7137435296</v>
      </c>
      <c r="UX77" s="339" t="s">
        <v>1456</v>
      </c>
      <c r="UY77" s="339" t="s">
        <v>1457</v>
      </c>
      <c r="UZ77" s="340">
        <v>7137431533</v>
      </c>
      <c r="VA77" s="339" t="s">
        <v>1460</v>
      </c>
      <c r="VB77" s="341" cm="1">
        <f t="array" ref="VB77">IFERROR(_xlfn.IFS(Input[[#This Row],[Type]]="HRI",VLOOKUP(Input[[#This Row],[Institution Name]],FTSEHRI[],9,FALSE),Input[[#This Row],[Type]]="UNIV",VLOOKUP(Input[[#This Row],[Institution Name]],FTSEUNIV[],9,FALSE),OR(Input[[#This Row],[Type]]="TSTC",Input[[#This Row],[Type]]="LSC"),VLOOKUP(Input[[#This Row],[Institution Name]],FTSETSTC[],8,FALSE)),"N/A")</f>
        <v>171</v>
      </c>
      <c r="VC77" s="342" t="str" cm="1">
        <f t="array" ref="VC77">IFERROR(_xlfn.IFS(Input[[#This Row],[Type]]="HRI",VLOOKUP(Input[[#This Row],[Institution Name]],FTSEHRI[],11,FALSE),Input[[#This Row],[Type]]="UNIV",VLOOKUP(Input[[#This Row],[Institution Name]],FTSEUNIV[],11,FALSE),Input[[#This Row],[Type]]="TSTC",VLOOKUP(Input[[#This Row],[Institution Name]],FTSETSTC[],10,FALSE)),"N/A")</f>
        <v>N/A</v>
      </c>
      <c r="VD77"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20278039</v>
      </c>
      <c r="VE77"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77" s="338">
        <f>SUM(Input[[#This Row],[Fed G&amp;C E&amp;G]],Input[[#This Row],[Fed G&amp;C Desg]],Input[[#This Row],[Fed G&amp;C R Exp]],Input[[#This Row],[Fed G&amp;C Loan]],Input[[#This Row],[Fed G&amp;C Annuity]],Input[[#This Row],[Fed G&amp;C Unexp]],Input[[#This Row],[Fed G&amp;C R of Ind]],Input[[#This Row],[Fed G&amp;C Inv in P]])</f>
        <v>397544</v>
      </c>
      <c r="VG77"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16377633</v>
      </c>
      <c r="VH77"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3413454</v>
      </c>
      <c r="VI77"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677899</v>
      </c>
      <c r="VJ77" s="338">
        <f>SUM(Input[[#This Row],[Oth Inc E&amp;G]],Input[[#This Row],[Oth Exp Desg]],Input[[#This Row],[Oth Exp R Exp]],Input[[#This Row],[Oth Exp Loan]],Input[[#This Row],[Oth Exp Annuity]],Input[[#This Row],[Oth Exp Unexp]],Input[[#This Row],[Oth Exp R of Ind]],Input[[#This Row],[Oth Exp Inv in P]])</f>
        <v>0</v>
      </c>
      <c r="VK77" s="343">
        <f>SUM(Input[[#This Row],[Instr E&amp;G]],Input[[#This Row],[Instr Desg]],Input[[#This Row],[Instr R Exp]],Input[[#This Row],[Instr Loan]],Input[[#This Row],[Instr Annuity]],Input[[#This Row],[Instr Unexp]],Input[[#This Row],[Instr R of Ind]],Input[[#This Row],[Instr Inv in P]])</f>
        <v>10598860</v>
      </c>
      <c r="VL77" s="343">
        <f>SUM(Input[[#This Row],[Res E&amp;G]],Input[[#This Row],[Res Desg]],Input[[#This Row],[Res R Exp]],Input[[#This Row],[Res Loan]],Input[[#This Row],[Res Annuity]],Input[[#This Row],[Res Unexp]],Input[[#This Row],[Res R of Ind]],Input[[#This Row],[Res Inv in P]])</f>
        <v>2138405</v>
      </c>
      <c r="VM77" s="343">
        <f>SUM(Input[[#This Row],[Acad Sup E&amp;G]],Input[[#This Row],[Acad Sup Desg]],Input[[#This Row],[Acad Sup R Exp]],Input[[#This Row],[Acad Sup Loan]],Input[[#This Row],[Acad Sup Annuity]],Input[[#This Row],[Acad Sup Unexp]],Input[[#This Row],[Acad Sup R of Ind]],Input[[#This Row],[Acad Sup Inv in P]])</f>
        <v>16332345</v>
      </c>
      <c r="VN77" s="343">
        <f>SUM(Input[[#This Row],[Stu Svc E&amp;G]],Input[[#This Row],[Stu Svc Desg]],Input[[#This Row],[Stu Svc R Exp]],Input[[#This Row],[Stu Svc Loan]],Input[[#This Row],[Stu Svc Annuity]],Input[[#This Row],[Stu Svc Unexp]],Input[[#This Row],[Stu Svc R of Ind]],Input[[#This Row],[Stu Svc Inv in P]])</f>
        <v>0</v>
      </c>
      <c r="VO77" s="343">
        <f>SUM(Input[[#This Row],[Inst. Spt E&amp;G]],Input[[#This Row],[Inst. Spt Desg]],Input[[#This Row],[Inst. Spt R Exp]],Input[[#This Row],[Inst. Spt Loan]],Input[[#This Row],[Inst. Spt Annuity]],Input[[#This Row],[Inst. Spt Unexp]],Input[[#This Row],[Inst. Spt R of Ind]],Input[[#This Row],[Inst. Spt Inv in P]])</f>
        <v>-16427</v>
      </c>
      <c r="VP77" s="343">
        <f>SUM(Input[[#This Row],[M&amp;O Plnt E&amp;G]],Input[[#This Row],[M&amp;O Plnt Desg]],Input[[#This Row],[M&amp;O Plnt R Exp]],Input[[#This Row],[M&amp;O Plnt Loan]],Input[[#This Row],[M&amp;O Plnt Annuity]],Input[[#This Row],[M&amp;O Plnt Unexp]],Input[[#This Row],[M&amp;O Plnt R of Ind]],Input[[#This Row],[M&amp;O Plnt Inv in P]])</f>
        <v>1188410</v>
      </c>
      <c r="VQ77" s="343">
        <f>SUM(Input[[#This Row],[Schl &amp; Fell E&amp;G]],Input[[#This Row],[Schl &amp; Fell Desg]],Input[[#This Row],[Schl &amp; Fell R Exp]],Input[[#This Row],[Schl &amp; Fell Loan]],Input[[#This Row],[Schl &amp; Fell Annuity]],Input[[#This Row],[Schl &amp; Fell Unexp]],Input[[#This Row],[Schl &amp; Fell R of Ind]],Input[[#This Row],[Schl &amp; Fell Inv in P]])</f>
        <v>1086680</v>
      </c>
      <c r="VR77" s="343">
        <f>SUM(Input[[#This Row],[Cap Out fund E&amp;G]],Input[[#This Row],[Cap Out fund Desg]],Input[[#This Row],[Cap Out fund R Exp]],Input[[#This Row],[Cap Out fund Loan]],Input[[#This Row],[Cap Out fund Annuity]],Input[[#This Row],[Cap Out fund Unexp]],Input[[#This Row],[Cap Out fund R of Ind]],Input[[#This Row],[Cap Out fund Inv in P]])</f>
        <v>0</v>
      </c>
      <c r="VS77" s="343">
        <f>SUM(Input[[#This Row],[Oth Exp E&amp;G]],Input[[#This Row],[Oth Exp Desg]],Input[[#This Row],[Oth Exp R Exp]],Input[[#This Row],[Oth Exp Loan]],Input[[#This Row],[Oth Exp Annuity]],Input[[#This Row],[Oth Exp Unexp]],Input[[#This Row],[Oth Exp R of Ind]],Input[[#This Row],[Oth Exp Inv in P]],Input[[#This Row],[Oth Exp Inv in P]])</f>
        <v>0</v>
      </c>
    </row>
    <row r="78" spans="1:591" s="344" customFormat="1" ht="27" customHeight="1" x14ac:dyDescent="0.55000000000000004">
      <c r="A78" s="339" t="s">
        <v>709</v>
      </c>
      <c r="B78" s="334" t="s">
        <v>828</v>
      </c>
      <c r="C78" s="334" t="s">
        <v>1624</v>
      </c>
      <c r="D78" s="334" t="s">
        <v>710</v>
      </c>
      <c r="E78" s="334" t="s">
        <v>1622</v>
      </c>
      <c r="F78" s="335">
        <v>11721</v>
      </c>
      <c r="G78" s="336">
        <v>60362955</v>
      </c>
      <c r="H78" s="336">
        <v>0</v>
      </c>
      <c r="I78" s="336">
        <v>0</v>
      </c>
      <c r="J78" s="336">
        <v>0</v>
      </c>
      <c r="K78" s="336">
        <v>0</v>
      </c>
      <c r="L78" s="336">
        <v>0</v>
      </c>
      <c r="M78" s="336">
        <v>0</v>
      </c>
      <c r="N78" s="336">
        <v>0</v>
      </c>
      <c r="O78" s="336">
        <v>0</v>
      </c>
      <c r="P78" s="336">
        <v>1420</v>
      </c>
      <c r="Q78" s="336">
        <v>0</v>
      </c>
      <c r="R78" s="336">
        <v>0</v>
      </c>
      <c r="S78" s="336">
        <v>0</v>
      </c>
      <c r="T78" s="336">
        <v>0</v>
      </c>
      <c r="U78" s="336">
        <v>0</v>
      </c>
      <c r="V78" s="336">
        <v>0</v>
      </c>
      <c r="W78" s="336">
        <v>0</v>
      </c>
      <c r="X78" s="336">
        <v>0</v>
      </c>
      <c r="Y78" s="336">
        <v>0</v>
      </c>
      <c r="Z78" s="336">
        <v>0</v>
      </c>
      <c r="AA78" s="336">
        <v>0</v>
      </c>
      <c r="AB78" s="336">
        <v>0</v>
      </c>
      <c r="AC78" s="336">
        <v>0</v>
      </c>
      <c r="AD78" s="336">
        <v>0</v>
      </c>
      <c r="AE78" s="336">
        <v>0</v>
      </c>
      <c r="AF78" s="336">
        <v>0</v>
      </c>
      <c r="AG78" s="336">
        <v>0</v>
      </c>
      <c r="AH78" s="336">
        <v>0</v>
      </c>
      <c r="AI78" s="336">
        <v>0</v>
      </c>
      <c r="AJ78" s="336">
        <v>0</v>
      </c>
      <c r="AK78" s="336">
        <v>0</v>
      </c>
      <c r="AL78" s="336">
        <v>0</v>
      </c>
      <c r="AM78" s="336">
        <v>0</v>
      </c>
      <c r="AN78" s="336">
        <v>0</v>
      </c>
      <c r="AO78" s="336">
        <v>0</v>
      </c>
      <c r="AP78" s="336">
        <v>0</v>
      </c>
      <c r="AQ78" s="336">
        <v>0</v>
      </c>
      <c r="AR78" s="336">
        <v>0</v>
      </c>
      <c r="AS78" s="336">
        <v>0</v>
      </c>
      <c r="AT78" s="336">
        <v>0</v>
      </c>
      <c r="AU78" s="336">
        <v>0</v>
      </c>
      <c r="AV78" s="336">
        <v>0</v>
      </c>
      <c r="AW78" s="336">
        <v>0</v>
      </c>
      <c r="AX78" s="336">
        <v>0</v>
      </c>
      <c r="AY78" s="336">
        <v>0</v>
      </c>
      <c r="AZ78" s="336">
        <v>0</v>
      </c>
      <c r="BA78" s="336">
        <v>0</v>
      </c>
      <c r="BB78" s="336">
        <v>0</v>
      </c>
      <c r="BC78" s="336">
        <v>0</v>
      </c>
      <c r="BD78" s="336">
        <v>0</v>
      </c>
      <c r="BE78" s="336">
        <v>0</v>
      </c>
      <c r="BF78" s="336">
        <v>0</v>
      </c>
      <c r="BG78" s="336">
        <v>0</v>
      </c>
      <c r="BH78" s="336">
        <v>0</v>
      </c>
      <c r="BI78" s="336">
        <v>0</v>
      </c>
      <c r="BJ78" s="336">
        <v>0</v>
      </c>
      <c r="BK78" s="336">
        <v>0</v>
      </c>
      <c r="BL78" s="336">
        <v>0</v>
      </c>
      <c r="BM78" s="336">
        <v>0</v>
      </c>
      <c r="BN78" s="336">
        <v>0</v>
      </c>
      <c r="BO78" s="336">
        <v>0</v>
      </c>
      <c r="BP78" s="336">
        <v>0</v>
      </c>
      <c r="BQ78" s="336">
        <v>0</v>
      </c>
      <c r="BR78" s="336">
        <v>0</v>
      </c>
      <c r="BS78" s="336">
        <v>0</v>
      </c>
      <c r="BT78" s="336">
        <v>0</v>
      </c>
      <c r="BU78" s="336">
        <v>0</v>
      </c>
      <c r="BV78" s="336">
        <v>0</v>
      </c>
      <c r="BW78" s="336">
        <v>0</v>
      </c>
      <c r="BX78" s="336">
        <v>0</v>
      </c>
      <c r="BY78" s="336">
        <v>0</v>
      </c>
      <c r="BZ78" s="336">
        <v>0</v>
      </c>
      <c r="CA78" s="336">
        <v>0</v>
      </c>
      <c r="CB78" s="336">
        <v>0</v>
      </c>
      <c r="CC78" s="336">
        <v>0</v>
      </c>
      <c r="CD78" s="336">
        <v>0</v>
      </c>
      <c r="CE78" s="336">
        <v>0</v>
      </c>
      <c r="CF78" s="336">
        <v>0</v>
      </c>
      <c r="CG78" s="336">
        <v>0</v>
      </c>
      <c r="CH78" s="336">
        <v>0</v>
      </c>
      <c r="CI78" s="336">
        <v>0</v>
      </c>
      <c r="CJ78" s="336">
        <v>0</v>
      </c>
      <c r="CK78" s="336">
        <v>0</v>
      </c>
      <c r="CL78" s="336">
        <v>0</v>
      </c>
      <c r="CM78" s="336">
        <v>0</v>
      </c>
      <c r="CN78" s="336">
        <v>0</v>
      </c>
      <c r="CO78" s="336">
        <v>0</v>
      </c>
      <c r="CP78" s="336">
        <v>0</v>
      </c>
      <c r="CQ78" s="336">
        <v>0</v>
      </c>
      <c r="CR78" s="336">
        <v>0</v>
      </c>
      <c r="CS78" s="336">
        <v>0</v>
      </c>
      <c r="CT78" s="336">
        <v>0</v>
      </c>
      <c r="CU78" s="336">
        <v>0</v>
      </c>
      <c r="CV78" s="336">
        <v>0</v>
      </c>
      <c r="CW78" s="336">
        <v>0</v>
      </c>
      <c r="CX78" s="336">
        <v>0</v>
      </c>
      <c r="CY78" s="336">
        <v>0</v>
      </c>
      <c r="CZ78" s="336">
        <v>0</v>
      </c>
      <c r="DA78" s="336">
        <v>0</v>
      </c>
      <c r="DB78" s="336">
        <v>0</v>
      </c>
      <c r="DC78" s="336">
        <v>0</v>
      </c>
      <c r="DD78" s="336">
        <v>0</v>
      </c>
      <c r="DE78" s="336">
        <v>0</v>
      </c>
      <c r="DF78" s="336">
        <v>0</v>
      </c>
      <c r="DG78" s="336">
        <v>0</v>
      </c>
      <c r="DH78" s="336">
        <v>0</v>
      </c>
      <c r="DI78" s="336">
        <v>0</v>
      </c>
      <c r="DJ78" s="336">
        <v>0</v>
      </c>
      <c r="DK78" s="336">
        <v>0</v>
      </c>
      <c r="DL78" s="336">
        <v>0</v>
      </c>
      <c r="DM78" s="336">
        <v>0</v>
      </c>
      <c r="DN78" s="336">
        <v>0</v>
      </c>
      <c r="DO78" s="336">
        <v>0</v>
      </c>
      <c r="DP78" s="336">
        <v>0</v>
      </c>
      <c r="DQ78" s="336">
        <v>0</v>
      </c>
      <c r="DR78" s="336">
        <v>0</v>
      </c>
      <c r="DS78" s="336">
        <v>0</v>
      </c>
      <c r="DT78" s="336">
        <v>0</v>
      </c>
      <c r="DU78" s="336">
        <v>0</v>
      </c>
      <c r="DV78" s="336">
        <v>0</v>
      </c>
      <c r="DW78" s="336">
        <v>0</v>
      </c>
      <c r="DX78" s="336">
        <v>0</v>
      </c>
      <c r="DY78" s="336">
        <v>0</v>
      </c>
      <c r="DZ78" s="336">
        <v>0</v>
      </c>
      <c r="EA78" s="336">
        <v>0</v>
      </c>
      <c r="EB78" s="336">
        <v>0</v>
      </c>
      <c r="EC78" s="336">
        <v>0</v>
      </c>
      <c r="ED78" s="336">
        <v>0</v>
      </c>
      <c r="EE78" s="336">
        <v>0</v>
      </c>
      <c r="EF78" s="336">
        <v>0</v>
      </c>
      <c r="EG78" s="336">
        <v>0</v>
      </c>
      <c r="EH78" s="336">
        <v>0</v>
      </c>
      <c r="EI78" s="336">
        <v>0</v>
      </c>
      <c r="EJ78" s="336">
        <v>0</v>
      </c>
      <c r="EK78" s="336">
        <v>0</v>
      </c>
      <c r="EL78" s="336">
        <v>0</v>
      </c>
      <c r="EM78" s="336">
        <v>0</v>
      </c>
      <c r="EN78" s="336">
        <v>0</v>
      </c>
      <c r="EO78" s="336">
        <v>0</v>
      </c>
      <c r="EP78" s="336">
        <v>0</v>
      </c>
      <c r="EQ78" s="336">
        <v>0</v>
      </c>
      <c r="ER78" s="336">
        <v>0</v>
      </c>
      <c r="ES78" s="336">
        <v>0</v>
      </c>
      <c r="ET78" s="336">
        <v>0</v>
      </c>
      <c r="EU78" s="336">
        <v>0</v>
      </c>
      <c r="EV78" s="336">
        <v>0</v>
      </c>
      <c r="EW78" s="336">
        <v>0</v>
      </c>
      <c r="EX78" s="336">
        <v>0</v>
      </c>
      <c r="EY78" s="336">
        <v>0</v>
      </c>
      <c r="EZ78" s="336">
        <v>0</v>
      </c>
      <c r="FA78" s="336">
        <v>0</v>
      </c>
      <c r="FB78" s="336">
        <v>0</v>
      </c>
      <c r="FC78" s="336">
        <v>0</v>
      </c>
      <c r="FD78" s="336">
        <v>0</v>
      </c>
      <c r="FE78" s="336">
        <v>0</v>
      </c>
      <c r="FF78" s="336">
        <v>0</v>
      </c>
      <c r="FG78" s="336">
        <v>0</v>
      </c>
      <c r="FH78" s="336">
        <v>0</v>
      </c>
      <c r="FI78" s="336">
        <v>0</v>
      </c>
      <c r="FJ78" s="336">
        <v>0</v>
      </c>
      <c r="FK78" s="336">
        <v>0</v>
      </c>
      <c r="FL78" s="336">
        <v>0</v>
      </c>
      <c r="FM78" s="336">
        <v>0</v>
      </c>
      <c r="FN78" s="336">
        <v>0</v>
      </c>
      <c r="FO78" s="336">
        <v>0</v>
      </c>
      <c r="FP78" s="336">
        <v>0</v>
      </c>
      <c r="FQ78" s="336">
        <v>0</v>
      </c>
      <c r="FR78" s="336">
        <v>0</v>
      </c>
      <c r="FS78" s="336">
        <v>0</v>
      </c>
      <c r="FT78" s="336">
        <v>0</v>
      </c>
      <c r="FU78" s="336">
        <v>0</v>
      </c>
      <c r="FV78" s="336">
        <v>0</v>
      </c>
      <c r="FW78" s="336">
        <v>0</v>
      </c>
      <c r="FX78" s="336">
        <v>0</v>
      </c>
      <c r="FY78" s="336">
        <v>0</v>
      </c>
      <c r="FZ78" s="336">
        <v>0</v>
      </c>
      <c r="GA78" s="336">
        <v>0</v>
      </c>
      <c r="GB78" s="336">
        <v>0</v>
      </c>
      <c r="GC78" s="336">
        <v>0</v>
      </c>
      <c r="GD78" s="336">
        <v>0</v>
      </c>
      <c r="GE78" s="336">
        <v>0</v>
      </c>
      <c r="GF78" s="336">
        <v>0</v>
      </c>
      <c r="GG78" s="336">
        <v>0</v>
      </c>
      <c r="GH78" s="336">
        <v>0</v>
      </c>
      <c r="GI78" s="336">
        <v>0</v>
      </c>
      <c r="GJ78" s="336">
        <v>0</v>
      </c>
      <c r="GK78" s="336">
        <v>0</v>
      </c>
      <c r="GL78" s="336">
        <v>0</v>
      </c>
      <c r="GM78" s="336">
        <v>0</v>
      </c>
      <c r="GN78" s="336">
        <v>0</v>
      </c>
      <c r="GO78" s="336">
        <v>0</v>
      </c>
      <c r="GP78" s="336">
        <v>0</v>
      </c>
      <c r="GQ78" s="336">
        <v>0</v>
      </c>
      <c r="GR78" s="336">
        <v>0</v>
      </c>
      <c r="GS78" s="336">
        <v>0</v>
      </c>
      <c r="GT78" s="336">
        <v>0</v>
      </c>
      <c r="GU78" s="336">
        <v>0</v>
      </c>
      <c r="GV78" s="336">
        <v>0</v>
      </c>
      <c r="GW78" s="336">
        <v>0</v>
      </c>
      <c r="GX78" s="336">
        <v>0</v>
      </c>
      <c r="GY78" s="336">
        <v>0</v>
      </c>
      <c r="GZ78" s="336">
        <v>0</v>
      </c>
      <c r="HA78" s="336">
        <v>0</v>
      </c>
      <c r="HB78" s="336">
        <v>0</v>
      </c>
      <c r="HC78" s="336">
        <v>0</v>
      </c>
      <c r="HD78" s="336">
        <v>0</v>
      </c>
      <c r="HE78" s="336">
        <v>0</v>
      </c>
      <c r="HF78" s="336">
        <v>0</v>
      </c>
      <c r="HG78" s="336">
        <v>0</v>
      </c>
      <c r="HH78" s="336">
        <v>0</v>
      </c>
      <c r="HI78" s="336">
        <v>0</v>
      </c>
      <c r="HJ78" s="336">
        <v>0</v>
      </c>
      <c r="HK78" s="336">
        <v>0</v>
      </c>
      <c r="HL78" s="336">
        <v>0</v>
      </c>
      <c r="HM78" s="336">
        <v>0</v>
      </c>
      <c r="HN78" s="336">
        <v>0</v>
      </c>
      <c r="HO78" s="336">
        <v>0</v>
      </c>
      <c r="HP78" s="336">
        <v>0</v>
      </c>
      <c r="HQ78" s="336">
        <v>0</v>
      </c>
      <c r="HR78" s="336">
        <v>243674</v>
      </c>
      <c r="HS78" s="336">
        <v>0</v>
      </c>
      <c r="HT78" s="336">
        <v>0</v>
      </c>
      <c r="HU78" s="336">
        <v>0</v>
      </c>
      <c r="HV78" s="336">
        <v>0</v>
      </c>
      <c r="HW78" s="336">
        <v>0</v>
      </c>
      <c r="HX78" s="336">
        <v>0</v>
      </c>
      <c r="HY78" s="336">
        <v>0</v>
      </c>
      <c r="HZ78" s="336">
        <v>0</v>
      </c>
      <c r="IA78" s="336">
        <v>0</v>
      </c>
      <c r="IB78" s="336">
        <v>0</v>
      </c>
      <c r="IC78" s="336">
        <v>0</v>
      </c>
      <c r="ID78" s="336">
        <v>0</v>
      </c>
      <c r="IE78" s="336">
        <v>0</v>
      </c>
      <c r="IF78" s="336">
        <v>0</v>
      </c>
      <c r="IG78" s="336">
        <v>0</v>
      </c>
      <c r="IH78" s="336">
        <v>0</v>
      </c>
      <c r="II78" s="336">
        <v>0</v>
      </c>
      <c r="IJ78" s="336">
        <v>0</v>
      </c>
      <c r="IK78" s="336">
        <v>0</v>
      </c>
      <c r="IL78" s="336">
        <v>0</v>
      </c>
      <c r="IM78" s="336">
        <v>0</v>
      </c>
      <c r="IN78" s="336">
        <v>0</v>
      </c>
      <c r="IO78" s="336">
        <v>0</v>
      </c>
      <c r="IP78" s="336">
        <v>9346</v>
      </c>
      <c r="IQ78" s="336">
        <v>747128</v>
      </c>
      <c r="IR78" s="336">
        <v>0</v>
      </c>
      <c r="IS78" s="336">
        <v>1</v>
      </c>
      <c r="IT78" s="336">
        <v>0</v>
      </c>
      <c r="IU78" s="336">
        <v>7649385</v>
      </c>
      <c r="IV78" s="336">
        <v>18671092</v>
      </c>
      <c r="IW78" s="336">
        <v>93758</v>
      </c>
      <c r="IX78" s="336">
        <v>0</v>
      </c>
      <c r="IY78" s="336">
        <v>0</v>
      </c>
      <c r="IZ78" s="336">
        <v>0</v>
      </c>
      <c r="JA78" s="336">
        <v>0</v>
      </c>
      <c r="JB78" s="336">
        <v>0</v>
      </c>
      <c r="JC78" s="336">
        <v>0</v>
      </c>
      <c r="JD78" s="336">
        <v>0</v>
      </c>
      <c r="JE78" s="336">
        <v>0</v>
      </c>
      <c r="JF78" s="336">
        <v>0</v>
      </c>
      <c r="JG78" s="336">
        <v>0</v>
      </c>
      <c r="JH78" s="336">
        <v>0</v>
      </c>
      <c r="JI78" s="336">
        <v>0</v>
      </c>
      <c r="JJ78" s="336">
        <v>0</v>
      </c>
      <c r="JK78" s="336">
        <v>-184623</v>
      </c>
      <c r="JL78" s="336">
        <v>0</v>
      </c>
      <c r="JM78" s="336">
        <v>0</v>
      </c>
      <c r="JN78" s="336">
        <v>0</v>
      </c>
      <c r="JO78" s="336">
        <v>0</v>
      </c>
      <c r="JP78" s="336">
        <v>0</v>
      </c>
      <c r="JQ78" s="336">
        <v>0</v>
      </c>
      <c r="JR78" s="336">
        <v>60187</v>
      </c>
      <c r="JS78" s="336">
        <v>0</v>
      </c>
      <c r="JT78" s="336">
        <v>0</v>
      </c>
      <c r="JU78" s="336">
        <v>0</v>
      </c>
      <c r="JV78" s="336">
        <v>0</v>
      </c>
      <c r="JW78" s="336">
        <v>0</v>
      </c>
      <c r="JX78" s="336">
        <v>0</v>
      </c>
      <c r="JY78" s="336">
        <v>0</v>
      </c>
      <c r="JZ78" s="336">
        <v>0</v>
      </c>
      <c r="KA78" s="336">
        <v>0</v>
      </c>
      <c r="KB78" s="336">
        <v>0</v>
      </c>
      <c r="KC78" s="336">
        <v>0</v>
      </c>
      <c r="KD78" s="336">
        <v>0</v>
      </c>
      <c r="KE78" s="336">
        <v>0</v>
      </c>
      <c r="KF78" s="336">
        <v>0</v>
      </c>
      <c r="KG78" s="336">
        <v>0</v>
      </c>
      <c r="KH78" s="336">
        <v>0</v>
      </c>
      <c r="KI78" s="336">
        <v>0</v>
      </c>
      <c r="KJ78" s="336">
        <v>4447031</v>
      </c>
      <c r="KK78" s="336">
        <v>0</v>
      </c>
      <c r="KL78" s="336">
        <v>3386574</v>
      </c>
      <c r="KM78" s="336">
        <v>0</v>
      </c>
      <c r="KN78" s="336">
        <v>0</v>
      </c>
      <c r="KO78" s="336">
        <v>2098545</v>
      </c>
      <c r="KP78" s="336">
        <v>0</v>
      </c>
      <c r="KQ78" s="336">
        <v>0</v>
      </c>
      <c r="KR78" s="336">
        <v>0</v>
      </c>
      <c r="KS78" s="336">
        <v>0</v>
      </c>
      <c r="KT78" s="336">
        <v>0</v>
      </c>
      <c r="KU78" s="336">
        <v>0</v>
      </c>
      <c r="KV78" s="336">
        <v>0</v>
      </c>
      <c r="KW78" s="336">
        <v>0</v>
      </c>
      <c r="KX78" s="336">
        <v>0</v>
      </c>
      <c r="KY78" s="336">
        <v>0</v>
      </c>
      <c r="KZ78" s="336">
        <v>0</v>
      </c>
      <c r="LA78" s="336">
        <v>32423</v>
      </c>
      <c r="LB78" s="336">
        <v>0</v>
      </c>
      <c r="LC78" s="336">
        <v>0</v>
      </c>
      <c r="LD78" s="336">
        <v>0</v>
      </c>
      <c r="LE78" s="336">
        <v>0</v>
      </c>
      <c r="LF78" s="336">
        <v>0</v>
      </c>
      <c r="LG78" s="336">
        <v>0</v>
      </c>
      <c r="LH78" s="336">
        <v>0</v>
      </c>
      <c r="LI78" s="336">
        <v>0</v>
      </c>
      <c r="LJ78" s="336">
        <v>0</v>
      </c>
      <c r="LK78" s="336">
        <v>0</v>
      </c>
      <c r="LL78" s="336">
        <v>0</v>
      </c>
      <c r="LM78" s="336">
        <v>944</v>
      </c>
      <c r="LN78" s="336">
        <v>0</v>
      </c>
      <c r="LO78" s="336">
        <v>0</v>
      </c>
      <c r="LP78" s="336">
        <v>0</v>
      </c>
      <c r="LQ78" s="336">
        <v>0</v>
      </c>
      <c r="LR78" s="336">
        <v>0</v>
      </c>
      <c r="LS78" s="336">
        <v>0</v>
      </c>
      <c r="LT78" s="336">
        <v>0</v>
      </c>
      <c r="LU78" s="336">
        <v>0</v>
      </c>
      <c r="LV78" s="336">
        <v>0</v>
      </c>
      <c r="LW78" s="336">
        <v>0</v>
      </c>
      <c r="LX78" s="336">
        <v>0</v>
      </c>
      <c r="LY78" s="336">
        <v>0</v>
      </c>
      <c r="LZ78" s="336">
        <v>0</v>
      </c>
      <c r="MA78" s="336">
        <v>0</v>
      </c>
      <c r="MB78" s="336">
        <v>246886</v>
      </c>
      <c r="MC78" s="336">
        <v>509049</v>
      </c>
      <c r="MD78" s="336">
        <v>0</v>
      </c>
      <c r="ME78" s="336">
        <v>0</v>
      </c>
      <c r="MF78" s="336">
        <v>0</v>
      </c>
      <c r="MG78" s="336">
        <v>0</v>
      </c>
      <c r="MH78" s="336">
        <v>0</v>
      </c>
      <c r="MI78" s="336">
        <v>0</v>
      </c>
      <c r="MJ78" s="336">
        <v>0</v>
      </c>
      <c r="MK78" s="336">
        <v>0</v>
      </c>
      <c r="ML78" s="336">
        <v>382139</v>
      </c>
      <c r="MM78" s="336">
        <v>0</v>
      </c>
      <c r="MN78" s="336">
        <v>0</v>
      </c>
      <c r="MO78" s="336">
        <v>0</v>
      </c>
      <c r="MP78" s="336">
        <v>0</v>
      </c>
      <c r="MQ78" s="336">
        <v>0</v>
      </c>
      <c r="MR78" s="336">
        <v>0</v>
      </c>
      <c r="MS78" s="336">
        <v>0</v>
      </c>
      <c r="MT78" s="336">
        <v>2023228</v>
      </c>
      <c r="MU78" s="336">
        <v>11072025</v>
      </c>
      <c r="MV78" s="336">
        <v>0</v>
      </c>
      <c r="MW78" s="336">
        <v>112699</v>
      </c>
      <c r="MX78" s="336">
        <v>0</v>
      </c>
      <c r="MY78" s="336">
        <v>0</v>
      </c>
      <c r="MZ78" s="336">
        <v>0</v>
      </c>
      <c r="NA78" s="336">
        <v>0</v>
      </c>
      <c r="NB78" s="336">
        <v>0</v>
      </c>
      <c r="NC78" s="336">
        <v>0</v>
      </c>
      <c r="ND78" s="336">
        <v>745996</v>
      </c>
      <c r="NE78" s="336">
        <v>0</v>
      </c>
      <c r="NF78" s="336">
        <v>0</v>
      </c>
      <c r="NG78" s="336">
        <v>0</v>
      </c>
      <c r="NH78" s="336">
        <v>0</v>
      </c>
      <c r="NI78" s="336">
        <v>0</v>
      </c>
      <c r="NJ78" s="336">
        <v>0</v>
      </c>
      <c r="NK78" s="336">
        <v>0</v>
      </c>
      <c r="NL78" s="336">
        <v>0</v>
      </c>
      <c r="NM78" s="336">
        <v>0</v>
      </c>
      <c r="NN78" s="336">
        <v>0</v>
      </c>
      <c r="NO78" s="336">
        <v>0</v>
      </c>
      <c r="NP78" s="336">
        <v>0</v>
      </c>
      <c r="NQ78" s="336">
        <v>0</v>
      </c>
      <c r="NR78" s="336">
        <v>0</v>
      </c>
      <c r="NS78" s="336">
        <v>0</v>
      </c>
      <c r="NT78" s="336">
        <v>0</v>
      </c>
      <c r="NU78" s="336">
        <v>0</v>
      </c>
      <c r="NV78" s="336">
        <v>0</v>
      </c>
      <c r="NW78" s="336">
        <v>0</v>
      </c>
      <c r="NX78" s="336">
        <v>0</v>
      </c>
      <c r="NY78" s="336">
        <v>0</v>
      </c>
      <c r="NZ78" s="336">
        <v>0</v>
      </c>
      <c r="OA78" s="336">
        <v>0</v>
      </c>
      <c r="OB78" s="336">
        <v>0</v>
      </c>
      <c r="OC78" s="336">
        <v>0</v>
      </c>
      <c r="OD78" s="336">
        <v>0</v>
      </c>
      <c r="OE78" s="336">
        <v>0</v>
      </c>
      <c r="OF78" s="336">
        <v>0</v>
      </c>
      <c r="OG78" s="336">
        <v>0</v>
      </c>
      <c r="OH78" s="336">
        <v>0</v>
      </c>
      <c r="OI78" s="336">
        <v>0</v>
      </c>
      <c r="OJ78" s="336">
        <v>0</v>
      </c>
      <c r="OK78" s="336">
        <v>0</v>
      </c>
      <c r="OL78" s="336">
        <v>0</v>
      </c>
      <c r="OM78" s="336">
        <v>56626</v>
      </c>
      <c r="ON78" s="336">
        <v>0</v>
      </c>
      <c r="OO78" s="336">
        <v>0</v>
      </c>
      <c r="OP78" s="336">
        <v>0</v>
      </c>
      <c r="OQ78" s="336">
        <v>0</v>
      </c>
      <c r="OR78" s="336">
        <v>5807254</v>
      </c>
      <c r="OS78" s="336">
        <v>0</v>
      </c>
      <c r="OT78" s="336">
        <v>0</v>
      </c>
      <c r="OU78" s="336">
        <v>0</v>
      </c>
      <c r="OV78" s="336">
        <v>0</v>
      </c>
      <c r="OW78" s="336">
        <v>0</v>
      </c>
      <c r="OX78" s="336">
        <v>0</v>
      </c>
      <c r="OY78" s="336">
        <v>0</v>
      </c>
      <c r="OZ78" s="336">
        <v>0</v>
      </c>
      <c r="PA78" s="336">
        <v>0</v>
      </c>
      <c r="PB78" s="336">
        <v>-361838</v>
      </c>
      <c r="PC78" s="336">
        <v>0</v>
      </c>
      <c r="PD78" s="336">
        <v>0</v>
      </c>
      <c r="PE78" s="336">
        <v>-57438476</v>
      </c>
      <c r="PF78" s="336">
        <v>-3576595</v>
      </c>
      <c r="PG78" s="336">
        <v>0</v>
      </c>
      <c r="PH78" s="336">
        <v>-2838079</v>
      </c>
      <c r="PI78" s="336">
        <v>0</v>
      </c>
      <c r="PJ78" s="336">
        <v>-1061291</v>
      </c>
      <c r="PK78" s="336">
        <v>-9640</v>
      </c>
      <c r="PL78" s="336">
        <v>8845700</v>
      </c>
      <c r="PM78" s="336">
        <v>3111425</v>
      </c>
      <c r="PN78" s="336">
        <v>0</v>
      </c>
      <c r="PO78" s="336">
        <v>0</v>
      </c>
      <c r="PP78" s="336">
        <v>0</v>
      </c>
      <c r="PQ78" s="336">
        <v>0</v>
      </c>
      <c r="PR78" s="336">
        <v>0</v>
      </c>
      <c r="PS78" s="336">
        <v>0</v>
      </c>
      <c r="PT78" s="336">
        <v>0</v>
      </c>
      <c r="PU78" s="336">
        <v>0</v>
      </c>
      <c r="PV78" s="336">
        <v>0</v>
      </c>
      <c r="PW78" s="336">
        <v>0</v>
      </c>
      <c r="PX78" s="336">
        <v>0</v>
      </c>
      <c r="PY78" s="336">
        <v>0</v>
      </c>
      <c r="PZ78" s="336">
        <v>0</v>
      </c>
      <c r="QA78" s="336">
        <v>0</v>
      </c>
      <c r="QB78" s="336">
        <v>0</v>
      </c>
      <c r="QC78" s="336">
        <v>0</v>
      </c>
      <c r="QD78" s="336">
        <v>-8836231</v>
      </c>
      <c r="QE78" s="336">
        <v>0</v>
      </c>
      <c r="QF78" s="336">
        <v>0</v>
      </c>
      <c r="QG78" s="336">
        <v>154722</v>
      </c>
      <c r="QH78" s="336">
        <v>0</v>
      </c>
      <c r="QI78" s="336">
        <v>0</v>
      </c>
      <c r="QJ78" s="336">
        <v>0</v>
      </c>
      <c r="QK78" s="336">
        <v>7904331</v>
      </c>
      <c r="QL78" s="336">
        <v>8648230</v>
      </c>
      <c r="QM78" s="336">
        <v>0</v>
      </c>
      <c r="QN78" s="336">
        <v>0</v>
      </c>
      <c r="QO78" s="336">
        <v>0</v>
      </c>
      <c r="QP78" s="336">
        <v>0</v>
      </c>
      <c r="QQ78" s="336">
        <v>0</v>
      </c>
      <c r="QR78" s="336">
        <v>0</v>
      </c>
      <c r="QS78" s="336">
        <v>0</v>
      </c>
      <c r="QT78" s="336">
        <v>0</v>
      </c>
      <c r="QU78" s="336">
        <v>0</v>
      </c>
      <c r="QV78" s="336">
        <v>0</v>
      </c>
      <c r="QW78" s="336">
        <v>0</v>
      </c>
      <c r="QX78" s="336">
        <v>0</v>
      </c>
      <c r="QY78" s="336">
        <v>0</v>
      </c>
      <c r="QZ78" s="336">
        <v>0</v>
      </c>
      <c r="RA78" s="336">
        <v>0</v>
      </c>
      <c r="RB78" s="336">
        <v>0</v>
      </c>
      <c r="RC78" s="336">
        <v>0</v>
      </c>
      <c r="RD78" s="336">
        <v>0</v>
      </c>
      <c r="RE78" s="336">
        <v>0</v>
      </c>
      <c r="RF78" s="336">
        <v>0</v>
      </c>
      <c r="RG78" s="336">
        <v>0</v>
      </c>
      <c r="RH78" s="336">
        <v>0</v>
      </c>
      <c r="RI78" s="336">
        <v>0</v>
      </c>
      <c r="RJ78" s="336">
        <v>0</v>
      </c>
      <c r="RK78" s="336">
        <v>0</v>
      </c>
      <c r="RL78" s="336">
        <v>0</v>
      </c>
      <c r="RM78" s="336">
        <v>0</v>
      </c>
      <c r="RN78" s="336">
        <v>0</v>
      </c>
      <c r="RO78" s="336">
        <v>-3369518</v>
      </c>
      <c r="RP78" s="336">
        <v>0</v>
      </c>
      <c r="RQ78" s="336">
        <v>0</v>
      </c>
      <c r="RR78" s="336">
        <v>0</v>
      </c>
      <c r="RS78" s="336">
        <v>0</v>
      </c>
      <c r="RT78" s="336">
        <v>0</v>
      </c>
      <c r="RU78" s="336">
        <v>0</v>
      </c>
      <c r="RV78" s="336">
        <v>0</v>
      </c>
      <c r="RW78" s="336">
        <v>0</v>
      </c>
      <c r="RX78" s="336">
        <v>0</v>
      </c>
      <c r="RY78" s="336">
        <v>0</v>
      </c>
      <c r="RZ78" s="336">
        <v>0</v>
      </c>
      <c r="SA78" s="336">
        <v>0</v>
      </c>
      <c r="SB78" s="336">
        <v>0</v>
      </c>
      <c r="SC78" s="336">
        <v>0</v>
      </c>
      <c r="SD78" s="336">
        <v>0</v>
      </c>
      <c r="SE78" s="336">
        <v>0</v>
      </c>
      <c r="SF78" s="336">
        <v>0</v>
      </c>
      <c r="SG78" s="336">
        <v>0</v>
      </c>
      <c r="SH78" s="336">
        <v>0</v>
      </c>
      <c r="SI78" s="336">
        <v>0</v>
      </c>
      <c r="SJ78" s="336">
        <v>0</v>
      </c>
      <c r="SK78" s="336">
        <v>0</v>
      </c>
      <c r="SL78" s="336">
        <v>0</v>
      </c>
      <c r="SM78" s="336">
        <v>0</v>
      </c>
      <c r="SN78" s="336">
        <v>0</v>
      </c>
      <c r="SO78" s="336">
        <v>0</v>
      </c>
      <c r="SP78" s="336">
        <v>0</v>
      </c>
      <c r="SQ78" s="336">
        <v>0</v>
      </c>
      <c r="SR78" s="336">
        <v>0</v>
      </c>
      <c r="SS78" s="336">
        <v>0</v>
      </c>
      <c r="ST78" s="336">
        <v>0</v>
      </c>
      <c r="SU78" s="336">
        <v>0</v>
      </c>
      <c r="SV78" s="336">
        <v>0</v>
      </c>
      <c r="SW78" s="336">
        <v>361838</v>
      </c>
      <c r="SX78" s="336">
        <v>0</v>
      </c>
      <c r="SY78" s="336">
        <v>0</v>
      </c>
      <c r="SZ78" s="336" t="s">
        <v>1420</v>
      </c>
      <c r="TA78" s="336" t="s">
        <v>1420</v>
      </c>
      <c r="TB78" s="336" t="s">
        <v>1420</v>
      </c>
      <c r="TC78" s="336">
        <v>0</v>
      </c>
      <c r="TD78" s="336">
        <v>0</v>
      </c>
      <c r="TE78" s="336">
        <v>0</v>
      </c>
      <c r="TF78" s="336">
        <v>0</v>
      </c>
      <c r="TG78" s="336">
        <v>0</v>
      </c>
      <c r="TH78" s="336">
        <v>0</v>
      </c>
      <c r="TI78" s="336">
        <v>0</v>
      </c>
      <c r="TJ78" s="336">
        <v>0</v>
      </c>
      <c r="TK78" s="336">
        <v>0</v>
      </c>
      <c r="TL78" s="336">
        <v>0</v>
      </c>
      <c r="TM78" s="336">
        <v>0</v>
      </c>
      <c r="TN78" s="336">
        <v>0</v>
      </c>
      <c r="TO78" s="336">
        <v>0</v>
      </c>
      <c r="TP78" s="336">
        <v>0</v>
      </c>
      <c r="TQ78" s="336">
        <v>0</v>
      </c>
      <c r="TR78" s="336">
        <v>0</v>
      </c>
      <c r="TS78" s="336">
        <v>0</v>
      </c>
      <c r="TT78" s="336">
        <v>0</v>
      </c>
      <c r="TU78" s="336">
        <v>0</v>
      </c>
      <c r="TV78" s="336">
        <v>0</v>
      </c>
      <c r="TW78" s="336">
        <v>0</v>
      </c>
      <c r="TX78" s="336">
        <v>0</v>
      </c>
      <c r="TY78" s="336">
        <v>0</v>
      </c>
      <c r="TZ78" s="336">
        <v>0</v>
      </c>
      <c r="UA78" s="336">
        <v>0</v>
      </c>
      <c r="UB78" s="336">
        <v>0</v>
      </c>
      <c r="UC78" s="336">
        <v>0</v>
      </c>
      <c r="UD78" s="336">
        <v>0</v>
      </c>
      <c r="UE78" s="336">
        <v>0</v>
      </c>
      <c r="UF78" s="336">
        <v>0</v>
      </c>
      <c r="UG78" s="336">
        <v>0</v>
      </c>
      <c r="UH78" s="336">
        <v>0</v>
      </c>
      <c r="UI78" s="336">
        <v>32423</v>
      </c>
      <c r="UJ78" s="336">
        <v>944</v>
      </c>
      <c r="UK78" s="336">
        <v>0</v>
      </c>
      <c r="UL78" s="336">
        <v>755935</v>
      </c>
      <c r="UM78" s="336">
        <v>382139</v>
      </c>
      <c r="UN78" s="336">
        <v>13207952</v>
      </c>
      <c r="UO78" s="336">
        <v>745996</v>
      </c>
      <c r="UP78" s="336">
        <v>0</v>
      </c>
      <c r="UQ78" s="336">
        <v>0</v>
      </c>
      <c r="UR78"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0</v>
      </c>
      <c r="US78" s="338">
        <f>SUM(Input[[#This Row],[Oth Exp E&amp;G]],Input[[#This Row],[Oth Exp Desg]],Input[[#This Row],[Oth Exp Aux]],Input[[#This Row],[Oth Exp R Exp]],Input[[#This Row],[Oth Exp Loan]],Input[[#This Row],[Oth Exp Annuity]],Input[[#This Row],[Oth Exp Unexp]],Input[[#This Row],[Oth Exp R of Ind]],Input[[#This Row],[Oth Exp Inv in P]])</f>
        <v>5863880</v>
      </c>
      <c r="UT78" s="336">
        <v>14432179</v>
      </c>
      <c r="UU78" s="336">
        <v>16707283</v>
      </c>
      <c r="UV78" s="339" t="s">
        <v>1601</v>
      </c>
      <c r="UW78" s="340">
        <v>7137438188</v>
      </c>
      <c r="UX78" s="339" t="s">
        <v>1602</v>
      </c>
      <c r="UY78" s="339" t="s">
        <v>1603</v>
      </c>
      <c r="UZ78" s="340">
        <v>7137435296</v>
      </c>
      <c r="VA78" s="339" t="s">
        <v>1604</v>
      </c>
      <c r="VB78" s="341" t="str" cm="1">
        <f t="array" ref="VB78">IFERROR(_xlfn.IFS(Input[[#This Row],[Type]]="HRI",VLOOKUP(Input[[#This Row],[Institution Name]],FTSEHRI[],9,FALSE),Input[[#This Row],[Type]]="UNIV",VLOOKUP(Input[[#This Row],[Institution Name]],FTSEUNIV[],9,FALSE),OR(Input[[#This Row],[Type]]="TSTC",Input[[#This Row],[Type]]="LSC"),VLOOKUP(Input[[#This Row],[Institution Name]],FTSETSTC[],8,FALSE)),"N/A")</f>
        <v>N/A</v>
      </c>
      <c r="VC78" s="342" t="str" cm="1">
        <f t="array" ref="VC78">IFERROR(_xlfn.IFS(Input[[#This Row],[Type]]="HRI",VLOOKUP(Input[[#This Row],[Institution Name]],FTSEHRI[],11,FALSE),Input[[#This Row],[Type]]="UNIV",VLOOKUP(Input[[#This Row],[Institution Name]],FTSEUNIV[],11,FALSE),Input[[#This Row],[Type]]="TSTC",VLOOKUP(Input[[#This Row],[Institution Name]],FTSETSTC[],10,FALSE)),"N/A")</f>
        <v>N/A</v>
      </c>
      <c r="VD78"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60364375</v>
      </c>
      <c r="VE78"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78" s="338">
        <f>SUM(Input[[#This Row],[Fed G&amp;C E&amp;G]],Input[[#This Row],[Fed G&amp;C Desg]],Input[[#This Row],[Fed G&amp;C R Exp]],Input[[#This Row],[Fed G&amp;C Loan]],Input[[#This Row],[Fed G&amp;C Annuity]],Input[[#This Row],[Fed G&amp;C Unexp]],Input[[#This Row],[Fed G&amp;C R of Ind]],Input[[#This Row],[Fed G&amp;C Inv in P]])</f>
        <v>243674</v>
      </c>
      <c r="VG78"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36978424</v>
      </c>
      <c r="VH78"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0</v>
      </c>
      <c r="VI78"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J78" s="338">
        <f>SUM(Input[[#This Row],[Oth Inc E&amp;G]],Input[[#This Row],[Oth Exp Desg]],Input[[#This Row],[Oth Exp R Exp]],Input[[#This Row],[Oth Exp Loan]],Input[[#This Row],[Oth Exp Annuity]],Input[[#This Row],[Oth Exp Unexp]],Input[[#This Row],[Oth Exp R of Ind]],Input[[#This Row],[Oth Exp Inv in P]])</f>
        <v>5807254</v>
      </c>
      <c r="VK78" s="343">
        <f>SUM(Input[[#This Row],[Instr E&amp;G]],Input[[#This Row],[Instr Desg]],Input[[#This Row],[Instr R Exp]],Input[[#This Row],[Instr Loan]],Input[[#This Row],[Instr Annuity]],Input[[#This Row],[Instr Unexp]],Input[[#This Row],[Instr R of Ind]],Input[[#This Row],[Instr Inv in P]])</f>
        <v>0</v>
      </c>
      <c r="VL78" s="343">
        <f>SUM(Input[[#This Row],[Res E&amp;G]],Input[[#This Row],[Res Desg]],Input[[#This Row],[Res R Exp]],Input[[#This Row],[Res Loan]],Input[[#This Row],[Res Annuity]],Input[[#This Row],[Res Unexp]],Input[[#This Row],[Res R of Ind]],Input[[#This Row],[Res Inv in P]])</f>
        <v>32423</v>
      </c>
      <c r="VM78" s="343">
        <f>SUM(Input[[#This Row],[Acad Sup E&amp;G]],Input[[#This Row],[Acad Sup Desg]],Input[[#This Row],[Acad Sup R Exp]],Input[[#This Row],[Acad Sup Loan]],Input[[#This Row],[Acad Sup Annuity]],Input[[#This Row],[Acad Sup Unexp]],Input[[#This Row],[Acad Sup R of Ind]],Input[[#This Row],[Acad Sup Inv in P]])</f>
        <v>755935</v>
      </c>
      <c r="VN78" s="343">
        <f>SUM(Input[[#This Row],[Stu Svc E&amp;G]],Input[[#This Row],[Stu Svc Desg]],Input[[#This Row],[Stu Svc R Exp]],Input[[#This Row],[Stu Svc Loan]],Input[[#This Row],[Stu Svc Annuity]],Input[[#This Row],[Stu Svc Unexp]],Input[[#This Row],[Stu Svc R of Ind]],Input[[#This Row],[Stu Svc Inv in P]])</f>
        <v>382139</v>
      </c>
      <c r="VO78" s="343">
        <f>SUM(Input[[#This Row],[Inst. Spt E&amp;G]],Input[[#This Row],[Inst. Spt Desg]],Input[[#This Row],[Inst. Spt R Exp]],Input[[#This Row],[Inst. Spt Loan]],Input[[#This Row],[Inst. Spt Annuity]],Input[[#This Row],[Inst. Spt Unexp]],Input[[#This Row],[Inst. Spt R of Ind]],Input[[#This Row],[Inst. Spt Inv in P]])</f>
        <v>13207952</v>
      </c>
      <c r="VP78" s="343">
        <f>SUM(Input[[#This Row],[M&amp;O Plnt E&amp;G]],Input[[#This Row],[M&amp;O Plnt Desg]],Input[[#This Row],[M&amp;O Plnt R Exp]],Input[[#This Row],[M&amp;O Plnt Loan]],Input[[#This Row],[M&amp;O Plnt Annuity]],Input[[#This Row],[M&amp;O Plnt Unexp]],Input[[#This Row],[M&amp;O Plnt R of Ind]],Input[[#This Row],[M&amp;O Plnt Inv in P]])</f>
        <v>745996</v>
      </c>
      <c r="VQ78" s="343">
        <f>SUM(Input[[#This Row],[Schl &amp; Fell E&amp;G]],Input[[#This Row],[Schl &amp; Fell Desg]],Input[[#This Row],[Schl &amp; Fell R Exp]],Input[[#This Row],[Schl &amp; Fell Loan]],Input[[#This Row],[Schl &amp; Fell Annuity]],Input[[#This Row],[Schl &amp; Fell Unexp]],Input[[#This Row],[Schl &amp; Fell R of Ind]],Input[[#This Row],[Schl &amp; Fell Inv in P]])</f>
        <v>0</v>
      </c>
      <c r="VR78" s="343">
        <f>SUM(Input[[#This Row],[Cap Out fund E&amp;G]],Input[[#This Row],[Cap Out fund Desg]],Input[[#This Row],[Cap Out fund R Exp]],Input[[#This Row],[Cap Out fund Loan]],Input[[#This Row],[Cap Out fund Annuity]],Input[[#This Row],[Cap Out fund Unexp]],Input[[#This Row],[Cap Out fund R of Ind]],Input[[#This Row],[Cap Out fund Inv in P]])</f>
        <v>0</v>
      </c>
      <c r="VS78" s="343">
        <f>SUM(Input[[#This Row],[Oth Exp E&amp;G]],Input[[#This Row],[Oth Exp Desg]],Input[[#This Row],[Oth Exp R Exp]],Input[[#This Row],[Oth Exp Loan]],Input[[#This Row],[Oth Exp Annuity]],Input[[#This Row],[Oth Exp Unexp]],Input[[#This Row],[Oth Exp R of Ind]],Input[[#This Row],[Oth Exp Inv in P]],Input[[#This Row],[Oth Exp Inv in P]])</f>
        <v>5863880</v>
      </c>
    </row>
    <row r="79" spans="1:591" s="344" customFormat="1" ht="27" customHeight="1" x14ac:dyDescent="0.55000000000000004">
      <c r="A79" s="333" t="s">
        <v>87</v>
      </c>
      <c r="B79" s="334" t="s">
        <v>827</v>
      </c>
      <c r="C79" s="334" t="s">
        <v>21</v>
      </c>
      <c r="D79" s="334">
        <v>330</v>
      </c>
      <c r="E79" s="334" t="s">
        <v>1623</v>
      </c>
      <c r="F79" s="335">
        <v>3594</v>
      </c>
      <c r="G79" s="336">
        <v>179159290</v>
      </c>
      <c r="H79" s="336">
        <v>0</v>
      </c>
      <c r="I79" s="336">
        <v>0</v>
      </c>
      <c r="J79" s="336">
        <v>0</v>
      </c>
      <c r="K79" s="336">
        <v>0</v>
      </c>
      <c r="L79" s="336">
        <v>0</v>
      </c>
      <c r="M79" s="336">
        <v>0</v>
      </c>
      <c r="N79" s="336">
        <v>0</v>
      </c>
      <c r="O79" s="336">
        <v>0</v>
      </c>
      <c r="P79" s="336">
        <v>28167020</v>
      </c>
      <c r="Q79" s="336">
        <v>2997695</v>
      </c>
      <c r="R79" s="336">
        <v>0</v>
      </c>
      <c r="S79" s="336">
        <v>1192717</v>
      </c>
      <c r="T79" s="336">
        <v>0</v>
      </c>
      <c r="U79" s="336">
        <v>0</v>
      </c>
      <c r="V79" s="336">
        <v>0</v>
      </c>
      <c r="W79" s="336">
        <v>0</v>
      </c>
      <c r="X79" s="336">
        <v>0</v>
      </c>
      <c r="Y79" s="336">
        <v>38473304</v>
      </c>
      <c r="Z79" s="336">
        <v>0</v>
      </c>
      <c r="AA79" s="336">
        <v>0</v>
      </c>
      <c r="AB79" s="336">
        <v>0</v>
      </c>
      <c r="AC79" s="336">
        <v>0</v>
      </c>
      <c r="AD79" s="336">
        <v>0</v>
      </c>
      <c r="AE79" s="336">
        <v>0</v>
      </c>
      <c r="AF79" s="336">
        <v>0</v>
      </c>
      <c r="AG79" s="336">
        <v>0</v>
      </c>
      <c r="AH79" s="336">
        <v>0</v>
      </c>
      <c r="AI79" s="336">
        <v>0</v>
      </c>
      <c r="AJ79" s="336">
        <v>0</v>
      </c>
      <c r="AK79" s="336">
        <v>0</v>
      </c>
      <c r="AL79" s="336">
        <v>0</v>
      </c>
      <c r="AM79" s="336">
        <v>0</v>
      </c>
      <c r="AN79" s="336">
        <v>0</v>
      </c>
      <c r="AO79" s="336">
        <v>0</v>
      </c>
      <c r="AP79" s="336">
        <v>0</v>
      </c>
      <c r="AQ79" s="336">
        <v>-26687516</v>
      </c>
      <c r="AR79" s="336">
        <v>-61866</v>
      </c>
      <c r="AS79" s="336">
        <v>0</v>
      </c>
      <c r="AT79" s="336">
        <v>0</v>
      </c>
      <c r="AU79" s="336">
        <v>0</v>
      </c>
      <c r="AV79" s="336">
        <v>0</v>
      </c>
      <c r="AW79" s="336">
        <v>0</v>
      </c>
      <c r="AX79" s="336">
        <v>0</v>
      </c>
      <c r="AY79" s="336">
        <v>0</v>
      </c>
      <c r="AZ79" s="336">
        <v>-2999213</v>
      </c>
      <c r="BA79" s="336">
        <v>-779974</v>
      </c>
      <c r="BB79" s="336">
        <v>0</v>
      </c>
      <c r="BC79" s="336">
        <v>0</v>
      </c>
      <c r="BD79" s="336">
        <v>0</v>
      </c>
      <c r="BE79" s="336">
        <v>0</v>
      </c>
      <c r="BF79" s="336">
        <v>0</v>
      </c>
      <c r="BG79" s="336">
        <v>0</v>
      </c>
      <c r="BH79" s="336">
        <v>0</v>
      </c>
      <c r="BI79" s="336">
        <v>-9953868</v>
      </c>
      <c r="BJ79" s="336">
        <v>-12322003</v>
      </c>
      <c r="BK79" s="336">
        <v>0</v>
      </c>
      <c r="BL79" s="336">
        <v>0</v>
      </c>
      <c r="BM79" s="336">
        <v>0</v>
      </c>
      <c r="BN79" s="336">
        <v>0</v>
      </c>
      <c r="BO79" s="336">
        <v>0</v>
      </c>
      <c r="BP79" s="336">
        <v>0</v>
      </c>
      <c r="BQ79" s="336">
        <v>0</v>
      </c>
      <c r="BR79" s="336">
        <v>-964310</v>
      </c>
      <c r="BS79" s="336">
        <v>-196028</v>
      </c>
      <c r="BT79" s="336">
        <v>0</v>
      </c>
      <c r="BU79" s="336">
        <v>0</v>
      </c>
      <c r="BV79" s="336">
        <v>0</v>
      </c>
      <c r="BW79" s="336">
        <v>0</v>
      </c>
      <c r="BX79" s="336">
        <v>0</v>
      </c>
      <c r="BY79" s="336">
        <v>0</v>
      </c>
      <c r="BZ79" s="336">
        <v>0</v>
      </c>
      <c r="CA79" s="336">
        <v>122882415</v>
      </c>
      <c r="CB79" s="336">
        <v>303904609</v>
      </c>
      <c r="CC79" s="336">
        <v>0</v>
      </c>
      <c r="CD79" s="336">
        <v>0</v>
      </c>
      <c r="CE79" s="336">
        <v>0</v>
      </c>
      <c r="CF79" s="336">
        <v>0</v>
      </c>
      <c r="CG79" s="336">
        <v>0</v>
      </c>
      <c r="CH79" s="336">
        <v>0</v>
      </c>
      <c r="CI79" s="336">
        <v>0</v>
      </c>
      <c r="CJ79" s="336">
        <v>0</v>
      </c>
      <c r="CK79" s="336">
        <v>0</v>
      </c>
      <c r="CL79" s="336">
        <v>0</v>
      </c>
      <c r="CM79" s="336">
        <v>0</v>
      </c>
      <c r="CN79" s="336">
        <v>0</v>
      </c>
      <c r="CO79" s="336">
        <v>0</v>
      </c>
      <c r="CP79" s="336">
        <v>0</v>
      </c>
      <c r="CQ79" s="336">
        <v>0</v>
      </c>
      <c r="CR79" s="336">
        <v>0</v>
      </c>
      <c r="CS79" s="336">
        <v>0</v>
      </c>
      <c r="CT79" s="336">
        <v>0</v>
      </c>
      <c r="CU79" s="336">
        <v>0</v>
      </c>
      <c r="CV79" s="336">
        <v>0</v>
      </c>
      <c r="CW79" s="336">
        <v>0</v>
      </c>
      <c r="CX79" s="336">
        <v>0</v>
      </c>
      <c r="CY79" s="336">
        <v>0</v>
      </c>
      <c r="CZ79" s="336">
        <v>0</v>
      </c>
      <c r="DA79" s="336">
        <v>0</v>
      </c>
      <c r="DB79" s="336">
        <v>0</v>
      </c>
      <c r="DC79" s="336">
        <v>0</v>
      </c>
      <c r="DD79" s="336">
        <v>0</v>
      </c>
      <c r="DE79" s="336">
        <v>0</v>
      </c>
      <c r="DF79" s="336">
        <v>0</v>
      </c>
      <c r="DG79" s="336">
        <v>0</v>
      </c>
      <c r="DH79" s="336">
        <v>0</v>
      </c>
      <c r="DI79" s="336">
        <v>0</v>
      </c>
      <c r="DJ79" s="336">
        <v>0</v>
      </c>
      <c r="DK79" s="336">
        <v>0</v>
      </c>
      <c r="DL79" s="336">
        <v>0</v>
      </c>
      <c r="DM79" s="336">
        <v>0</v>
      </c>
      <c r="DN79" s="336">
        <v>0</v>
      </c>
      <c r="DO79" s="336">
        <v>0</v>
      </c>
      <c r="DP79" s="336">
        <v>0</v>
      </c>
      <c r="DQ79" s="336">
        <v>0</v>
      </c>
      <c r="DR79" s="336">
        <v>0</v>
      </c>
      <c r="DS79" s="336">
        <v>0</v>
      </c>
      <c r="DT79" s="336">
        <v>-24780074</v>
      </c>
      <c r="DU79" s="336">
        <v>-18401051</v>
      </c>
      <c r="DV79" s="336">
        <v>0</v>
      </c>
      <c r="DW79" s="336">
        <v>0</v>
      </c>
      <c r="DX79" s="336">
        <v>0</v>
      </c>
      <c r="DY79" s="336">
        <v>0</v>
      </c>
      <c r="DZ79" s="336">
        <v>0</v>
      </c>
      <c r="EA79" s="336">
        <v>0</v>
      </c>
      <c r="EB79" s="336">
        <v>0</v>
      </c>
      <c r="EC79" s="336">
        <v>0</v>
      </c>
      <c r="ED79" s="336">
        <v>0</v>
      </c>
      <c r="EE79" s="336">
        <v>0</v>
      </c>
      <c r="EF79" s="336">
        <v>0</v>
      </c>
      <c r="EG79" s="336">
        <v>0</v>
      </c>
      <c r="EH79" s="336">
        <v>0</v>
      </c>
      <c r="EI79" s="336">
        <v>0</v>
      </c>
      <c r="EJ79" s="336">
        <v>0</v>
      </c>
      <c r="EK79" s="336">
        <v>0</v>
      </c>
      <c r="EL79" s="336">
        <v>0</v>
      </c>
      <c r="EM79" s="336">
        <v>0</v>
      </c>
      <c r="EN79" s="336">
        <v>0</v>
      </c>
      <c r="EO79" s="336">
        <v>0</v>
      </c>
      <c r="EP79" s="336">
        <v>0</v>
      </c>
      <c r="EQ79" s="336">
        <v>0</v>
      </c>
      <c r="ER79" s="336">
        <v>0</v>
      </c>
      <c r="ES79" s="336">
        <v>0</v>
      </c>
      <c r="ET79" s="336">
        <v>0</v>
      </c>
      <c r="EU79" s="336">
        <v>0</v>
      </c>
      <c r="EV79" s="336">
        <v>0</v>
      </c>
      <c r="EW79" s="336">
        <v>0</v>
      </c>
      <c r="EX79" s="336">
        <v>0</v>
      </c>
      <c r="EY79" s="336">
        <v>0</v>
      </c>
      <c r="EZ79" s="336">
        <v>0</v>
      </c>
      <c r="FA79" s="336">
        <v>0</v>
      </c>
      <c r="FB79" s="336">
        <v>0</v>
      </c>
      <c r="FC79" s="336">
        <v>0</v>
      </c>
      <c r="FD79" s="336">
        <v>0</v>
      </c>
      <c r="FE79" s="336">
        <v>0</v>
      </c>
      <c r="FF79" s="336">
        <v>0</v>
      </c>
      <c r="FG79" s="336">
        <v>0</v>
      </c>
      <c r="FH79" s="336">
        <v>0</v>
      </c>
      <c r="FI79" s="336">
        <v>0</v>
      </c>
      <c r="FJ79" s="336">
        <v>0</v>
      </c>
      <c r="FK79" s="336">
        <v>0</v>
      </c>
      <c r="FL79" s="336">
        <v>0</v>
      </c>
      <c r="FM79" s="336">
        <v>288275</v>
      </c>
      <c r="FN79" s="336">
        <v>152406039</v>
      </c>
      <c r="FO79" s="336">
        <v>19912456</v>
      </c>
      <c r="FP79" s="336">
        <v>0</v>
      </c>
      <c r="FQ79" s="336">
        <v>0</v>
      </c>
      <c r="FR79" s="336">
        <v>0</v>
      </c>
      <c r="FS79" s="336">
        <v>0</v>
      </c>
      <c r="FT79" s="336">
        <v>0</v>
      </c>
      <c r="FU79" s="336">
        <v>0</v>
      </c>
      <c r="FV79" s="336">
        <v>0</v>
      </c>
      <c r="FW79" s="336">
        <v>0</v>
      </c>
      <c r="FX79" s="336">
        <v>0</v>
      </c>
      <c r="FY79" s="336">
        <v>0</v>
      </c>
      <c r="FZ79" s="336">
        <v>0</v>
      </c>
      <c r="GA79" s="336">
        <v>0</v>
      </c>
      <c r="GB79" s="336">
        <v>0</v>
      </c>
      <c r="GC79" s="336">
        <v>0</v>
      </c>
      <c r="GD79" s="336">
        <v>0</v>
      </c>
      <c r="GE79" s="336">
        <v>0</v>
      </c>
      <c r="GF79" s="336">
        <v>0</v>
      </c>
      <c r="GG79" s="336">
        <v>0</v>
      </c>
      <c r="GH79" s="336">
        <v>0</v>
      </c>
      <c r="GI79" s="336">
        <v>0</v>
      </c>
      <c r="GJ79" s="336">
        <v>0</v>
      </c>
      <c r="GK79" s="336">
        <v>0</v>
      </c>
      <c r="GL79" s="336">
        <v>0</v>
      </c>
      <c r="GM79" s="336">
        <v>0</v>
      </c>
      <c r="GN79" s="336">
        <v>0</v>
      </c>
      <c r="GO79" s="336">
        <v>0</v>
      </c>
      <c r="GP79" s="336">
        <v>0</v>
      </c>
      <c r="GQ79" s="336">
        <v>0</v>
      </c>
      <c r="GR79" s="336">
        <v>0</v>
      </c>
      <c r="GS79" s="336">
        <v>0</v>
      </c>
      <c r="GT79" s="336">
        <v>0</v>
      </c>
      <c r="GU79" s="336">
        <v>0</v>
      </c>
      <c r="GV79" s="336">
        <v>0</v>
      </c>
      <c r="GW79" s="336">
        <v>0</v>
      </c>
      <c r="GX79" s="336">
        <v>0</v>
      </c>
      <c r="GY79" s="336">
        <v>0</v>
      </c>
      <c r="GZ79" s="336">
        <v>0</v>
      </c>
      <c r="HA79" s="336">
        <v>0</v>
      </c>
      <c r="HB79" s="336">
        <v>0</v>
      </c>
      <c r="HC79" s="336">
        <v>0</v>
      </c>
      <c r="HD79" s="336">
        <v>0</v>
      </c>
      <c r="HE79" s="336">
        <v>0</v>
      </c>
      <c r="HF79" s="336">
        <v>0</v>
      </c>
      <c r="HG79" s="336">
        <v>-104272624</v>
      </c>
      <c r="HH79" s="336">
        <v>-530247</v>
      </c>
      <c r="HI79" s="336">
        <v>0</v>
      </c>
      <c r="HJ79" s="336">
        <v>0</v>
      </c>
      <c r="HK79" s="336">
        <v>0</v>
      </c>
      <c r="HL79" s="336">
        <v>0</v>
      </c>
      <c r="HM79" s="336">
        <v>0</v>
      </c>
      <c r="HN79" s="336">
        <v>0</v>
      </c>
      <c r="HO79" s="336">
        <v>130160</v>
      </c>
      <c r="HP79" s="336">
        <v>70630</v>
      </c>
      <c r="HQ79" s="336">
        <v>0</v>
      </c>
      <c r="HR79" s="336">
        <v>141478241</v>
      </c>
      <c r="HS79" s="336">
        <v>0</v>
      </c>
      <c r="HT79" s="336">
        <v>0</v>
      </c>
      <c r="HU79" s="336">
        <v>0</v>
      </c>
      <c r="HV79" s="336">
        <v>0</v>
      </c>
      <c r="HW79" s="336">
        <v>0</v>
      </c>
      <c r="HX79" s="336">
        <v>0</v>
      </c>
      <c r="HY79" s="336">
        <v>0</v>
      </c>
      <c r="HZ79" s="336">
        <v>0</v>
      </c>
      <c r="IA79" s="336">
        <v>0</v>
      </c>
      <c r="IB79" s="336">
        <v>0</v>
      </c>
      <c r="IC79" s="336">
        <v>0</v>
      </c>
      <c r="ID79" s="336">
        <v>0</v>
      </c>
      <c r="IE79" s="336">
        <v>0</v>
      </c>
      <c r="IF79" s="336">
        <v>0</v>
      </c>
      <c r="IG79" s="336">
        <v>0</v>
      </c>
      <c r="IH79" s="336">
        <v>0</v>
      </c>
      <c r="II79" s="336">
        <v>0</v>
      </c>
      <c r="IJ79" s="336">
        <v>0</v>
      </c>
      <c r="IK79" s="336">
        <v>0</v>
      </c>
      <c r="IL79" s="336">
        <v>0</v>
      </c>
      <c r="IM79" s="336">
        <v>0</v>
      </c>
      <c r="IN79" s="336">
        <v>0</v>
      </c>
      <c r="IO79" s="336">
        <v>0</v>
      </c>
      <c r="IP79" s="336">
        <v>2624221</v>
      </c>
      <c r="IQ79" s="336">
        <v>11464747</v>
      </c>
      <c r="IR79" s="336">
        <v>753217</v>
      </c>
      <c r="IS79" s="336">
        <v>16082502</v>
      </c>
      <c r="IT79" s="336">
        <v>36916</v>
      </c>
      <c r="IU79" s="336">
        <v>2192712</v>
      </c>
      <c r="IV79" s="336">
        <v>138588</v>
      </c>
      <c r="IW79" s="336">
        <v>0</v>
      </c>
      <c r="IX79" s="336">
        <v>0</v>
      </c>
      <c r="IY79" s="336">
        <v>0</v>
      </c>
      <c r="IZ79" s="336">
        <v>10000</v>
      </c>
      <c r="JA79" s="336">
        <v>0</v>
      </c>
      <c r="JB79" s="336">
        <v>661859</v>
      </c>
      <c r="JC79" s="336">
        <v>0</v>
      </c>
      <c r="JD79" s="336">
        <v>0</v>
      </c>
      <c r="JE79" s="336">
        <v>0</v>
      </c>
      <c r="JF79" s="336">
        <v>0</v>
      </c>
      <c r="JG79" s="336">
        <v>0</v>
      </c>
      <c r="JH79" s="336">
        <v>0</v>
      </c>
      <c r="JI79" s="336">
        <v>0</v>
      </c>
      <c r="JJ79" s="336">
        <v>0</v>
      </c>
      <c r="JK79" s="336">
        <v>5107669</v>
      </c>
      <c r="JL79" s="336">
        <v>0</v>
      </c>
      <c r="JM79" s="336">
        <v>0</v>
      </c>
      <c r="JN79" s="336">
        <v>0</v>
      </c>
      <c r="JO79" s="336">
        <v>0</v>
      </c>
      <c r="JP79" s="336">
        <v>0</v>
      </c>
      <c r="JQ79" s="336">
        <v>400000</v>
      </c>
      <c r="JR79" s="336">
        <v>27791201</v>
      </c>
      <c r="JS79" s="336">
        <v>0</v>
      </c>
      <c r="JT79" s="336">
        <v>2399055</v>
      </c>
      <c r="JU79" s="336">
        <v>-33928</v>
      </c>
      <c r="JV79" s="336">
        <v>0</v>
      </c>
      <c r="JW79" s="336">
        <v>-138088</v>
      </c>
      <c r="JX79" s="336">
        <v>0</v>
      </c>
      <c r="JY79" s="336">
        <v>0</v>
      </c>
      <c r="JZ79" s="336">
        <v>0</v>
      </c>
      <c r="KA79" s="336">
        <v>0</v>
      </c>
      <c r="KB79" s="336">
        <v>88991344</v>
      </c>
      <c r="KC79" s="336">
        <v>0</v>
      </c>
      <c r="KD79" s="336">
        <v>0</v>
      </c>
      <c r="KE79" s="336">
        <v>0</v>
      </c>
      <c r="KF79" s="336">
        <v>0</v>
      </c>
      <c r="KG79" s="336">
        <v>0</v>
      </c>
      <c r="KH79" s="336">
        <v>0</v>
      </c>
      <c r="KI79" s="336">
        <v>117526</v>
      </c>
      <c r="KJ79" s="336">
        <v>1585753</v>
      </c>
      <c r="KK79" s="336">
        <v>31626</v>
      </c>
      <c r="KL79" s="336">
        <v>1652698</v>
      </c>
      <c r="KM79" s="336">
        <v>13376</v>
      </c>
      <c r="KN79" s="336">
        <v>0</v>
      </c>
      <c r="KO79" s="336">
        <v>0</v>
      </c>
      <c r="KP79" s="336">
        <v>0</v>
      </c>
      <c r="KQ79" s="336">
        <v>-364941</v>
      </c>
      <c r="KR79" s="336">
        <v>132974492</v>
      </c>
      <c r="KS79" s="336">
        <v>76212625</v>
      </c>
      <c r="KT79" s="336">
        <v>0</v>
      </c>
      <c r="KU79" s="336">
        <v>4442631</v>
      </c>
      <c r="KV79" s="336">
        <v>0</v>
      </c>
      <c r="KW79" s="336">
        <v>0</v>
      </c>
      <c r="KX79" s="336">
        <v>0</v>
      </c>
      <c r="KY79" s="336">
        <v>0</v>
      </c>
      <c r="KZ79" s="336">
        <v>0</v>
      </c>
      <c r="LA79" s="336">
        <v>39548779</v>
      </c>
      <c r="LB79" s="336">
        <v>23581788</v>
      </c>
      <c r="LC79" s="336">
        <v>0</v>
      </c>
      <c r="LD79" s="336">
        <v>35334575</v>
      </c>
      <c r="LE79" s="336">
        <v>0</v>
      </c>
      <c r="LF79" s="336">
        <v>0</v>
      </c>
      <c r="LG79" s="336">
        <v>0</v>
      </c>
      <c r="LH79" s="336">
        <v>0</v>
      </c>
      <c r="LI79" s="336">
        <v>0</v>
      </c>
      <c r="LJ79" s="336">
        <v>334019</v>
      </c>
      <c r="LK79" s="336">
        <v>5553151</v>
      </c>
      <c r="LL79" s="336">
        <v>0</v>
      </c>
      <c r="LM79" s="336">
        <v>3935640</v>
      </c>
      <c r="LN79" s="336">
        <v>0</v>
      </c>
      <c r="LO79" s="336">
        <v>0</v>
      </c>
      <c r="LP79" s="336">
        <v>0</v>
      </c>
      <c r="LQ79" s="336">
        <v>0</v>
      </c>
      <c r="LR79" s="336">
        <v>0</v>
      </c>
      <c r="LS79" s="336">
        <v>0</v>
      </c>
      <c r="LT79" s="336">
        <v>0</v>
      </c>
      <c r="LU79" s="336">
        <v>0</v>
      </c>
      <c r="LV79" s="336">
        <v>0</v>
      </c>
      <c r="LW79" s="336">
        <v>0</v>
      </c>
      <c r="LX79" s="336">
        <v>0</v>
      </c>
      <c r="LY79" s="336">
        <v>0</v>
      </c>
      <c r="LZ79" s="336">
        <v>0</v>
      </c>
      <c r="MA79" s="336">
        <v>0</v>
      </c>
      <c r="MB79" s="336">
        <v>31258231</v>
      </c>
      <c r="MC79" s="336">
        <v>42704420</v>
      </c>
      <c r="MD79" s="336">
        <v>0</v>
      </c>
      <c r="ME79" s="336">
        <v>1841913</v>
      </c>
      <c r="MF79" s="336">
        <v>0</v>
      </c>
      <c r="MG79" s="336">
        <v>0</v>
      </c>
      <c r="MH79" s="336">
        <v>0</v>
      </c>
      <c r="MI79" s="336">
        <v>0</v>
      </c>
      <c r="MJ79" s="336">
        <v>0</v>
      </c>
      <c r="MK79" s="336">
        <v>18195624</v>
      </c>
      <c r="ML79" s="336">
        <v>86568433</v>
      </c>
      <c r="MM79" s="336">
        <v>0</v>
      </c>
      <c r="MN79" s="336">
        <v>2498081</v>
      </c>
      <c r="MO79" s="336">
        <v>8814</v>
      </c>
      <c r="MP79" s="336">
        <v>0</v>
      </c>
      <c r="MQ79" s="336">
        <v>0</v>
      </c>
      <c r="MR79" s="336">
        <v>0</v>
      </c>
      <c r="MS79" s="336">
        <v>0</v>
      </c>
      <c r="MT79" s="336">
        <v>31477174</v>
      </c>
      <c r="MU79" s="336">
        <v>30416135</v>
      </c>
      <c r="MV79" s="336">
        <v>0</v>
      </c>
      <c r="MW79" s="336">
        <v>794339</v>
      </c>
      <c r="MX79" s="336">
        <v>88</v>
      </c>
      <c r="MY79" s="336">
        <v>305284</v>
      </c>
      <c r="MZ79" s="336">
        <v>0</v>
      </c>
      <c r="NA79" s="336">
        <v>0</v>
      </c>
      <c r="NB79" s="336">
        <v>0</v>
      </c>
      <c r="NC79" s="336">
        <v>32721817</v>
      </c>
      <c r="ND79" s="336">
        <v>24769332</v>
      </c>
      <c r="NE79" s="336">
        <v>0</v>
      </c>
      <c r="NF79" s="336">
        <v>185954</v>
      </c>
      <c r="NG79" s="336">
        <v>0</v>
      </c>
      <c r="NH79" s="336">
        <v>0</v>
      </c>
      <c r="NI79" s="336">
        <v>0</v>
      </c>
      <c r="NJ79" s="336">
        <v>0</v>
      </c>
      <c r="NK79" s="336">
        <v>183565</v>
      </c>
      <c r="NL79" s="336">
        <v>23781297</v>
      </c>
      <c r="NM79" s="336">
        <v>-1171500</v>
      </c>
      <c r="NN79" s="336">
        <v>736099</v>
      </c>
      <c r="NO79" s="336">
        <v>99409924</v>
      </c>
      <c r="NP79" s="336">
        <v>233285</v>
      </c>
      <c r="NQ79" s="336">
        <v>0</v>
      </c>
      <c r="NR79" s="336">
        <v>0</v>
      </c>
      <c r="NS79" s="336">
        <v>0</v>
      </c>
      <c r="NT79" s="336">
        <v>0</v>
      </c>
      <c r="NU79" s="336">
        <v>0</v>
      </c>
      <c r="NV79" s="336">
        <v>0</v>
      </c>
      <c r="NW79" s="336">
        <v>71311696</v>
      </c>
      <c r="NX79" s="336">
        <v>0</v>
      </c>
      <c r="NY79" s="336">
        <v>0</v>
      </c>
      <c r="NZ79" s="336">
        <v>0</v>
      </c>
      <c r="OA79" s="336">
        <v>0</v>
      </c>
      <c r="OB79" s="336">
        <v>0</v>
      </c>
      <c r="OC79" s="336">
        <v>0</v>
      </c>
      <c r="OD79" s="336">
        <v>40354520</v>
      </c>
      <c r="OE79" s="336">
        <v>12259517</v>
      </c>
      <c r="OF79" s="336">
        <v>9936245</v>
      </c>
      <c r="OG79" s="336">
        <v>8496300</v>
      </c>
      <c r="OH79" s="336">
        <v>0</v>
      </c>
      <c r="OI79" s="336">
        <v>0</v>
      </c>
      <c r="OJ79" s="336">
        <v>0</v>
      </c>
      <c r="OK79" s="336">
        <v>0</v>
      </c>
      <c r="OL79" s="336">
        <v>0</v>
      </c>
      <c r="OM79" s="336">
        <v>0</v>
      </c>
      <c r="ON79" s="336">
        <v>83767</v>
      </c>
      <c r="OO79" s="336">
        <v>0</v>
      </c>
      <c r="OP79" s="336">
        <v>0</v>
      </c>
      <c r="OQ79" s="336">
        <v>0</v>
      </c>
      <c r="OR79" s="336">
        <v>0</v>
      </c>
      <c r="OS79" s="336">
        <v>0</v>
      </c>
      <c r="OT79" s="336">
        <v>0</v>
      </c>
      <c r="OU79" s="336">
        <v>2109515</v>
      </c>
      <c r="OV79" s="336">
        <v>0</v>
      </c>
      <c r="OW79" s="336">
        <v>0</v>
      </c>
      <c r="OX79" s="336">
        <v>0</v>
      </c>
      <c r="OY79" s="336">
        <v>0</v>
      </c>
      <c r="OZ79" s="336">
        <v>0</v>
      </c>
      <c r="PA79" s="336">
        <v>0</v>
      </c>
      <c r="PB79" s="336">
        <v>0</v>
      </c>
      <c r="PC79" s="336">
        <v>0</v>
      </c>
      <c r="PD79" s="336">
        <v>-9621070</v>
      </c>
      <c r="PE79" s="336">
        <v>9229364</v>
      </c>
      <c r="PF79" s="336">
        <v>-72528103</v>
      </c>
      <c r="PG79" s="336">
        <v>-25102328</v>
      </c>
      <c r="PH79" s="336">
        <v>1126862</v>
      </c>
      <c r="PI79" s="336">
        <v>-45427</v>
      </c>
      <c r="PJ79" s="336">
        <v>-1346634</v>
      </c>
      <c r="PK79" s="336">
        <v>0</v>
      </c>
      <c r="PL79" s="336">
        <v>-5233752</v>
      </c>
      <c r="PM79" s="336">
        <v>12555444</v>
      </c>
      <c r="PN79" s="336">
        <v>0</v>
      </c>
      <c r="PO79" s="336">
        <v>0</v>
      </c>
      <c r="PP79" s="336">
        <v>0</v>
      </c>
      <c r="PQ79" s="336">
        <v>0</v>
      </c>
      <c r="PR79" s="336">
        <v>0</v>
      </c>
      <c r="PS79" s="336">
        <v>0</v>
      </c>
      <c r="PT79" s="336">
        <v>0</v>
      </c>
      <c r="PU79" s="336">
        <v>0</v>
      </c>
      <c r="PV79" s="336">
        <v>0</v>
      </c>
      <c r="PW79" s="336">
        <v>0</v>
      </c>
      <c r="PX79" s="336">
        <v>0</v>
      </c>
      <c r="PY79" s="336">
        <v>0</v>
      </c>
      <c r="PZ79" s="336">
        <v>0</v>
      </c>
      <c r="QA79" s="336">
        <v>0</v>
      </c>
      <c r="QB79" s="336">
        <v>0</v>
      </c>
      <c r="QC79" s="336">
        <v>0</v>
      </c>
      <c r="QD79" s="336">
        <v>0</v>
      </c>
      <c r="QE79" s="336">
        <v>-164883</v>
      </c>
      <c r="QF79" s="336">
        <v>0</v>
      </c>
      <c r="QG79" s="336">
        <v>43269176</v>
      </c>
      <c r="QH79" s="336">
        <v>0</v>
      </c>
      <c r="QI79" s="336">
        <v>30261</v>
      </c>
      <c r="QJ79" s="336">
        <v>0</v>
      </c>
      <c r="QK79" s="336">
        <v>5393937</v>
      </c>
      <c r="QL79" s="336">
        <v>0</v>
      </c>
      <c r="QM79" s="336">
        <v>0</v>
      </c>
      <c r="QN79" s="336">
        <v>0</v>
      </c>
      <c r="QO79" s="336">
        <v>0</v>
      </c>
      <c r="QP79" s="336">
        <v>0</v>
      </c>
      <c r="QQ79" s="336">
        <v>0</v>
      </c>
      <c r="QR79" s="336">
        <v>0</v>
      </c>
      <c r="QS79" s="336">
        <v>0</v>
      </c>
      <c r="QT79" s="336">
        <v>135757</v>
      </c>
      <c r="QU79" s="336">
        <v>0</v>
      </c>
      <c r="QV79" s="336">
        <v>0</v>
      </c>
      <c r="QW79" s="336">
        <v>0</v>
      </c>
      <c r="QX79" s="336">
        <v>0</v>
      </c>
      <c r="QY79" s="336">
        <v>0</v>
      </c>
      <c r="QZ79" s="336">
        <v>0</v>
      </c>
      <c r="RA79" s="336">
        <v>0</v>
      </c>
      <c r="RB79" s="336">
        <v>0</v>
      </c>
      <c r="RC79" s="336">
        <v>0</v>
      </c>
      <c r="RD79" s="336">
        <v>0</v>
      </c>
      <c r="RE79" s="336">
        <v>0</v>
      </c>
      <c r="RF79" s="336">
        <v>0</v>
      </c>
      <c r="RG79" s="336">
        <v>0</v>
      </c>
      <c r="RH79" s="336">
        <v>0</v>
      </c>
      <c r="RI79" s="336">
        <v>0</v>
      </c>
      <c r="RJ79" s="336">
        <v>0</v>
      </c>
      <c r="RK79" s="336">
        <v>0</v>
      </c>
      <c r="RL79" s="336">
        <v>0</v>
      </c>
      <c r="RM79" s="336">
        <v>0</v>
      </c>
      <c r="RN79" s="336">
        <v>0</v>
      </c>
      <c r="RO79" s="336">
        <v>-79074303</v>
      </c>
      <c r="RP79" s="336">
        <v>0</v>
      </c>
      <c r="RQ79" s="336">
        <v>0</v>
      </c>
      <c r="RR79" s="336">
        <v>0</v>
      </c>
      <c r="RS79" s="336">
        <v>0</v>
      </c>
      <c r="RT79" s="336">
        <v>0</v>
      </c>
      <c r="RU79" s="336">
        <v>0</v>
      </c>
      <c r="RV79" s="336">
        <v>0</v>
      </c>
      <c r="RW79" s="336">
        <v>0</v>
      </c>
      <c r="RX79" s="336">
        <v>-980367</v>
      </c>
      <c r="RY79" s="336">
        <v>0</v>
      </c>
      <c r="RZ79" s="336">
        <v>0</v>
      </c>
      <c r="SA79" s="336">
        <v>0</v>
      </c>
      <c r="SB79" s="336">
        <v>0</v>
      </c>
      <c r="SC79" s="336">
        <v>0</v>
      </c>
      <c r="SD79" s="336">
        <v>0</v>
      </c>
      <c r="SE79" s="336">
        <v>0</v>
      </c>
      <c r="SF79" s="336">
        <v>0</v>
      </c>
      <c r="SG79" s="336">
        <v>0</v>
      </c>
      <c r="SH79" s="336">
        <v>0</v>
      </c>
      <c r="SI79" s="336">
        <v>0</v>
      </c>
      <c r="SJ79" s="336">
        <v>0</v>
      </c>
      <c r="SK79" s="336">
        <v>-2000</v>
      </c>
      <c r="SL79" s="336">
        <v>0</v>
      </c>
      <c r="SM79" s="336">
        <v>0</v>
      </c>
      <c r="SN79" s="336">
        <v>0</v>
      </c>
      <c r="SO79" s="336">
        <v>0</v>
      </c>
      <c r="SP79" s="336">
        <v>35986547</v>
      </c>
      <c r="SQ79" s="336">
        <v>0</v>
      </c>
      <c r="SR79" s="336">
        <v>0</v>
      </c>
      <c r="SS79" s="336">
        <v>0</v>
      </c>
      <c r="ST79" s="336">
        <v>0</v>
      </c>
      <c r="SU79" s="336">
        <v>0</v>
      </c>
      <c r="SV79" s="336">
        <v>0</v>
      </c>
      <c r="SW79" s="336">
        <v>0</v>
      </c>
      <c r="SX79" s="336">
        <v>0</v>
      </c>
      <c r="SY79" s="336">
        <v>84109011</v>
      </c>
      <c r="SZ79" s="336" t="s">
        <v>1420</v>
      </c>
      <c r="TA79" s="336" t="s">
        <v>1420</v>
      </c>
      <c r="TB79" s="336" t="s">
        <v>1420</v>
      </c>
      <c r="TC79" s="336">
        <v>12144705</v>
      </c>
      <c r="TD79" s="336">
        <v>13846547</v>
      </c>
      <c r="TE79" s="336">
        <v>166881</v>
      </c>
      <c r="TF79" s="336">
        <v>0</v>
      </c>
      <c r="TG79" s="336">
        <v>6871702</v>
      </c>
      <c r="TH79" s="336">
        <v>3040358</v>
      </c>
      <c r="TI79" s="336">
        <v>1820100</v>
      </c>
      <c r="TJ79" s="336">
        <v>23220044</v>
      </c>
      <c r="TK79" s="336">
        <v>9936245</v>
      </c>
      <c r="TL79" s="336">
        <v>0</v>
      </c>
      <c r="TM79" s="336">
        <v>40005484</v>
      </c>
      <c r="TN79" s="336">
        <v>0</v>
      </c>
      <c r="TO79" s="336">
        <v>1496890</v>
      </c>
      <c r="TP79" s="336">
        <v>0</v>
      </c>
      <c r="TQ79" s="336">
        <v>0</v>
      </c>
      <c r="TR79" s="336">
        <v>0</v>
      </c>
      <c r="TS79" s="336">
        <v>0</v>
      </c>
      <c r="TT79" s="336">
        <v>0</v>
      </c>
      <c r="TU79" s="336">
        <v>0</v>
      </c>
      <c r="TV79" s="336">
        <v>0</v>
      </c>
      <c r="TW79" s="336">
        <v>0</v>
      </c>
      <c r="TX79" s="336">
        <v>30829</v>
      </c>
      <c r="TY79" s="336">
        <v>0</v>
      </c>
      <c r="TZ79" s="336">
        <v>0</v>
      </c>
      <c r="UA79" s="336">
        <v>0</v>
      </c>
      <c r="UB79" s="336">
        <v>0</v>
      </c>
      <c r="UC79" s="336">
        <v>0</v>
      </c>
      <c r="UD79" s="336">
        <v>0</v>
      </c>
      <c r="UE79" s="336">
        <v>0</v>
      </c>
      <c r="UF79" s="336">
        <v>0</v>
      </c>
      <c r="UG79" s="336">
        <v>0</v>
      </c>
      <c r="UH79" s="336">
        <v>213629748</v>
      </c>
      <c r="UI79" s="336">
        <v>98465142</v>
      </c>
      <c r="UJ79" s="336">
        <v>9822810</v>
      </c>
      <c r="UK79" s="336">
        <v>0</v>
      </c>
      <c r="UL79" s="336">
        <v>75804564</v>
      </c>
      <c r="UM79" s="336">
        <v>107270952</v>
      </c>
      <c r="UN79" s="336">
        <v>62993020</v>
      </c>
      <c r="UO79" s="336">
        <v>57860668</v>
      </c>
      <c r="UP79" s="336">
        <v>122989105</v>
      </c>
      <c r="UQ79" s="336">
        <v>71311696</v>
      </c>
      <c r="UR79"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71046582</v>
      </c>
      <c r="US79" s="338">
        <f>SUM(Input[[#This Row],[Oth Exp E&amp;G]],Input[[#This Row],[Oth Exp Desg]],Input[[#This Row],[Oth Exp Aux]],Input[[#This Row],[Oth Exp R Exp]],Input[[#This Row],[Oth Exp Loan]],Input[[#This Row],[Oth Exp Annuity]],Input[[#This Row],[Oth Exp Unexp]],Input[[#This Row],[Oth Exp R of Ind]],Input[[#This Row],[Oth Exp Inv in P]])</f>
        <v>2193282</v>
      </c>
      <c r="UT79" s="336">
        <v>20078812</v>
      </c>
      <c r="UU79" s="336">
        <v>48829131</v>
      </c>
      <c r="UV79" s="339" t="s">
        <v>1497</v>
      </c>
      <c r="UW79" s="340">
        <v>9403695518</v>
      </c>
      <c r="UX79" s="339" t="s">
        <v>1498</v>
      </c>
      <c r="UY79" s="339" t="s">
        <v>1499</v>
      </c>
      <c r="UZ79" s="340">
        <v>9403695095</v>
      </c>
      <c r="VA79" s="339" t="s">
        <v>1500</v>
      </c>
      <c r="VB79" s="341" cm="1">
        <f t="array" ref="VB79">IFERROR(_xlfn.IFS(Input[[#This Row],[Type]]="HRI",VLOOKUP(Input[[#This Row],[Institution Name]],FTSEHRI[],9,FALSE),Input[[#This Row],[Type]]="UNIV",VLOOKUP(Input[[#This Row],[Institution Name]],FTSEUNIV[],9,FALSE),OR(Input[[#This Row],[Type]]="TSTC",Input[[#This Row],[Type]]="LSC"),VLOOKUP(Input[[#This Row],[Institution Name]],FTSETSTC[],8,FALSE)),"N/A")</f>
        <v>38769.89</v>
      </c>
      <c r="VC79" s="342" t="str" cm="1">
        <f t="array" ref="VC79">IFERROR(_xlfn.IFS(Input[[#This Row],[Type]]="HRI",VLOOKUP(Input[[#This Row],[Institution Name]],FTSEHRI[],11,FALSE),Input[[#This Row],[Type]]="UNIV",VLOOKUP(Input[[#This Row],[Institution Name]],FTSEUNIV[],11,FALSE),Input[[#This Row],[Type]]="TSTC",VLOOKUP(Input[[#This Row],[Institution Name]],FTSETSTC[],10,FALSE)),"N/A")</f>
        <v>N/A</v>
      </c>
      <c r="VD79"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211516722</v>
      </c>
      <c r="VE79"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38473304</v>
      </c>
      <c r="VF79" s="338">
        <f>SUM(Input[[#This Row],[Fed G&amp;C E&amp;G]],Input[[#This Row],[Fed G&amp;C Desg]],Input[[#This Row],[Fed G&amp;C R Exp]],Input[[#This Row],[Fed G&amp;C Loan]],Input[[#This Row],[Fed G&amp;C Annuity]],Input[[#This Row],[Fed G&amp;C Unexp]],Input[[#This Row],[Fed G&amp;C R of Ind]],Input[[#This Row],[Fed G&amp;C Inv in P]])</f>
        <v>141679031</v>
      </c>
      <c r="VG79"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71741866</v>
      </c>
      <c r="VH79"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383605899</v>
      </c>
      <c r="VI79"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48421690</v>
      </c>
      <c r="VJ79" s="338">
        <f>SUM(Input[[#This Row],[Oth Inc E&amp;G]],Input[[#This Row],[Oth Exp Desg]],Input[[#This Row],[Oth Exp R Exp]],Input[[#This Row],[Oth Exp Loan]],Input[[#This Row],[Oth Exp Annuity]],Input[[#This Row],[Oth Exp Unexp]],Input[[#This Row],[Oth Exp R of Ind]],Input[[#This Row],[Oth Exp Inv in P]])</f>
        <v>2310808</v>
      </c>
      <c r="VK79" s="343">
        <f>SUM(Input[[#This Row],[Instr E&amp;G]],Input[[#This Row],[Instr Desg]],Input[[#This Row],[Instr R Exp]],Input[[#This Row],[Instr Loan]],Input[[#This Row],[Instr Annuity]],Input[[#This Row],[Instr Unexp]],Input[[#This Row],[Instr R of Ind]],Input[[#This Row],[Instr Inv in P]])</f>
        <v>213629748</v>
      </c>
      <c r="VL79" s="343">
        <f>SUM(Input[[#This Row],[Res E&amp;G]],Input[[#This Row],[Res Desg]],Input[[#This Row],[Res R Exp]],Input[[#This Row],[Res Loan]],Input[[#This Row],[Res Annuity]],Input[[#This Row],[Res Unexp]],Input[[#This Row],[Res R of Ind]],Input[[#This Row],[Res Inv in P]])</f>
        <v>98465142</v>
      </c>
      <c r="VM79" s="343">
        <f>SUM(Input[[#This Row],[Acad Sup E&amp;G]],Input[[#This Row],[Acad Sup Desg]],Input[[#This Row],[Acad Sup R Exp]],Input[[#This Row],[Acad Sup Loan]],Input[[#This Row],[Acad Sup Annuity]],Input[[#This Row],[Acad Sup Unexp]],Input[[#This Row],[Acad Sup R of Ind]],Input[[#This Row],[Acad Sup Inv in P]])</f>
        <v>75804564</v>
      </c>
      <c r="VN79" s="343">
        <f>SUM(Input[[#This Row],[Stu Svc E&amp;G]],Input[[#This Row],[Stu Svc Desg]],Input[[#This Row],[Stu Svc R Exp]],Input[[#This Row],[Stu Svc Loan]],Input[[#This Row],[Stu Svc Annuity]],Input[[#This Row],[Stu Svc Unexp]],Input[[#This Row],[Stu Svc R of Ind]],Input[[#This Row],[Stu Svc Inv in P]])</f>
        <v>107270952</v>
      </c>
      <c r="VO79" s="343">
        <f>SUM(Input[[#This Row],[Inst. Spt E&amp;G]],Input[[#This Row],[Inst. Spt Desg]],Input[[#This Row],[Inst. Spt R Exp]],Input[[#This Row],[Inst. Spt Loan]],Input[[#This Row],[Inst. Spt Annuity]],Input[[#This Row],[Inst. Spt Unexp]],Input[[#This Row],[Inst. Spt R of Ind]],Input[[#This Row],[Inst. Spt Inv in P]])</f>
        <v>62993020</v>
      </c>
      <c r="VP79" s="343">
        <f>SUM(Input[[#This Row],[M&amp;O Plnt E&amp;G]],Input[[#This Row],[M&amp;O Plnt Desg]],Input[[#This Row],[M&amp;O Plnt R Exp]],Input[[#This Row],[M&amp;O Plnt Loan]],Input[[#This Row],[M&amp;O Plnt Annuity]],Input[[#This Row],[M&amp;O Plnt Unexp]],Input[[#This Row],[M&amp;O Plnt R of Ind]],Input[[#This Row],[M&amp;O Plnt Inv in P]])</f>
        <v>57860668</v>
      </c>
      <c r="VQ79" s="343">
        <f>SUM(Input[[#This Row],[Schl &amp; Fell E&amp;G]],Input[[#This Row],[Schl &amp; Fell Desg]],Input[[#This Row],[Schl &amp; Fell R Exp]],Input[[#This Row],[Schl &amp; Fell Loan]],Input[[#This Row],[Schl &amp; Fell Annuity]],Input[[#This Row],[Schl &amp; Fell Unexp]],Input[[#This Row],[Schl &amp; Fell R of Ind]],Input[[#This Row],[Schl &amp; Fell Inv in P]])</f>
        <v>122253006</v>
      </c>
      <c r="VR79" s="343">
        <f>SUM(Input[[#This Row],[Cap Out fund E&amp;G]],Input[[#This Row],[Cap Out fund Desg]],Input[[#This Row],[Cap Out fund R Exp]],Input[[#This Row],[Cap Out fund Loan]],Input[[#This Row],[Cap Out fund Annuity]],Input[[#This Row],[Cap Out fund Unexp]],Input[[#This Row],[Cap Out fund R of Ind]],Input[[#This Row],[Cap Out fund Inv in P]])</f>
        <v>61110337</v>
      </c>
      <c r="VS79" s="343">
        <f>SUM(Input[[#This Row],[Oth Exp E&amp;G]],Input[[#This Row],[Oth Exp Desg]],Input[[#This Row],[Oth Exp R Exp]],Input[[#This Row],[Oth Exp Loan]],Input[[#This Row],[Oth Exp Annuity]],Input[[#This Row],[Oth Exp Unexp]],Input[[#This Row],[Oth Exp R of Ind]],Input[[#This Row],[Oth Exp Inv in P]],Input[[#This Row],[Oth Exp Inv in P]])</f>
        <v>4302797</v>
      </c>
    </row>
    <row r="80" spans="1:591" s="344" customFormat="1" ht="27" customHeight="1" x14ac:dyDescent="0.55000000000000004">
      <c r="A80" s="339" t="s">
        <v>88</v>
      </c>
      <c r="B80" s="334" t="s">
        <v>827</v>
      </c>
      <c r="C80" s="334" t="s">
        <v>21</v>
      </c>
      <c r="D80" s="334">
        <v>333</v>
      </c>
      <c r="E80" s="334" t="s">
        <v>1622</v>
      </c>
      <c r="F80" s="335">
        <v>42421</v>
      </c>
      <c r="G80" s="336">
        <v>46534565</v>
      </c>
      <c r="H80" s="336">
        <v>0</v>
      </c>
      <c r="I80" s="336">
        <v>0</v>
      </c>
      <c r="J80" s="336">
        <v>0</v>
      </c>
      <c r="K80" s="336">
        <v>0</v>
      </c>
      <c r="L80" s="336">
        <v>0</v>
      </c>
      <c r="M80" s="336">
        <v>0</v>
      </c>
      <c r="N80" s="336">
        <v>0</v>
      </c>
      <c r="O80" s="336">
        <v>0</v>
      </c>
      <c r="P80" s="336">
        <v>4411564</v>
      </c>
      <c r="Q80" s="336">
        <v>3467</v>
      </c>
      <c r="R80" s="336">
        <v>0</v>
      </c>
      <c r="S80" s="336">
        <v>1465474</v>
      </c>
      <c r="T80" s="336">
        <v>0</v>
      </c>
      <c r="U80" s="336">
        <v>0</v>
      </c>
      <c r="V80" s="336">
        <v>0</v>
      </c>
      <c r="W80" s="336">
        <v>0</v>
      </c>
      <c r="X80" s="336">
        <v>0</v>
      </c>
      <c r="Y80" s="336">
        <v>3455644</v>
      </c>
      <c r="Z80" s="336">
        <v>0</v>
      </c>
      <c r="AA80" s="336">
        <v>0</v>
      </c>
      <c r="AB80" s="336">
        <v>0</v>
      </c>
      <c r="AC80" s="336">
        <v>0</v>
      </c>
      <c r="AD80" s="336">
        <v>0</v>
      </c>
      <c r="AE80" s="336">
        <v>0</v>
      </c>
      <c r="AF80" s="336">
        <v>0</v>
      </c>
      <c r="AG80" s="336">
        <v>0</v>
      </c>
      <c r="AH80" s="336">
        <v>0</v>
      </c>
      <c r="AI80" s="336">
        <v>0</v>
      </c>
      <c r="AJ80" s="336">
        <v>0</v>
      </c>
      <c r="AK80" s="336">
        <v>0</v>
      </c>
      <c r="AL80" s="336">
        <v>0</v>
      </c>
      <c r="AM80" s="336">
        <v>0</v>
      </c>
      <c r="AN80" s="336">
        <v>0</v>
      </c>
      <c r="AO80" s="336">
        <v>0</v>
      </c>
      <c r="AP80" s="336">
        <v>0</v>
      </c>
      <c r="AQ80" s="336">
        <v>-269719</v>
      </c>
      <c r="AR80" s="336">
        <v>0</v>
      </c>
      <c r="AS80" s="336">
        <v>0</v>
      </c>
      <c r="AT80" s="336">
        <v>0</v>
      </c>
      <c r="AU80" s="336">
        <v>0</v>
      </c>
      <c r="AV80" s="336">
        <v>0</v>
      </c>
      <c r="AW80" s="336">
        <v>0</v>
      </c>
      <c r="AX80" s="336">
        <v>0</v>
      </c>
      <c r="AY80" s="336">
        <v>0</v>
      </c>
      <c r="AZ80" s="336">
        <v>0</v>
      </c>
      <c r="BA80" s="336">
        <v>0</v>
      </c>
      <c r="BB80" s="336">
        <v>0</v>
      </c>
      <c r="BC80" s="336">
        <v>0</v>
      </c>
      <c r="BD80" s="336">
        <v>0</v>
      </c>
      <c r="BE80" s="336">
        <v>0</v>
      </c>
      <c r="BF80" s="336">
        <v>0</v>
      </c>
      <c r="BG80" s="336">
        <v>0</v>
      </c>
      <c r="BH80" s="336">
        <v>0</v>
      </c>
      <c r="BI80" s="336">
        <v>-467755</v>
      </c>
      <c r="BJ80" s="336">
        <v>-1111574</v>
      </c>
      <c r="BK80" s="336">
        <v>0</v>
      </c>
      <c r="BL80" s="336">
        <v>0</v>
      </c>
      <c r="BM80" s="336">
        <v>0</v>
      </c>
      <c r="BN80" s="336">
        <v>0</v>
      </c>
      <c r="BO80" s="336">
        <v>0</v>
      </c>
      <c r="BP80" s="336">
        <v>0</v>
      </c>
      <c r="BQ80" s="336">
        <v>0</v>
      </c>
      <c r="BR80" s="336">
        <v>-157298</v>
      </c>
      <c r="BS80" s="336">
        <v>0</v>
      </c>
      <c r="BT80" s="336">
        <v>0</v>
      </c>
      <c r="BU80" s="336">
        <v>0</v>
      </c>
      <c r="BV80" s="336">
        <v>0</v>
      </c>
      <c r="BW80" s="336">
        <v>0</v>
      </c>
      <c r="BX80" s="336">
        <v>0</v>
      </c>
      <c r="BY80" s="336">
        <v>0</v>
      </c>
      <c r="BZ80" s="336">
        <v>0</v>
      </c>
      <c r="CA80" s="336">
        <v>8710743</v>
      </c>
      <c r="CB80" s="336">
        <v>20356225</v>
      </c>
      <c r="CC80" s="336">
        <v>0</v>
      </c>
      <c r="CD80" s="336">
        <v>0</v>
      </c>
      <c r="CE80" s="336">
        <v>0</v>
      </c>
      <c r="CF80" s="336">
        <v>0</v>
      </c>
      <c r="CG80" s="336">
        <v>0</v>
      </c>
      <c r="CH80" s="336">
        <v>0</v>
      </c>
      <c r="CI80" s="336">
        <v>0</v>
      </c>
      <c r="CJ80" s="336">
        <v>0</v>
      </c>
      <c r="CK80" s="336">
        <v>0</v>
      </c>
      <c r="CL80" s="336">
        <v>0</v>
      </c>
      <c r="CM80" s="336">
        <v>0</v>
      </c>
      <c r="CN80" s="336">
        <v>0</v>
      </c>
      <c r="CO80" s="336">
        <v>0</v>
      </c>
      <c r="CP80" s="336">
        <v>0</v>
      </c>
      <c r="CQ80" s="336">
        <v>0</v>
      </c>
      <c r="CR80" s="336">
        <v>0</v>
      </c>
      <c r="CS80" s="336">
        <v>0</v>
      </c>
      <c r="CT80" s="336">
        <v>0</v>
      </c>
      <c r="CU80" s="336">
        <v>0</v>
      </c>
      <c r="CV80" s="336">
        <v>0</v>
      </c>
      <c r="CW80" s="336">
        <v>0</v>
      </c>
      <c r="CX80" s="336">
        <v>0</v>
      </c>
      <c r="CY80" s="336">
        <v>0</v>
      </c>
      <c r="CZ80" s="336">
        <v>0</v>
      </c>
      <c r="DA80" s="336">
        <v>0</v>
      </c>
      <c r="DB80" s="336">
        <v>0</v>
      </c>
      <c r="DC80" s="336">
        <v>0</v>
      </c>
      <c r="DD80" s="336">
        <v>0</v>
      </c>
      <c r="DE80" s="336">
        <v>0</v>
      </c>
      <c r="DF80" s="336">
        <v>0</v>
      </c>
      <c r="DG80" s="336">
        <v>0</v>
      </c>
      <c r="DH80" s="336">
        <v>0</v>
      </c>
      <c r="DI80" s="336">
        <v>0</v>
      </c>
      <c r="DJ80" s="336">
        <v>0</v>
      </c>
      <c r="DK80" s="336">
        <v>0</v>
      </c>
      <c r="DL80" s="336">
        <v>0</v>
      </c>
      <c r="DM80" s="336">
        <v>0</v>
      </c>
      <c r="DN80" s="336">
        <v>0</v>
      </c>
      <c r="DO80" s="336">
        <v>0</v>
      </c>
      <c r="DP80" s="336">
        <v>0</v>
      </c>
      <c r="DQ80" s="336">
        <v>0</v>
      </c>
      <c r="DR80" s="336">
        <v>0</v>
      </c>
      <c r="DS80" s="336">
        <v>0</v>
      </c>
      <c r="DT80" s="336">
        <v>-1158708</v>
      </c>
      <c r="DU80" s="336">
        <v>-5279528</v>
      </c>
      <c r="DV80" s="336">
        <v>0</v>
      </c>
      <c r="DW80" s="336">
        <v>0</v>
      </c>
      <c r="DX80" s="336">
        <v>0</v>
      </c>
      <c r="DY80" s="336">
        <v>0</v>
      </c>
      <c r="DZ80" s="336">
        <v>0</v>
      </c>
      <c r="EA80" s="336">
        <v>0</v>
      </c>
      <c r="EB80" s="336">
        <v>0</v>
      </c>
      <c r="EC80" s="336">
        <v>0</v>
      </c>
      <c r="ED80" s="336">
        <v>0</v>
      </c>
      <c r="EE80" s="336">
        <v>0</v>
      </c>
      <c r="EF80" s="336">
        <v>0</v>
      </c>
      <c r="EG80" s="336">
        <v>0</v>
      </c>
      <c r="EH80" s="336">
        <v>0</v>
      </c>
      <c r="EI80" s="336">
        <v>0</v>
      </c>
      <c r="EJ80" s="336">
        <v>0</v>
      </c>
      <c r="EK80" s="336">
        <v>0</v>
      </c>
      <c r="EL80" s="336">
        <v>0</v>
      </c>
      <c r="EM80" s="336">
        <v>0</v>
      </c>
      <c r="EN80" s="336">
        <v>0</v>
      </c>
      <c r="EO80" s="336">
        <v>0</v>
      </c>
      <c r="EP80" s="336">
        <v>0</v>
      </c>
      <c r="EQ80" s="336">
        <v>0</v>
      </c>
      <c r="ER80" s="336">
        <v>0</v>
      </c>
      <c r="ES80" s="336">
        <v>0</v>
      </c>
      <c r="ET80" s="336">
        <v>0</v>
      </c>
      <c r="EU80" s="336">
        <v>0</v>
      </c>
      <c r="EV80" s="336">
        <v>0</v>
      </c>
      <c r="EW80" s="336">
        <v>0</v>
      </c>
      <c r="EX80" s="336">
        <v>0</v>
      </c>
      <c r="EY80" s="336">
        <v>0</v>
      </c>
      <c r="EZ80" s="336">
        <v>0</v>
      </c>
      <c r="FA80" s="336">
        <v>0</v>
      </c>
      <c r="FB80" s="336">
        <v>0</v>
      </c>
      <c r="FC80" s="336">
        <v>0</v>
      </c>
      <c r="FD80" s="336">
        <v>0</v>
      </c>
      <c r="FE80" s="336">
        <v>0</v>
      </c>
      <c r="FF80" s="336">
        <v>0</v>
      </c>
      <c r="FG80" s="336">
        <v>0</v>
      </c>
      <c r="FH80" s="336">
        <v>0</v>
      </c>
      <c r="FI80" s="336">
        <v>0</v>
      </c>
      <c r="FJ80" s="336">
        <v>0</v>
      </c>
      <c r="FK80" s="336">
        <v>0</v>
      </c>
      <c r="FL80" s="336">
        <v>0</v>
      </c>
      <c r="FM80" s="336">
        <v>0</v>
      </c>
      <c r="FN80" s="336">
        <v>6289774</v>
      </c>
      <c r="FO80" s="336">
        <v>2100</v>
      </c>
      <c r="FP80" s="336">
        <v>0</v>
      </c>
      <c r="FQ80" s="336">
        <v>882</v>
      </c>
      <c r="FR80" s="336">
        <v>0</v>
      </c>
      <c r="FS80" s="336">
        <v>0</v>
      </c>
      <c r="FT80" s="336">
        <v>0</v>
      </c>
      <c r="FU80" s="336">
        <v>0</v>
      </c>
      <c r="FV80" s="336">
        <v>0</v>
      </c>
      <c r="FW80" s="336">
        <v>0</v>
      </c>
      <c r="FX80" s="336">
        <v>0</v>
      </c>
      <c r="FY80" s="336">
        <v>0</v>
      </c>
      <c r="FZ80" s="336">
        <v>0</v>
      </c>
      <c r="GA80" s="336">
        <v>0</v>
      </c>
      <c r="GB80" s="336">
        <v>0</v>
      </c>
      <c r="GC80" s="336">
        <v>0</v>
      </c>
      <c r="GD80" s="336">
        <v>0</v>
      </c>
      <c r="GE80" s="336">
        <v>0</v>
      </c>
      <c r="GF80" s="336">
        <v>0</v>
      </c>
      <c r="GG80" s="336">
        <v>0</v>
      </c>
      <c r="GH80" s="336">
        <v>0</v>
      </c>
      <c r="GI80" s="336">
        <v>0</v>
      </c>
      <c r="GJ80" s="336">
        <v>0</v>
      </c>
      <c r="GK80" s="336">
        <v>0</v>
      </c>
      <c r="GL80" s="336">
        <v>0</v>
      </c>
      <c r="GM80" s="336">
        <v>0</v>
      </c>
      <c r="GN80" s="336">
        <v>0</v>
      </c>
      <c r="GO80" s="336">
        <v>0</v>
      </c>
      <c r="GP80" s="336">
        <v>0</v>
      </c>
      <c r="GQ80" s="336">
        <v>0</v>
      </c>
      <c r="GR80" s="336">
        <v>0</v>
      </c>
      <c r="GS80" s="336">
        <v>0</v>
      </c>
      <c r="GT80" s="336">
        <v>0</v>
      </c>
      <c r="GU80" s="336">
        <v>0</v>
      </c>
      <c r="GV80" s="336">
        <v>0</v>
      </c>
      <c r="GW80" s="336">
        <v>0</v>
      </c>
      <c r="GX80" s="336">
        <v>0</v>
      </c>
      <c r="GY80" s="336">
        <v>0</v>
      </c>
      <c r="GZ80" s="336">
        <v>0</v>
      </c>
      <c r="HA80" s="336">
        <v>0</v>
      </c>
      <c r="HB80" s="336">
        <v>0</v>
      </c>
      <c r="HC80" s="336">
        <v>0</v>
      </c>
      <c r="HD80" s="336">
        <v>0</v>
      </c>
      <c r="HE80" s="336">
        <v>0</v>
      </c>
      <c r="HF80" s="336">
        <v>0</v>
      </c>
      <c r="HG80" s="336">
        <v>0</v>
      </c>
      <c r="HH80" s="336">
        <v>0</v>
      </c>
      <c r="HI80" s="336">
        <v>0</v>
      </c>
      <c r="HJ80" s="336">
        <v>0</v>
      </c>
      <c r="HK80" s="336">
        <v>0</v>
      </c>
      <c r="HL80" s="336">
        <v>0</v>
      </c>
      <c r="HM80" s="336">
        <v>0</v>
      </c>
      <c r="HN80" s="336">
        <v>0</v>
      </c>
      <c r="HO80" s="336">
        <v>0</v>
      </c>
      <c r="HP80" s="336">
        <v>31361</v>
      </c>
      <c r="HQ80" s="336">
        <v>0</v>
      </c>
      <c r="HR80" s="336">
        <v>15696921</v>
      </c>
      <c r="HS80" s="336">
        <v>0</v>
      </c>
      <c r="HT80" s="336">
        <v>0</v>
      </c>
      <c r="HU80" s="336">
        <v>0</v>
      </c>
      <c r="HV80" s="336">
        <v>0</v>
      </c>
      <c r="HW80" s="336">
        <v>0</v>
      </c>
      <c r="HX80" s="336">
        <v>0</v>
      </c>
      <c r="HY80" s="336">
        <v>0</v>
      </c>
      <c r="HZ80" s="336">
        <v>0</v>
      </c>
      <c r="IA80" s="336">
        <v>0</v>
      </c>
      <c r="IB80" s="336">
        <v>0</v>
      </c>
      <c r="IC80" s="336">
        <v>0</v>
      </c>
      <c r="ID80" s="336">
        <v>0</v>
      </c>
      <c r="IE80" s="336">
        <v>0</v>
      </c>
      <c r="IF80" s="336">
        <v>0</v>
      </c>
      <c r="IG80" s="336">
        <v>0</v>
      </c>
      <c r="IH80" s="336">
        <v>0</v>
      </c>
      <c r="II80" s="336">
        <v>0</v>
      </c>
      <c r="IJ80" s="336">
        <v>0</v>
      </c>
      <c r="IK80" s="336">
        <v>0</v>
      </c>
      <c r="IL80" s="336">
        <v>0</v>
      </c>
      <c r="IM80" s="336">
        <v>0</v>
      </c>
      <c r="IN80" s="336">
        <v>0</v>
      </c>
      <c r="IO80" s="336">
        <v>0</v>
      </c>
      <c r="IP80" s="336">
        <v>232775</v>
      </c>
      <c r="IQ80" s="336">
        <v>901816</v>
      </c>
      <c r="IR80" s="336">
        <v>0</v>
      </c>
      <c r="IS80" s="336">
        <v>774074</v>
      </c>
      <c r="IT80" s="336">
        <v>0</v>
      </c>
      <c r="IU80" s="336">
        <v>37438</v>
      </c>
      <c r="IV80" s="336">
        <v>0</v>
      </c>
      <c r="IW80" s="336">
        <v>0</v>
      </c>
      <c r="IX80" s="336">
        <v>0</v>
      </c>
      <c r="IY80" s="336">
        <v>0</v>
      </c>
      <c r="IZ80" s="336">
        <v>0</v>
      </c>
      <c r="JA80" s="336">
        <v>0</v>
      </c>
      <c r="JB80" s="336">
        <v>23726</v>
      </c>
      <c r="JC80" s="336">
        <v>0</v>
      </c>
      <c r="JD80" s="336">
        <v>0</v>
      </c>
      <c r="JE80" s="336">
        <v>0</v>
      </c>
      <c r="JF80" s="336">
        <v>0</v>
      </c>
      <c r="JG80" s="336">
        <v>0</v>
      </c>
      <c r="JH80" s="336">
        <v>0</v>
      </c>
      <c r="JI80" s="336">
        <v>0</v>
      </c>
      <c r="JJ80" s="336">
        <v>0</v>
      </c>
      <c r="JK80" s="336">
        <v>1579914</v>
      </c>
      <c r="JL80" s="336">
        <v>0</v>
      </c>
      <c r="JM80" s="336">
        <v>0</v>
      </c>
      <c r="JN80" s="336">
        <v>0</v>
      </c>
      <c r="JO80" s="336">
        <v>0</v>
      </c>
      <c r="JP80" s="336">
        <v>0</v>
      </c>
      <c r="JQ80" s="336">
        <v>0</v>
      </c>
      <c r="JR80" s="336">
        <v>937269</v>
      </c>
      <c r="JS80" s="336">
        <v>0</v>
      </c>
      <c r="JT80" s="336">
        <v>17517</v>
      </c>
      <c r="JU80" s="336">
        <v>0</v>
      </c>
      <c r="JV80" s="336">
        <v>0</v>
      </c>
      <c r="JW80" s="336">
        <v>0</v>
      </c>
      <c r="JX80" s="336">
        <v>0</v>
      </c>
      <c r="JY80" s="336">
        <v>0</v>
      </c>
      <c r="JZ80" s="336">
        <v>0</v>
      </c>
      <c r="KA80" s="336">
        <v>0</v>
      </c>
      <c r="KB80" s="336">
        <v>1241299</v>
      </c>
      <c r="KC80" s="336">
        <v>0</v>
      </c>
      <c r="KD80" s="336">
        <v>0</v>
      </c>
      <c r="KE80" s="336">
        <v>0</v>
      </c>
      <c r="KF80" s="336">
        <v>0</v>
      </c>
      <c r="KG80" s="336">
        <v>0</v>
      </c>
      <c r="KH80" s="336">
        <v>0</v>
      </c>
      <c r="KI80" s="336">
        <v>0</v>
      </c>
      <c r="KJ80" s="336">
        <v>727561</v>
      </c>
      <c r="KK80" s="336">
        <v>6547</v>
      </c>
      <c r="KL80" s="336">
        <v>-530184</v>
      </c>
      <c r="KM80" s="336">
        <v>0</v>
      </c>
      <c r="KN80" s="336">
        <v>0</v>
      </c>
      <c r="KO80" s="336">
        <v>0</v>
      </c>
      <c r="KP80" s="336">
        <v>0</v>
      </c>
      <c r="KQ80" s="336">
        <v>0</v>
      </c>
      <c r="KR80" s="336">
        <v>16896738</v>
      </c>
      <c r="KS80" s="336">
        <v>2242376</v>
      </c>
      <c r="KT80" s="336">
        <v>0</v>
      </c>
      <c r="KU80" s="336">
        <v>1032383</v>
      </c>
      <c r="KV80" s="336">
        <v>0</v>
      </c>
      <c r="KW80" s="336">
        <v>0</v>
      </c>
      <c r="KX80" s="336">
        <v>0</v>
      </c>
      <c r="KY80" s="336">
        <v>0</v>
      </c>
      <c r="KZ80" s="336">
        <v>0</v>
      </c>
      <c r="LA80" s="336">
        <v>405625</v>
      </c>
      <c r="LB80" s="336">
        <v>358253</v>
      </c>
      <c r="LC80" s="336">
        <v>0</v>
      </c>
      <c r="LD80" s="336">
        <v>249034</v>
      </c>
      <c r="LE80" s="336">
        <v>0</v>
      </c>
      <c r="LF80" s="336">
        <v>0</v>
      </c>
      <c r="LG80" s="336">
        <v>0</v>
      </c>
      <c r="LH80" s="336">
        <v>0</v>
      </c>
      <c r="LI80" s="336">
        <v>0</v>
      </c>
      <c r="LJ80" s="336">
        <v>543105</v>
      </c>
      <c r="LK80" s="336">
        <v>1445070</v>
      </c>
      <c r="LL80" s="336">
        <v>0</v>
      </c>
      <c r="LM80" s="336">
        <v>6765082</v>
      </c>
      <c r="LN80" s="336">
        <v>0</v>
      </c>
      <c r="LO80" s="336">
        <v>0</v>
      </c>
      <c r="LP80" s="336">
        <v>0</v>
      </c>
      <c r="LQ80" s="336">
        <v>0</v>
      </c>
      <c r="LR80" s="336">
        <v>0</v>
      </c>
      <c r="LS80" s="336">
        <v>0</v>
      </c>
      <c r="LT80" s="336">
        <v>0</v>
      </c>
      <c r="LU80" s="336">
        <v>0</v>
      </c>
      <c r="LV80" s="336">
        <v>0</v>
      </c>
      <c r="LW80" s="336">
        <v>0</v>
      </c>
      <c r="LX80" s="336">
        <v>0</v>
      </c>
      <c r="LY80" s="336">
        <v>0</v>
      </c>
      <c r="LZ80" s="336">
        <v>0</v>
      </c>
      <c r="MA80" s="336">
        <v>0</v>
      </c>
      <c r="MB80" s="336">
        <v>4301019</v>
      </c>
      <c r="MC80" s="336">
        <v>1991838</v>
      </c>
      <c r="MD80" s="336">
        <v>0</v>
      </c>
      <c r="ME80" s="336">
        <v>5350</v>
      </c>
      <c r="MF80" s="336">
        <v>0</v>
      </c>
      <c r="MG80" s="336">
        <v>0</v>
      </c>
      <c r="MH80" s="336">
        <v>0</v>
      </c>
      <c r="MI80" s="336">
        <v>0</v>
      </c>
      <c r="MJ80" s="336">
        <v>0</v>
      </c>
      <c r="MK80" s="336">
        <v>4863754</v>
      </c>
      <c r="ML80" s="336">
        <v>6447851</v>
      </c>
      <c r="MM80" s="336">
        <v>0</v>
      </c>
      <c r="MN80" s="336">
        <v>68455</v>
      </c>
      <c r="MO80" s="336">
        <v>0</v>
      </c>
      <c r="MP80" s="336">
        <v>0</v>
      </c>
      <c r="MQ80" s="336">
        <v>0</v>
      </c>
      <c r="MR80" s="336">
        <v>0</v>
      </c>
      <c r="MS80" s="336">
        <v>0</v>
      </c>
      <c r="MT80" s="336">
        <v>6659474</v>
      </c>
      <c r="MU80" s="336">
        <v>2181092</v>
      </c>
      <c r="MV80" s="336">
        <v>0</v>
      </c>
      <c r="MW80" s="336">
        <v>590</v>
      </c>
      <c r="MX80" s="336">
        <v>0</v>
      </c>
      <c r="MY80" s="336">
        <v>11516</v>
      </c>
      <c r="MZ80" s="336">
        <v>0</v>
      </c>
      <c r="NA80" s="336">
        <v>0</v>
      </c>
      <c r="NB80" s="336">
        <v>0</v>
      </c>
      <c r="NC80" s="336">
        <v>3486918</v>
      </c>
      <c r="ND80" s="336">
        <v>3210205</v>
      </c>
      <c r="NE80" s="336">
        <v>0</v>
      </c>
      <c r="NF80" s="336">
        <v>0</v>
      </c>
      <c r="NG80" s="336">
        <v>0</v>
      </c>
      <c r="NH80" s="336">
        <v>0</v>
      </c>
      <c r="NI80" s="336">
        <v>0</v>
      </c>
      <c r="NJ80" s="336">
        <v>0</v>
      </c>
      <c r="NK80" s="336">
        <v>0</v>
      </c>
      <c r="NL80" s="336">
        <v>4962315</v>
      </c>
      <c r="NM80" s="336">
        <v>1444755</v>
      </c>
      <c r="NN80" s="336">
        <v>0</v>
      </c>
      <c r="NO80" s="336">
        <v>10882054</v>
      </c>
      <c r="NP80" s="336">
        <v>0</v>
      </c>
      <c r="NQ80" s="336">
        <v>0</v>
      </c>
      <c r="NR80" s="336">
        <v>0</v>
      </c>
      <c r="NS80" s="336">
        <v>0</v>
      </c>
      <c r="NT80" s="336">
        <v>0</v>
      </c>
      <c r="NU80" s="336">
        <v>0</v>
      </c>
      <c r="NV80" s="336">
        <v>0</v>
      </c>
      <c r="NW80" s="336">
        <v>1426526</v>
      </c>
      <c r="NX80" s="336">
        <v>0</v>
      </c>
      <c r="NY80" s="336">
        <v>0</v>
      </c>
      <c r="NZ80" s="336">
        <v>0</v>
      </c>
      <c r="OA80" s="336">
        <v>0</v>
      </c>
      <c r="OB80" s="336">
        <v>0</v>
      </c>
      <c r="OC80" s="336">
        <v>0</v>
      </c>
      <c r="OD80" s="336">
        <v>1639004</v>
      </c>
      <c r="OE80" s="336">
        <v>72112</v>
      </c>
      <c r="OF80" s="336">
        <v>0</v>
      </c>
      <c r="OG80" s="336">
        <v>83783</v>
      </c>
      <c r="OH80" s="336">
        <v>0</v>
      </c>
      <c r="OI80" s="336">
        <v>0</v>
      </c>
      <c r="OJ80" s="336">
        <v>0</v>
      </c>
      <c r="OK80" s="336">
        <v>0</v>
      </c>
      <c r="OL80" s="336">
        <v>0</v>
      </c>
      <c r="OM80" s="336">
        <v>0</v>
      </c>
      <c r="ON80" s="336">
        <v>0</v>
      </c>
      <c r="OO80" s="336">
        <v>0</v>
      </c>
      <c r="OP80" s="336">
        <v>5953</v>
      </c>
      <c r="OQ80" s="336">
        <v>0</v>
      </c>
      <c r="OR80" s="336">
        <v>0</v>
      </c>
      <c r="OS80" s="336">
        <v>0</v>
      </c>
      <c r="OT80" s="336">
        <v>0</v>
      </c>
      <c r="OU80" s="336">
        <v>0</v>
      </c>
      <c r="OV80" s="336">
        <v>0</v>
      </c>
      <c r="OW80" s="336">
        <v>0</v>
      </c>
      <c r="OX80" s="336">
        <v>0</v>
      </c>
      <c r="OY80" s="336">
        <v>0</v>
      </c>
      <c r="OZ80" s="336">
        <v>0</v>
      </c>
      <c r="PA80" s="336">
        <v>0</v>
      </c>
      <c r="PB80" s="336">
        <v>0</v>
      </c>
      <c r="PC80" s="336">
        <v>0</v>
      </c>
      <c r="PD80" s="336">
        <v>-259020</v>
      </c>
      <c r="PE80" s="336">
        <v>-14381589</v>
      </c>
      <c r="PF80" s="336">
        <v>-6566242</v>
      </c>
      <c r="PG80" s="336">
        <v>-428165</v>
      </c>
      <c r="PH80" s="336">
        <v>-60530</v>
      </c>
      <c r="PI80" s="336">
        <v>152069</v>
      </c>
      <c r="PJ80" s="336">
        <v>-26767</v>
      </c>
      <c r="PK80" s="336">
        <v>0</v>
      </c>
      <c r="PL80" s="336">
        <v>-9289643</v>
      </c>
      <c r="PM80" s="336">
        <v>298342</v>
      </c>
      <c r="PN80" s="336">
        <v>0</v>
      </c>
      <c r="PO80" s="336">
        <v>0</v>
      </c>
      <c r="PP80" s="336">
        <v>0</v>
      </c>
      <c r="PQ80" s="336">
        <v>0</v>
      </c>
      <c r="PR80" s="336">
        <v>0</v>
      </c>
      <c r="PS80" s="336">
        <v>0</v>
      </c>
      <c r="PT80" s="336">
        <v>0</v>
      </c>
      <c r="PU80" s="336">
        <v>0</v>
      </c>
      <c r="PV80" s="336">
        <v>0</v>
      </c>
      <c r="PW80" s="336">
        <v>0</v>
      </c>
      <c r="PX80" s="336">
        <v>0</v>
      </c>
      <c r="PY80" s="336">
        <v>0</v>
      </c>
      <c r="PZ80" s="336">
        <v>0</v>
      </c>
      <c r="QA80" s="336">
        <v>0</v>
      </c>
      <c r="QB80" s="336">
        <v>0</v>
      </c>
      <c r="QC80" s="336">
        <v>0</v>
      </c>
      <c r="QD80" s="336">
        <v>0</v>
      </c>
      <c r="QE80" s="336">
        <v>-28877</v>
      </c>
      <c r="QF80" s="336">
        <v>0</v>
      </c>
      <c r="QG80" s="336">
        <v>2308880</v>
      </c>
      <c r="QH80" s="336">
        <v>0</v>
      </c>
      <c r="QI80" s="336">
        <v>0</v>
      </c>
      <c r="QJ80" s="336">
        <v>0</v>
      </c>
      <c r="QK80" s="336">
        <v>105536</v>
      </c>
      <c r="QL80" s="336">
        <v>0</v>
      </c>
      <c r="QM80" s="336">
        <v>0</v>
      </c>
      <c r="QN80" s="336">
        <v>0</v>
      </c>
      <c r="QO80" s="336">
        <v>0</v>
      </c>
      <c r="QP80" s="336">
        <v>0</v>
      </c>
      <c r="QQ80" s="336">
        <v>0</v>
      </c>
      <c r="QR80" s="336">
        <v>0</v>
      </c>
      <c r="QS80" s="336">
        <v>0</v>
      </c>
      <c r="QT80" s="336">
        <v>17570</v>
      </c>
      <c r="QU80" s="336">
        <v>0</v>
      </c>
      <c r="QV80" s="336">
        <v>0</v>
      </c>
      <c r="QW80" s="336">
        <v>0</v>
      </c>
      <c r="QX80" s="336">
        <v>0</v>
      </c>
      <c r="QY80" s="336">
        <v>0</v>
      </c>
      <c r="QZ80" s="336">
        <v>0</v>
      </c>
      <c r="RA80" s="336">
        <v>0</v>
      </c>
      <c r="RB80" s="336">
        <v>0</v>
      </c>
      <c r="RC80" s="336">
        <v>0</v>
      </c>
      <c r="RD80" s="336">
        <v>0</v>
      </c>
      <c r="RE80" s="336">
        <v>0</v>
      </c>
      <c r="RF80" s="336">
        <v>0</v>
      </c>
      <c r="RG80" s="336">
        <v>0</v>
      </c>
      <c r="RH80" s="336">
        <v>0</v>
      </c>
      <c r="RI80" s="336">
        <v>0</v>
      </c>
      <c r="RJ80" s="336">
        <v>0</v>
      </c>
      <c r="RK80" s="336">
        <v>0</v>
      </c>
      <c r="RL80" s="336">
        <v>0</v>
      </c>
      <c r="RM80" s="336">
        <v>0</v>
      </c>
      <c r="RN80" s="336">
        <v>0</v>
      </c>
      <c r="RO80" s="336">
        <v>-11862947</v>
      </c>
      <c r="RP80" s="336">
        <v>0</v>
      </c>
      <c r="RQ80" s="336">
        <v>0</v>
      </c>
      <c r="RR80" s="336">
        <v>0</v>
      </c>
      <c r="RS80" s="336">
        <v>0</v>
      </c>
      <c r="RT80" s="336">
        <v>0</v>
      </c>
      <c r="RU80" s="336">
        <v>0</v>
      </c>
      <c r="RV80" s="336">
        <v>0</v>
      </c>
      <c r="RW80" s="336">
        <v>0</v>
      </c>
      <c r="RX80" s="336">
        <v>0</v>
      </c>
      <c r="RY80" s="336">
        <v>0</v>
      </c>
      <c r="RZ80" s="336">
        <v>0</v>
      </c>
      <c r="SA80" s="336">
        <v>0</v>
      </c>
      <c r="SB80" s="336">
        <v>0</v>
      </c>
      <c r="SC80" s="336">
        <v>0</v>
      </c>
      <c r="SD80" s="336">
        <v>0</v>
      </c>
      <c r="SE80" s="336">
        <v>0</v>
      </c>
      <c r="SF80" s="336">
        <v>0</v>
      </c>
      <c r="SG80" s="336">
        <v>0</v>
      </c>
      <c r="SH80" s="336">
        <v>0</v>
      </c>
      <c r="SI80" s="336">
        <v>0</v>
      </c>
      <c r="SJ80" s="336">
        <v>0</v>
      </c>
      <c r="SK80" s="336">
        <v>0</v>
      </c>
      <c r="SL80" s="336">
        <v>0</v>
      </c>
      <c r="SM80" s="336">
        <v>0</v>
      </c>
      <c r="SN80" s="336">
        <v>0</v>
      </c>
      <c r="SO80" s="336">
        <v>0</v>
      </c>
      <c r="SP80" s="336">
        <v>7302</v>
      </c>
      <c r="SQ80" s="336">
        <v>0</v>
      </c>
      <c r="SR80" s="336">
        <v>0</v>
      </c>
      <c r="SS80" s="336">
        <v>0</v>
      </c>
      <c r="ST80" s="336">
        <v>0</v>
      </c>
      <c r="SU80" s="336">
        <v>0</v>
      </c>
      <c r="SV80" s="336">
        <v>0</v>
      </c>
      <c r="SW80" s="336">
        <v>0</v>
      </c>
      <c r="SX80" s="336">
        <v>0</v>
      </c>
      <c r="SY80" s="336">
        <v>2053919</v>
      </c>
      <c r="SZ80" s="336" t="s">
        <v>1420</v>
      </c>
      <c r="TA80" s="336" t="s">
        <v>1420</v>
      </c>
      <c r="TB80" s="336" t="s">
        <v>1420</v>
      </c>
      <c r="TC80" s="336">
        <v>0</v>
      </c>
      <c r="TD80" s="336">
        <v>0</v>
      </c>
      <c r="TE80" s="336">
        <v>71615</v>
      </c>
      <c r="TF80" s="336">
        <v>0</v>
      </c>
      <c r="TG80" s="336">
        <v>1301007</v>
      </c>
      <c r="TH80" s="336">
        <v>263368</v>
      </c>
      <c r="TI80" s="336">
        <v>0</v>
      </c>
      <c r="TJ80" s="336">
        <v>158909</v>
      </c>
      <c r="TK80" s="336">
        <v>0</v>
      </c>
      <c r="TL80" s="336">
        <v>0</v>
      </c>
      <c r="TM80" s="336">
        <v>0</v>
      </c>
      <c r="TN80" s="336">
        <v>10556</v>
      </c>
      <c r="TO80" s="336">
        <v>0</v>
      </c>
      <c r="TP80" s="336">
        <v>0</v>
      </c>
      <c r="TQ80" s="336">
        <v>0</v>
      </c>
      <c r="TR80" s="336">
        <v>0</v>
      </c>
      <c r="TS80" s="336">
        <v>0</v>
      </c>
      <c r="TT80" s="336">
        <v>0</v>
      </c>
      <c r="TU80" s="336">
        <v>0</v>
      </c>
      <c r="TV80" s="336">
        <v>0</v>
      </c>
      <c r="TW80" s="336">
        <v>0</v>
      </c>
      <c r="TX80" s="336">
        <v>0</v>
      </c>
      <c r="TY80" s="336">
        <v>0</v>
      </c>
      <c r="TZ80" s="336">
        <v>0</v>
      </c>
      <c r="UA80" s="336">
        <v>0</v>
      </c>
      <c r="UB80" s="336">
        <v>0</v>
      </c>
      <c r="UC80" s="336">
        <v>0</v>
      </c>
      <c r="UD80" s="336">
        <v>0</v>
      </c>
      <c r="UE80" s="336">
        <v>0</v>
      </c>
      <c r="UF80" s="336">
        <v>0</v>
      </c>
      <c r="UG80" s="336">
        <v>0</v>
      </c>
      <c r="UH80" s="336">
        <v>20171497</v>
      </c>
      <c r="UI80" s="336">
        <v>1012912</v>
      </c>
      <c r="UJ80" s="336">
        <v>8753257</v>
      </c>
      <c r="UK80" s="336">
        <v>0</v>
      </c>
      <c r="UL80" s="336">
        <v>6298207</v>
      </c>
      <c r="UM80" s="336">
        <v>11380060</v>
      </c>
      <c r="UN80" s="336">
        <v>8852672</v>
      </c>
      <c r="UO80" s="336">
        <v>6697123</v>
      </c>
      <c r="UP80" s="336">
        <v>17289124</v>
      </c>
      <c r="UQ80" s="336">
        <v>1426526</v>
      </c>
      <c r="UR80"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1794899</v>
      </c>
      <c r="US80" s="338">
        <f>SUM(Input[[#This Row],[Oth Exp E&amp;G]],Input[[#This Row],[Oth Exp Desg]],Input[[#This Row],[Oth Exp Aux]],Input[[#This Row],[Oth Exp R Exp]],Input[[#This Row],[Oth Exp Loan]],Input[[#This Row],[Oth Exp Annuity]],Input[[#This Row],[Oth Exp Unexp]],Input[[#This Row],[Oth Exp R of Ind]],Input[[#This Row],[Oth Exp Inv in P]])</f>
        <v>5953</v>
      </c>
      <c r="UT80" s="336">
        <v>0</v>
      </c>
      <c r="UU80" s="336">
        <v>0</v>
      </c>
      <c r="UV80" s="339" t="s">
        <v>1501</v>
      </c>
      <c r="UW80" s="340">
        <v>9723381425</v>
      </c>
      <c r="UX80" s="339" t="s">
        <v>1502</v>
      </c>
      <c r="UY80" s="339" t="s">
        <v>1503</v>
      </c>
      <c r="UZ80" s="340"/>
      <c r="VA80" s="339" t="s">
        <v>1504</v>
      </c>
      <c r="VB80" s="341" cm="1">
        <f t="array" ref="VB80">IFERROR(_xlfn.IFS(Input[[#This Row],[Type]]="HRI",VLOOKUP(Input[[#This Row],[Institution Name]],FTSEHRI[],9,FALSE),Input[[#This Row],[Type]]="UNIV",VLOOKUP(Input[[#This Row],[Institution Name]],FTSEUNIV[],9,FALSE),OR(Input[[#This Row],[Type]]="TSTC",Input[[#This Row],[Type]]="LSC"),VLOOKUP(Input[[#This Row],[Institution Name]],FTSETSTC[],8,FALSE)),"N/A")</f>
        <v>3136.08</v>
      </c>
      <c r="VC80" s="342" t="str" cm="1">
        <f t="array" ref="VC80">IFERROR(_xlfn.IFS(Input[[#This Row],[Type]]="HRI",VLOOKUP(Input[[#This Row],[Institution Name]],FTSEHRI[],11,FALSE),Input[[#This Row],[Type]]="UNIV",VLOOKUP(Input[[#This Row],[Institution Name]],FTSEUNIV[],11,FALSE),Input[[#This Row],[Type]]="TSTC",VLOOKUP(Input[[#This Row],[Institution Name]],FTSETSTC[],10,FALSE)),"N/A")</f>
        <v>N/A</v>
      </c>
      <c r="VD80"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52415070</v>
      </c>
      <c r="VE80"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3455644</v>
      </c>
      <c r="VF80" s="338">
        <f>SUM(Input[[#This Row],[Fed G&amp;C E&amp;G]],Input[[#This Row],[Fed G&amp;C Desg]],Input[[#This Row],[Fed G&amp;C R Exp]],Input[[#This Row],[Fed G&amp;C Loan]],Input[[#This Row],[Fed G&amp;C Annuity]],Input[[#This Row],[Fed G&amp;C Unexp]],Input[[#This Row],[Fed G&amp;C R of Ind]],Input[[#This Row],[Fed G&amp;C Inv in P]])</f>
        <v>15728282</v>
      </c>
      <c r="VG80"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4701906</v>
      </c>
      <c r="VH80"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22628732</v>
      </c>
      <c r="VI80"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6289774</v>
      </c>
      <c r="VJ80" s="338">
        <f>SUM(Input[[#This Row],[Oth Inc E&amp;G]],Input[[#This Row],[Oth Exp Desg]],Input[[#This Row],[Oth Exp R Exp]],Input[[#This Row],[Oth Exp Loan]],Input[[#This Row],[Oth Exp Annuity]],Input[[#This Row],[Oth Exp Unexp]],Input[[#This Row],[Oth Exp R of Ind]],Input[[#This Row],[Oth Exp Inv in P]])</f>
        <v>5953</v>
      </c>
      <c r="VK80" s="343">
        <f>SUM(Input[[#This Row],[Instr E&amp;G]],Input[[#This Row],[Instr Desg]],Input[[#This Row],[Instr R Exp]],Input[[#This Row],[Instr Loan]],Input[[#This Row],[Instr Annuity]],Input[[#This Row],[Instr Unexp]],Input[[#This Row],[Instr R of Ind]],Input[[#This Row],[Instr Inv in P]])</f>
        <v>20171497</v>
      </c>
      <c r="VL80" s="343">
        <f>SUM(Input[[#This Row],[Res E&amp;G]],Input[[#This Row],[Res Desg]],Input[[#This Row],[Res R Exp]],Input[[#This Row],[Res Loan]],Input[[#This Row],[Res Annuity]],Input[[#This Row],[Res Unexp]],Input[[#This Row],[Res R of Ind]],Input[[#This Row],[Res Inv in P]])</f>
        <v>1012912</v>
      </c>
      <c r="VM80" s="343">
        <f>SUM(Input[[#This Row],[Acad Sup E&amp;G]],Input[[#This Row],[Acad Sup Desg]],Input[[#This Row],[Acad Sup R Exp]],Input[[#This Row],[Acad Sup Loan]],Input[[#This Row],[Acad Sup Annuity]],Input[[#This Row],[Acad Sup Unexp]],Input[[#This Row],[Acad Sup R of Ind]],Input[[#This Row],[Acad Sup Inv in P]])</f>
        <v>6298207</v>
      </c>
      <c r="VN80" s="343">
        <f>SUM(Input[[#This Row],[Stu Svc E&amp;G]],Input[[#This Row],[Stu Svc Desg]],Input[[#This Row],[Stu Svc R Exp]],Input[[#This Row],[Stu Svc Loan]],Input[[#This Row],[Stu Svc Annuity]],Input[[#This Row],[Stu Svc Unexp]],Input[[#This Row],[Stu Svc R of Ind]],Input[[#This Row],[Stu Svc Inv in P]])</f>
        <v>11380060</v>
      </c>
      <c r="VO80" s="343">
        <f>SUM(Input[[#This Row],[Inst. Spt E&amp;G]],Input[[#This Row],[Inst. Spt Desg]],Input[[#This Row],[Inst. Spt R Exp]],Input[[#This Row],[Inst. Spt Loan]],Input[[#This Row],[Inst. Spt Annuity]],Input[[#This Row],[Inst. Spt Unexp]],Input[[#This Row],[Inst. Spt R of Ind]],Input[[#This Row],[Inst. Spt Inv in P]])</f>
        <v>8852672</v>
      </c>
      <c r="VP80" s="343">
        <f>SUM(Input[[#This Row],[M&amp;O Plnt E&amp;G]],Input[[#This Row],[M&amp;O Plnt Desg]],Input[[#This Row],[M&amp;O Plnt R Exp]],Input[[#This Row],[M&amp;O Plnt Loan]],Input[[#This Row],[M&amp;O Plnt Annuity]],Input[[#This Row],[M&amp;O Plnt Unexp]],Input[[#This Row],[M&amp;O Plnt R of Ind]],Input[[#This Row],[M&amp;O Plnt Inv in P]])</f>
        <v>6697123</v>
      </c>
      <c r="VQ80" s="343">
        <f>SUM(Input[[#This Row],[Schl &amp; Fell E&amp;G]],Input[[#This Row],[Schl &amp; Fell Desg]],Input[[#This Row],[Schl &amp; Fell R Exp]],Input[[#This Row],[Schl &amp; Fell Loan]],Input[[#This Row],[Schl &amp; Fell Annuity]],Input[[#This Row],[Schl &amp; Fell Unexp]],Input[[#This Row],[Schl &amp; Fell R of Ind]],Input[[#This Row],[Schl &amp; Fell Inv in P]])</f>
        <v>17289124</v>
      </c>
      <c r="VR80" s="343">
        <f>SUM(Input[[#This Row],[Cap Out fund E&amp;G]],Input[[#This Row],[Cap Out fund Desg]],Input[[#This Row],[Cap Out fund R Exp]],Input[[#This Row],[Cap Out fund Loan]],Input[[#This Row],[Cap Out fund Annuity]],Input[[#This Row],[Cap Out fund Unexp]],Input[[#This Row],[Cap Out fund R of Ind]],Input[[#This Row],[Cap Out fund Inv in P]])</f>
        <v>1794899</v>
      </c>
      <c r="VS80" s="343">
        <f>SUM(Input[[#This Row],[Oth Exp E&amp;G]],Input[[#This Row],[Oth Exp Desg]],Input[[#This Row],[Oth Exp R Exp]],Input[[#This Row],[Oth Exp Loan]],Input[[#This Row],[Oth Exp Annuity]],Input[[#This Row],[Oth Exp Unexp]],Input[[#This Row],[Oth Exp R of Ind]],Input[[#This Row],[Oth Exp Inv in P]],Input[[#This Row],[Oth Exp Inv in P]])</f>
        <v>5953</v>
      </c>
    </row>
    <row r="81" spans="1:591" s="344" customFormat="1" ht="27" customHeight="1" x14ac:dyDescent="0.55000000000000004">
      <c r="A81" s="339" t="s">
        <v>46</v>
      </c>
      <c r="B81" s="334" t="s">
        <v>827</v>
      </c>
      <c r="C81" s="334" t="s">
        <v>14</v>
      </c>
      <c r="D81" s="334">
        <v>461</v>
      </c>
      <c r="E81" s="334" t="s">
        <v>1622</v>
      </c>
      <c r="F81" s="335">
        <v>130</v>
      </c>
      <c r="G81" s="336">
        <v>131747183</v>
      </c>
      <c r="H81" s="336">
        <v>0</v>
      </c>
      <c r="I81" s="336">
        <v>0</v>
      </c>
      <c r="J81" s="336">
        <v>0</v>
      </c>
      <c r="K81" s="336">
        <v>0</v>
      </c>
      <c r="L81" s="336">
        <v>0</v>
      </c>
      <c r="M81" s="336">
        <v>0</v>
      </c>
      <c r="N81" s="336">
        <v>0</v>
      </c>
      <c r="O81" s="336">
        <v>0</v>
      </c>
      <c r="P81" s="336">
        <v>1134044</v>
      </c>
      <c r="Q81" s="336">
        <v>0</v>
      </c>
      <c r="R81" s="336">
        <v>0</v>
      </c>
      <c r="S81" s="336">
        <v>1722001</v>
      </c>
      <c r="T81" s="336">
        <v>0</v>
      </c>
      <c r="U81" s="336">
        <v>0</v>
      </c>
      <c r="V81" s="336">
        <v>0</v>
      </c>
      <c r="W81" s="336">
        <v>0</v>
      </c>
      <c r="X81" s="336">
        <v>0</v>
      </c>
      <c r="Y81" s="336">
        <v>15581837</v>
      </c>
      <c r="Z81" s="336">
        <v>0</v>
      </c>
      <c r="AA81" s="336">
        <v>0</v>
      </c>
      <c r="AB81" s="336">
        <v>0</v>
      </c>
      <c r="AC81" s="336">
        <v>0</v>
      </c>
      <c r="AD81" s="336">
        <v>0</v>
      </c>
      <c r="AE81" s="336">
        <v>0</v>
      </c>
      <c r="AF81" s="336">
        <v>0</v>
      </c>
      <c r="AG81" s="336">
        <v>0</v>
      </c>
      <c r="AH81" s="336">
        <v>0</v>
      </c>
      <c r="AI81" s="336">
        <v>0</v>
      </c>
      <c r="AJ81" s="336">
        <v>0</v>
      </c>
      <c r="AK81" s="336">
        <v>0</v>
      </c>
      <c r="AL81" s="336">
        <v>0</v>
      </c>
      <c r="AM81" s="336">
        <v>0</v>
      </c>
      <c r="AN81" s="336">
        <v>0</v>
      </c>
      <c r="AO81" s="336">
        <v>0</v>
      </c>
      <c r="AP81" s="336">
        <v>0</v>
      </c>
      <c r="AQ81" s="336">
        <v>0</v>
      </c>
      <c r="AR81" s="336">
        <v>0</v>
      </c>
      <c r="AS81" s="336">
        <v>0</v>
      </c>
      <c r="AT81" s="336">
        <v>0</v>
      </c>
      <c r="AU81" s="336">
        <v>0</v>
      </c>
      <c r="AV81" s="336">
        <v>0</v>
      </c>
      <c r="AW81" s="336">
        <v>0</v>
      </c>
      <c r="AX81" s="336">
        <v>0</v>
      </c>
      <c r="AY81" s="336">
        <v>0</v>
      </c>
      <c r="AZ81" s="336">
        <v>-1376911</v>
      </c>
      <c r="BA81" s="336">
        <v>-448809</v>
      </c>
      <c r="BB81" s="336">
        <v>0</v>
      </c>
      <c r="BC81" s="336">
        <v>0</v>
      </c>
      <c r="BD81" s="336">
        <v>0</v>
      </c>
      <c r="BE81" s="336">
        <v>0</v>
      </c>
      <c r="BF81" s="336">
        <v>0</v>
      </c>
      <c r="BG81" s="336">
        <v>0</v>
      </c>
      <c r="BH81" s="336">
        <v>0</v>
      </c>
      <c r="BI81" s="336">
        <v>0</v>
      </c>
      <c r="BJ81" s="336">
        <v>0</v>
      </c>
      <c r="BK81" s="336">
        <v>0</v>
      </c>
      <c r="BL81" s="336">
        <v>0</v>
      </c>
      <c r="BM81" s="336">
        <v>0</v>
      </c>
      <c r="BN81" s="336">
        <v>0</v>
      </c>
      <c r="BO81" s="336">
        <v>0</v>
      </c>
      <c r="BP81" s="336">
        <v>0</v>
      </c>
      <c r="BQ81" s="336">
        <v>0</v>
      </c>
      <c r="BR81" s="336">
        <v>0</v>
      </c>
      <c r="BS81" s="336">
        <v>0</v>
      </c>
      <c r="BT81" s="336">
        <v>0</v>
      </c>
      <c r="BU81" s="336">
        <v>0</v>
      </c>
      <c r="BV81" s="336">
        <v>0</v>
      </c>
      <c r="BW81" s="336">
        <v>0</v>
      </c>
      <c r="BX81" s="336">
        <v>0</v>
      </c>
      <c r="BY81" s="336">
        <v>0</v>
      </c>
      <c r="BZ81" s="336">
        <v>0</v>
      </c>
      <c r="CA81" s="336">
        <v>11939688</v>
      </c>
      <c r="CB81" s="336">
        <v>12103826</v>
      </c>
      <c r="CC81" s="336">
        <v>0</v>
      </c>
      <c r="CD81" s="336">
        <v>0</v>
      </c>
      <c r="CE81" s="336">
        <v>0</v>
      </c>
      <c r="CF81" s="336">
        <v>0</v>
      </c>
      <c r="CG81" s="336">
        <v>0</v>
      </c>
      <c r="CH81" s="336">
        <v>0</v>
      </c>
      <c r="CI81" s="336">
        <v>0</v>
      </c>
      <c r="CJ81" s="336">
        <v>0</v>
      </c>
      <c r="CK81" s="336">
        <v>0</v>
      </c>
      <c r="CL81" s="336">
        <v>0</v>
      </c>
      <c r="CM81" s="336">
        <v>0</v>
      </c>
      <c r="CN81" s="336">
        <v>0</v>
      </c>
      <c r="CO81" s="336">
        <v>0</v>
      </c>
      <c r="CP81" s="336">
        <v>0</v>
      </c>
      <c r="CQ81" s="336">
        <v>0</v>
      </c>
      <c r="CR81" s="336">
        <v>0</v>
      </c>
      <c r="CS81" s="336">
        <v>0</v>
      </c>
      <c r="CT81" s="336">
        <v>0</v>
      </c>
      <c r="CU81" s="336">
        <v>0</v>
      </c>
      <c r="CV81" s="336">
        <v>0</v>
      </c>
      <c r="CW81" s="336">
        <v>0</v>
      </c>
      <c r="CX81" s="336">
        <v>0</v>
      </c>
      <c r="CY81" s="336">
        <v>0</v>
      </c>
      <c r="CZ81" s="336">
        <v>0</v>
      </c>
      <c r="DA81" s="336">
        <v>0</v>
      </c>
      <c r="DB81" s="336">
        <v>0</v>
      </c>
      <c r="DC81" s="336">
        <v>0</v>
      </c>
      <c r="DD81" s="336">
        <v>0</v>
      </c>
      <c r="DE81" s="336">
        <v>0</v>
      </c>
      <c r="DF81" s="336">
        <v>0</v>
      </c>
      <c r="DG81" s="336">
        <v>0</v>
      </c>
      <c r="DH81" s="336">
        <v>0</v>
      </c>
      <c r="DI81" s="336">
        <v>0</v>
      </c>
      <c r="DJ81" s="336">
        <v>0</v>
      </c>
      <c r="DK81" s="336">
        <v>0</v>
      </c>
      <c r="DL81" s="336">
        <v>0</v>
      </c>
      <c r="DM81" s="336">
        <v>0</v>
      </c>
      <c r="DN81" s="336">
        <v>0</v>
      </c>
      <c r="DO81" s="336">
        <v>0</v>
      </c>
      <c r="DP81" s="336">
        <v>0</v>
      </c>
      <c r="DQ81" s="336">
        <v>0</v>
      </c>
      <c r="DR81" s="336">
        <v>0</v>
      </c>
      <c r="DS81" s="336">
        <v>0</v>
      </c>
      <c r="DT81" s="336">
        <v>-1312462</v>
      </c>
      <c r="DU81" s="336">
        <v>-1806552</v>
      </c>
      <c r="DV81" s="336">
        <v>0</v>
      </c>
      <c r="DW81" s="336">
        <v>0</v>
      </c>
      <c r="DX81" s="336">
        <v>0</v>
      </c>
      <c r="DY81" s="336">
        <v>0</v>
      </c>
      <c r="DZ81" s="336">
        <v>0</v>
      </c>
      <c r="EA81" s="336">
        <v>0</v>
      </c>
      <c r="EB81" s="336">
        <v>0</v>
      </c>
      <c r="EC81" s="336">
        <v>0</v>
      </c>
      <c r="ED81" s="336">
        <v>0</v>
      </c>
      <c r="EE81" s="336">
        <v>0</v>
      </c>
      <c r="EF81" s="336">
        <v>0</v>
      </c>
      <c r="EG81" s="336">
        <v>0</v>
      </c>
      <c r="EH81" s="336">
        <v>0</v>
      </c>
      <c r="EI81" s="336">
        <v>0</v>
      </c>
      <c r="EJ81" s="336">
        <v>0</v>
      </c>
      <c r="EK81" s="336">
        <v>0</v>
      </c>
      <c r="EL81" s="336">
        <v>0</v>
      </c>
      <c r="EM81" s="336">
        <v>0</v>
      </c>
      <c r="EN81" s="336">
        <v>0</v>
      </c>
      <c r="EO81" s="336">
        <v>0</v>
      </c>
      <c r="EP81" s="336">
        <v>0</v>
      </c>
      <c r="EQ81" s="336">
        <v>0</v>
      </c>
      <c r="ER81" s="336">
        <v>0</v>
      </c>
      <c r="ES81" s="336">
        <v>0</v>
      </c>
      <c r="ET81" s="336">
        <v>0</v>
      </c>
      <c r="EU81" s="336">
        <v>0</v>
      </c>
      <c r="EV81" s="336">
        <v>0</v>
      </c>
      <c r="EW81" s="336">
        <v>0</v>
      </c>
      <c r="EX81" s="336">
        <v>0</v>
      </c>
      <c r="EY81" s="336">
        <v>0</v>
      </c>
      <c r="EZ81" s="336">
        <v>0</v>
      </c>
      <c r="FA81" s="336">
        <v>0</v>
      </c>
      <c r="FB81" s="336">
        <v>0</v>
      </c>
      <c r="FC81" s="336">
        <v>0</v>
      </c>
      <c r="FD81" s="336">
        <v>0</v>
      </c>
      <c r="FE81" s="336">
        <v>0</v>
      </c>
      <c r="FF81" s="336">
        <v>0</v>
      </c>
      <c r="FG81" s="336">
        <v>0</v>
      </c>
      <c r="FH81" s="336">
        <v>0</v>
      </c>
      <c r="FI81" s="336">
        <v>0</v>
      </c>
      <c r="FJ81" s="336">
        <v>0</v>
      </c>
      <c r="FK81" s="336">
        <v>0</v>
      </c>
      <c r="FL81" s="336">
        <v>0</v>
      </c>
      <c r="FM81" s="336">
        <v>22723</v>
      </c>
      <c r="FN81" s="336">
        <v>11382939</v>
      </c>
      <c r="FO81" s="336">
        <v>0</v>
      </c>
      <c r="FP81" s="336">
        <v>0</v>
      </c>
      <c r="FQ81" s="336">
        <v>0</v>
      </c>
      <c r="FR81" s="336">
        <v>0</v>
      </c>
      <c r="FS81" s="336">
        <v>0</v>
      </c>
      <c r="FT81" s="336">
        <v>0</v>
      </c>
      <c r="FU81" s="336">
        <v>0</v>
      </c>
      <c r="FV81" s="336">
        <v>0</v>
      </c>
      <c r="FW81" s="336">
        <v>0</v>
      </c>
      <c r="FX81" s="336">
        <v>0</v>
      </c>
      <c r="FY81" s="336">
        <v>0</v>
      </c>
      <c r="FZ81" s="336">
        <v>0</v>
      </c>
      <c r="GA81" s="336">
        <v>0</v>
      </c>
      <c r="GB81" s="336">
        <v>0</v>
      </c>
      <c r="GC81" s="336">
        <v>0</v>
      </c>
      <c r="GD81" s="336">
        <v>0</v>
      </c>
      <c r="GE81" s="336">
        <v>0</v>
      </c>
      <c r="GF81" s="336">
        <v>0</v>
      </c>
      <c r="GG81" s="336">
        <v>0</v>
      </c>
      <c r="GH81" s="336">
        <v>0</v>
      </c>
      <c r="GI81" s="336">
        <v>0</v>
      </c>
      <c r="GJ81" s="336">
        <v>0</v>
      </c>
      <c r="GK81" s="336">
        <v>0</v>
      </c>
      <c r="GL81" s="336">
        <v>0</v>
      </c>
      <c r="GM81" s="336">
        <v>0</v>
      </c>
      <c r="GN81" s="336">
        <v>0</v>
      </c>
      <c r="GO81" s="336">
        <v>0</v>
      </c>
      <c r="GP81" s="336">
        <v>0</v>
      </c>
      <c r="GQ81" s="336">
        <v>0</v>
      </c>
      <c r="GR81" s="336">
        <v>0</v>
      </c>
      <c r="GS81" s="336">
        <v>0</v>
      </c>
      <c r="GT81" s="336">
        <v>0</v>
      </c>
      <c r="GU81" s="336">
        <v>0</v>
      </c>
      <c r="GV81" s="336">
        <v>0</v>
      </c>
      <c r="GW81" s="336">
        <v>0</v>
      </c>
      <c r="GX81" s="336">
        <v>0</v>
      </c>
      <c r="GY81" s="336">
        <v>0</v>
      </c>
      <c r="GZ81" s="336">
        <v>0</v>
      </c>
      <c r="HA81" s="336">
        <v>0</v>
      </c>
      <c r="HB81" s="336">
        <v>0</v>
      </c>
      <c r="HC81" s="336">
        <v>0</v>
      </c>
      <c r="HD81" s="336">
        <v>0</v>
      </c>
      <c r="HE81" s="336">
        <v>0</v>
      </c>
      <c r="HF81" s="336">
        <v>0</v>
      </c>
      <c r="HG81" s="336">
        <v>-796503</v>
      </c>
      <c r="HH81" s="336">
        <v>0</v>
      </c>
      <c r="HI81" s="336">
        <v>0</v>
      </c>
      <c r="HJ81" s="336">
        <v>0</v>
      </c>
      <c r="HK81" s="336">
        <v>0</v>
      </c>
      <c r="HL81" s="336">
        <v>0</v>
      </c>
      <c r="HM81" s="336">
        <v>0</v>
      </c>
      <c r="HN81" s="336">
        <v>0</v>
      </c>
      <c r="HO81" s="336">
        <v>0</v>
      </c>
      <c r="HP81" s="336">
        <v>4629</v>
      </c>
      <c r="HQ81" s="336">
        <v>0</v>
      </c>
      <c r="HR81" s="336">
        <v>95278486</v>
      </c>
      <c r="HS81" s="336">
        <v>0</v>
      </c>
      <c r="HT81" s="336">
        <v>0</v>
      </c>
      <c r="HU81" s="336">
        <v>0</v>
      </c>
      <c r="HV81" s="336">
        <v>0</v>
      </c>
      <c r="HW81" s="336">
        <v>0</v>
      </c>
      <c r="HX81" s="336">
        <v>0</v>
      </c>
      <c r="HY81" s="336">
        <v>14333534</v>
      </c>
      <c r="HZ81" s="336">
        <v>0</v>
      </c>
      <c r="IA81" s="336">
        <v>0</v>
      </c>
      <c r="IB81" s="336">
        <v>0</v>
      </c>
      <c r="IC81" s="336">
        <v>0</v>
      </c>
      <c r="ID81" s="336">
        <v>0</v>
      </c>
      <c r="IE81" s="336">
        <v>0</v>
      </c>
      <c r="IF81" s="336">
        <v>0</v>
      </c>
      <c r="IG81" s="336">
        <v>0</v>
      </c>
      <c r="IH81" s="336">
        <v>0</v>
      </c>
      <c r="II81" s="336">
        <v>0</v>
      </c>
      <c r="IJ81" s="336">
        <v>0</v>
      </c>
      <c r="IK81" s="336">
        <v>0</v>
      </c>
      <c r="IL81" s="336">
        <v>0</v>
      </c>
      <c r="IM81" s="336">
        <v>0</v>
      </c>
      <c r="IN81" s="336">
        <v>0</v>
      </c>
      <c r="IO81" s="336">
        <v>0</v>
      </c>
      <c r="IP81" s="336">
        <v>286964</v>
      </c>
      <c r="IQ81" s="336">
        <v>6354857</v>
      </c>
      <c r="IR81" s="336">
        <v>0</v>
      </c>
      <c r="IS81" s="336">
        <v>1321960</v>
      </c>
      <c r="IT81" s="336">
        <v>92385</v>
      </c>
      <c r="IU81" s="336">
        <v>1790457</v>
      </c>
      <c r="IV81" s="336">
        <v>0</v>
      </c>
      <c r="IW81" s="336">
        <v>0</v>
      </c>
      <c r="IX81" s="336">
        <v>0</v>
      </c>
      <c r="IY81" s="336">
        <v>0</v>
      </c>
      <c r="IZ81" s="336">
        <v>180245</v>
      </c>
      <c r="JA81" s="336">
        <v>0</v>
      </c>
      <c r="JB81" s="336">
        <v>705241</v>
      </c>
      <c r="JC81" s="336">
        <v>0</v>
      </c>
      <c r="JD81" s="336">
        <v>0</v>
      </c>
      <c r="JE81" s="336">
        <v>0</v>
      </c>
      <c r="JF81" s="336">
        <v>0</v>
      </c>
      <c r="JG81" s="336">
        <v>0</v>
      </c>
      <c r="JH81" s="336">
        <v>0</v>
      </c>
      <c r="JI81" s="336">
        <v>1306911</v>
      </c>
      <c r="JJ81" s="336">
        <v>0</v>
      </c>
      <c r="JK81" s="336">
        <v>1589528</v>
      </c>
      <c r="JL81" s="336">
        <v>0</v>
      </c>
      <c r="JM81" s="336">
        <v>0</v>
      </c>
      <c r="JN81" s="336">
        <v>0</v>
      </c>
      <c r="JO81" s="336">
        <v>0</v>
      </c>
      <c r="JP81" s="336">
        <v>0</v>
      </c>
      <c r="JQ81" s="336">
        <v>0</v>
      </c>
      <c r="JR81" s="336">
        <v>34366975</v>
      </c>
      <c r="JS81" s="336">
        <v>0</v>
      </c>
      <c r="JT81" s="336">
        <v>15968</v>
      </c>
      <c r="JU81" s="336">
        <v>228</v>
      </c>
      <c r="JV81" s="336">
        <v>0</v>
      </c>
      <c r="JW81" s="336">
        <v>0</v>
      </c>
      <c r="JX81" s="336">
        <v>0</v>
      </c>
      <c r="JY81" s="336">
        <v>0</v>
      </c>
      <c r="JZ81" s="336">
        <v>0</v>
      </c>
      <c r="KA81" s="336">
        <v>0</v>
      </c>
      <c r="KB81" s="336">
        <v>849377</v>
      </c>
      <c r="KC81" s="336">
        <v>0</v>
      </c>
      <c r="KD81" s="336">
        <v>0</v>
      </c>
      <c r="KE81" s="336">
        <v>0</v>
      </c>
      <c r="KF81" s="336">
        <v>0</v>
      </c>
      <c r="KG81" s="336">
        <v>0</v>
      </c>
      <c r="KH81" s="336">
        <v>0</v>
      </c>
      <c r="KI81" s="336">
        <v>232</v>
      </c>
      <c r="KJ81" s="336">
        <v>1058720</v>
      </c>
      <c r="KK81" s="336">
        <v>76</v>
      </c>
      <c r="KL81" s="336">
        <v>119374</v>
      </c>
      <c r="KM81" s="336">
        <v>108806</v>
      </c>
      <c r="KN81" s="336">
        <v>0</v>
      </c>
      <c r="KO81" s="336">
        <v>0</v>
      </c>
      <c r="KP81" s="336">
        <v>0</v>
      </c>
      <c r="KQ81" s="336">
        <v>-238816</v>
      </c>
      <c r="KR81" s="336">
        <v>48553035</v>
      </c>
      <c r="KS81" s="336">
        <v>34444714</v>
      </c>
      <c r="KT81" s="336">
        <v>0</v>
      </c>
      <c r="KU81" s="336">
        <v>2812564</v>
      </c>
      <c r="KV81" s="336">
        <v>13379</v>
      </c>
      <c r="KW81" s="336">
        <v>0</v>
      </c>
      <c r="KX81" s="336">
        <v>0</v>
      </c>
      <c r="KY81" s="336">
        <v>0</v>
      </c>
      <c r="KZ81" s="336">
        <v>0</v>
      </c>
      <c r="LA81" s="336">
        <v>2097865</v>
      </c>
      <c r="LB81" s="336">
        <v>10923663</v>
      </c>
      <c r="LC81" s="336">
        <v>0</v>
      </c>
      <c r="LD81" s="336">
        <v>71775073</v>
      </c>
      <c r="LE81" s="336">
        <v>0</v>
      </c>
      <c r="LF81" s="336">
        <v>0</v>
      </c>
      <c r="LG81" s="336">
        <v>0</v>
      </c>
      <c r="LH81" s="336">
        <v>0</v>
      </c>
      <c r="LI81" s="336">
        <v>0</v>
      </c>
      <c r="LJ81" s="336">
        <v>20991072</v>
      </c>
      <c r="LK81" s="336">
        <v>24192985</v>
      </c>
      <c r="LL81" s="336">
        <v>0</v>
      </c>
      <c r="LM81" s="336">
        <v>4767845</v>
      </c>
      <c r="LN81" s="336">
        <v>0</v>
      </c>
      <c r="LO81" s="336">
        <v>0</v>
      </c>
      <c r="LP81" s="336">
        <v>0</v>
      </c>
      <c r="LQ81" s="336">
        <v>0</v>
      </c>
      <c r="LR81" s="336">
        <v>0</v>
      </c>
      <c r="LS81" s="336">
        <v>0</v>
      </c>
      <c r="LT81" s="336">
        <v>0</v>
      </c>
      <c r="LU81" s="336">
        <v>0</v>
      </c>
      <c r="LV81" s="336">
        <v>0</v>
      </c>
      <c r="LW81" s="336">
        <v>0</v>
      </c>
      <c r="LX81" s="336">
        <v>0</v>
      </c>
      <c r="LY81" s="336">
        <v>0</v>
      </c>
      <c r="LZ81" s="336">
        <v>0</v>
      </c>
      <c r="MA81" s="336">
        <v>0</v>
      </c>
      <c r="MB81" s="336">
        <v>23806199</v>
      </c>
      <c r="MC81" s="336">
        <v>8910455</v>
      </c>
      <c r="MD81" s="336">
        <v>0</v>
      </c>
      <c r="ME81" s="336">
        <v>450170</v>
      </c>
      <c r="MF81" s="336">
        <v>0</v>
      </c>
      <c r="MG81" s="336">
        <v>0</v>
      </c>
      <c r="MH81" s="336">
        <v>0</v>
      </c>
      <c r="MI81" s="336">
        <v>0</v>
      </c>
      <c r="MJ81" s="336">
        <v>0</v>
      </c>
      <c r="MK81" s="336">
        <v>5120186</v>
      </c>
      <c r="ML81" s="336">
        <v>3716822</v>
      </c>
      <c r="MM81" s="336">
        <v>0</v>
      </c>
      <c r="MN81" s="336">
        <v>7051</v>
      </c>
      <c r="MO81" s="336">
        <v>9501</v>
      </c>
      <c r="MP81" s="336">
        <v>0</v>
      </c>
      <c r="MQ81" s="336">
        <v>0</v>
      </c>
      <c r="MR81" s="336">
        <v>0</v>
      </c>
      <c r="MS81" s="336">
        <v>0</v>
      </c>
      <c r="MT81" s="336">
        <v>17275847</v>
      </c>
      <c r="MU81" s="336">
        <v>5365714</v>
      </c>
      <c r="MV81" s="336">
        <v>0</v>
      </c>
      <c r="MW81" s="336">
        <v>68717</v>
      </c>
      <c r="MX81" s="336">
        <v>0</v>
      </c>
      <c r="MY81" s="336">
        <v>134484</v>
      </c>
      <c r="MZ81" s="336">
        <v>0</v>
      </c>
      <c r="NA81" s="336">
        <v>0</v>
      </c>
      <c r="NB81" s="336">
        <v>0</v>
      </c>
      <c r="NC81" s="336">
        <v>13849404</v>
      </c>
      <c r="ND81" s="336">
        <v>3905426</v>
      </c>
      <c r="NE81" s="336">
        <v>0</v>
      </c>
      <c r="NF81" s="336">
        <v>508</v>
      </c>
      <c r="NG81" s="336">
        <v>0</v>
      </c>
      <c r="NH81" s="336">
        <v>0</v>
      </c>
      <c r="NI81" s="336">
        <v>0</v>
      </c>
      <c r="NJ81" s="336">
        <v>0</v>
      </c>
      <c r="NK81" s="336">
        <v>1745780</v>
      </c>
      <c r="NL81" s="336">
        <v>24847</v>
      </c>
      <c r="NM81" s="336">
        <v>439816</v>
      </c>
      <c r="NN81" s="336">
        <v>0</v>
      </c>
      <c r="NO81" s="336">
        <v>819428</v>
      </c>
      <c r="NP81" s="336">
        <v>85533</v>
      </c>
      <c r="NQ81" s="336">
        <v>0</v>
      </c>
      <c r="NR81" s="336">
        <v>0</v>
      </c>
      <c r="NS81" s="336">
        <v>0</v>
      </c>
      <c r="NT81" s="336">
        <v>0</v>
      </c>
      <c r="NU81" s="336">
        <v>0</v>
      </c>
      <c r="NV81" s="336">
        <v>0</v>
      </c>
      <c r="NW81" s="336">
        <v>282074</v>
      </c>
      <c r="NX81" s="336">
        <v>0</v>
      </c>
      <c r="NY81" s="336">
        <v>0</v>
      </c>
      <c r="NZ81" s="336">
        <v>0</v>
      </c>
      <c r="OA81" s="336">
        <v>0</v>
      </c>
      <c r="OB81" s="336">
        <v>0</v>
      </c>
      <c r="OC81" s="336">
        <v>0</v>
      </c>
      <c r="OD81" s="336">
        <v>5658175</v>
      </c>
      <c r="OE81" s="336">
        <v>2063201</v>
      </c>
      <c r="OF81" s="336">
        <v>798906</v>
      </c>
      <c r="OG81" s="336">
        <v>176620</v>
      </c>
      <c r="OH81" s="336">
        <v>0</v>
      </c>
      <c r="OI81" s="336">
        <v>0</v>
      </c>
      <c r="OJ81" s="336">
        <v>0</v>
      </c>
      <c r="OK81" s="336">
        <v>0</v>
      </c>
      <c r="OL81" s="336">
        <v>0</v>
      </c>
      <c r="OM81" s="336">
        <v>60814</v>
      </c>
      <c r="ON81" s="336">
        <v>66366</v>
      </c>
      <c r="OO81" s="336">
        <v>0</v>
      </c>
      <c r="OP81" s="336">
        <v>0</v>
      </c>
      <c r="OQ81" s="336">
        <v>1141</v>
      </c>
      <c r="OR81" s="336">
        <v>0</v>
      </c>
      <c r="OS81" s="336">
        <v>0</v>
      </c>
      <c r="OT81" s="336">
        <v>0</v>
      </c>
      <c r="OU81" s="336">
        <v>2335</v>
      </c>
      <c r="OV81" s="336">
        <v>0</v>
      </c>
      <c r="OW81" s="336">
        <v>0</v>
      </c>
      <c r="OX81" s="336">
        <v>0</v>
      </c>
      <c r="OY81" s="336">
        <v>0</v>
      </c>
      <c r="OZ81" s="336">
        <v>0</v>
      </c>
      <c r="PA81" s="336">
        <v>0</v>
      </c>
      <c r="PB81" s="336">
        <v>0</v>
      </c>
      <c r="PC81" s="336">
        <v>0</v>
      </c>
      <c r="PD81" s="336">
        <v>-18035583</v>
      </c>
      <c r="PE81" s="336">
        <v>-23195006</v>
      </c>
      <c r="PF81" s="336">
        <v>-7801254</v>
      </c>
      <c r="PG81" s="336">
        <v>-173034</v>
      </c>
      <c r="PH81" s="336">
        <v>1903205</v>
      </c>
      <c r="PI81" s="336">
        <v>2385581</v>
      </c>
      <c r="PJ81" s="336">
        <v>-1819605</v>
      </c>
      <c r="PK81" s="336">
        <v>0</v>
      </c>
      <c r="PL81" s="336">
        <v>-1736741</v>
      </c>
      <c r="PM81" s="336">
        <v>18431326</v>
      </c>
      <c r="PN81" s="336">
        <v>0</v>
      </c>
      <c r="PO81" s="336">
        <v>0</v>
      </c>
      <c r="PP81" s="336">
        <v>0</v>
      </c>
      <c r="PQ81" s="336">
        <v>0</v>
      </c>
      <c r="PR81" s="336">
        <v>0</v>
      </c>
      <c r="PS81" s="336">
        <v>0</v>
      </c>
      <c r="PT81" s="336">
        <v>0</v>
      </c>
      <c r="PU81" s="336">
        <v>0</v>
      </c>
      <c r="PV81" s="336">
        <v>0</v>
      </c>
      <c r="PW81" s="336">
        <v>0</v>
      </c>
      <c r="PX81" s="336">
        <v>0</v>
      </c>
      <c r="PY81" s="336">
        <v>0</v>
      </c>
      <c r="PZ81" s="336">
        <v>0</v>
      </c>
      <c r="QA81" s="336">
        <v>0</v>
      </c>
      <c r="QB81" s="336">
        <v>0</v>
      </c>
      <c r="QC81" s="336">
        <v>0</v>
      </c>
      <c r="QD81" s="336">
        <v>0</v>
      </c>
      <c r="QE81" s="336">
        <v>-12299</v>
      </c>
      <c r="QF81" s="336">
        <v>0</v>
      </c>
      <c r="QG81" s="336">
        <v>29220492</v>
      </c>
      <c r="QH81" s="336">
        <v>0</v>
      </c>
      <c r="QI81" s="336">
        <v>0</v>
      </c>
      <c r="QJ81" s="336">
        <v>0</v>
      </c>
      <c r="QK81" s="336">
        <v>6713624</v>
      </c>
      <c r="QL81" s="336">
        <v>0</v>
      </c>
      <c r="QM81" s="336">
        <v>0</v>
      </c>
      <c r="QN81" s="336">
        <v>71151</v>
      </c>
      <c r="QO81" s="336">
        <v>0</v>
      </c>
      <c r="QP81" s="336">
        <v>0</v>
      </c>
      <c r="QQ81" s="336">
        <v>0</v>
      </c>
      <c r="QR81" s="336">
        <v>0</v>
      </c>
      <c r="QS81" s="336">
        <v>0</v>
      </c>
      <c r="QT81" s="336">
        <v>2000000</v>
      </c>
      <c r="QU81" s="336">
        <v>0</v>
      </c>
      <c r="QV81" s="336">
        <v>0</v>
      </c>
      <c r="QW81" s="336">
        <v>0</v>
      </c>
      <c r="QX81" s="336">
        <v>0</v>
      </c>
      <c r="QY81" s="336">
        <v>0</v>
      </c>
      <c r="QZ81" s="336">
        <v>0</v>
      </c>
      <c r="RA81" s="336">
        <v>0</v>
      </c>
      <c r="RB81" s="336">
        <v>0</v>
      </c>
      <c r="RC81" s="336">
        <v>0</v>
      </c>
      <c r="RD81" s="336">
        <v>0</v>
      </c>
      <c r="RE81" s="336">
        <v>0</v>
      </c>
      <c r="RF81" s="336">
        <v>0</v>
      </c>
      <c r="RG81" s="336">
        <v>0</v>
      </c>
      <c r="RH81" s="336">
        <v>0</v>
      </c>
      <c r="RI81" s="336">
        <v>0</v>
      </c>
      <c r="RJ81" s="336">
        <v>0</v>
      </c>
      <c r="RK81" s="336">
        <v>0</v>
      </c>
      <c r="RL81" s="336">
        <v>0</v>
      </c>
      <c r="RM81" s="336">
        <v>0</v>
      </c>
      <c r="RN81" s="336">
        <v>0</v>
      </c>
      <c r="RO81" s="336">
        <v>-22431703</v>
      </c>
      <c r="RP81" s="336">
        <v>0</v>
      </c>
      <c r="RQ81" s="336">
        <v>0</v>
      </c>
      <c r="RR81" s="336">
        <v>0</v>
      </c>
      <c r="RS81" s="336">
        <v>0</v>
      </c>
      <c r="RT81" s="336">
        <v>0</v>
      </c>
      <c r="RU81" s="336">
        <v>0</v>
      </c>
      <c r="RV81" s="336">
        <v>0</v>
      </c>
      <c r="RW81" s="336">
        <v>0</v>
      </c>
      <c r="RX81" s="336">
        <v>0</v>
      </c>
      <c r="RY81" s="336">
        <v>0</v>
      </c>
      <c r="RZ81" s="336">
        <v>0</v>
      </c>
      <c r="SA81" s="336">
        <v>0</v>
      </c>
      <c r="SB81" s="336">
        <v>0</v>
      </c>
      <c r="SC81" s="336">
        <v>0</v>
      </c>
      <c r="SD81" s="336">
        <v>0</v>
      </c>
      <c r="SE81" s="336">
        <v>0</v>
      </c>
      <c r="SF81" s="336">
        <v>0</v>
      </c>
      <c r="SG81" s="336">
        <v>0</v>
      </c>
      <c r="SH81" s="336">
        <v>0</v>
      </c>
      <c r="SI81" s="336">
        <v>0</v>
      </c>
      <c r="SJ81" s="336">
        <v>0</v>
      </c>
      <c r="SK81" s="336">
        <v>0</v>
      </c>
      <c r="SL81" s="336">
        <v>0</v>
      </c>
      <c r="SM81" s="336">
        <v>0</v>
      </c>
      <c r="SN81" s="336">
        <v>0</v>
      </c>
      <c r="SO81" s="336">
        <v>0</v>
      </c>
      <c r="SP81" s="336">
        <v>10000</v>
      </c>
      <c r="SQ81" s="336">
        <v>0</v>
      </c>
      <c r="SR81" s="336">
        <v>0</v>
      </c>
      <c r="SS81" s="336">
        <v>0</v>
      </c>
      <c r="ST81" s="336">
        <v>0</v>
      </c>
      <c r="SU81" s="336">
        <v>0</v>
      </c>
      <c r="SV81" s="336">
        <v>0</v>
      </c>
      <c r="SW81" s="336">
        <v>0</v>
      </c>
      <c r="SX81" s="336">
        <v>0</v>
      </c>
      <c r="SY81" s="336">
        <v>26732485</v>
      </c>
      <c r="SZ81" s="336" t="s">
        <v>1420</v>
      </c>
      <c r="TA81" s="336" t="s">
        <v>1420</v>
      </c>
      <c r="TB81" s="336" t="s">
        <v>1420</v>
      </c>
      <c r="TC81" s="336">
        <v>502402</v>
      </c>
      <c r="TD81" s="336">
        <v>477286</v>
      </c>
      <c r="TE81" s="336">
        <v>893945</v>
      </c>
      <c r="TF81" s="336">
        <v>0</v>
      </c>
      <c r="TG81" s="336">
        <v>897439</v>
      </c>
      <c r="TH81" s="336">
        <v>0</v>
      </c>
      <c r="TI81" s="336">
        <v>0</v>
      </c>
      <c r="TJ81" s="336">
        <v>5126924</v>
      </c>
      <c r="TK81" s="336">
        <v>798906</v>
      </c>
      <c r="TL81" s="336">
        <v>0</v>
      </c>
      <c r="TM81" s="336">
        <v>0</v>
      </c>
      <c r="TN81" s="336">
        <v>0</v>
      </c>
      <c r="TO81" s="336">
        <v>6678528</v>
      </c>
      <c r="TP81" s="336">
        <v>0</v>
      </c>
      <c r="TQ81" s="336">
        <v>0</v>
      </c>
      <c r="TR81" s="336">
        <v>0</v>
      </c>
      <c r="TS81" s="336">
        <v>0</v>
      </c>
      <c r="TT81" s="336">
        <v>0</v>
      </c>
      <c r="TU81" s="336">
        <v>0</v>
      </c>
      <c r="TV81" s="336">
        <v>0</v>
      </c>
      <c r="TW81" s="336">
        <v>0</v>
      </c>
      <c r="TX81" s="336">
        <v>0</v>
      </c>
      <c r="TY81" s="336">
        <v>0</v>
      </c>
      <c r="TZ81" s="336">
        <v>0</v>
      </c>
      <c r="UA81" s="336">
        <v>0</v>
      </c>
      <c r="UB81" s="336">
        <v>0</v>
      </c>
      <c r="UC81" s="336">
        <v>0</v>
      </c>
      <c r="UD81" s="336">
        <v>0</v>
      </c>
      <c r="UE81" s="336">
        <v>0</v>
      </c>
      <c r="UF81" s="336">
        <v>0</v>
      </c>
      <c r="UG81" s="336">
        <v>0</v>
      </c>
      <c r="UH81" s="336">
        <v>85823692</v>
      </c>
      <c r="UI81" s="336">
        <v>84796601</v>
      </c>
      <c r="UJ81" s="336">
        <v>49951902</v>
      </c>
      <c r="UK81" s="336">
        <v>0</v>
      </c>
      <c r="UL81" s="336">
        <v>33166824</v>
      </c>
      <c r="UM81" s="336">
        <v>8853560</v>
      </c>
      <c r="UN81" s="336">
        <v>22844762</v>
      </c>
      <c r="UO81" s="336">
        <v>19501118</v>
      </c>
      <c r="UP81" s="336">
        <v>1369624</v>
      </c>
      <c r="UQ81" s="336">
        <v>282074</v>
      </c>
      <c r="UR81"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8696902</v>
      </c>
      <c r="US81" s="338">
        <f>SUM(Input[[#This Row],[Oth Exp E&amp;G]],Input[[#This Row],[Oth Exp Desg]],Input[[#This Row],[Oth Exp Aux]],Input[[#This Row],[Oth Exp R Exp]],Input[[#This Row],[Oth Exp Loan]],Input[[#This Row],[Oth Exp Annuity]],Input[[#This Row],[Oth Exp Unexp]],Input[[#This Row],[Oth Exp R of Ind]],Input[[#This Row],[Oth Exp Inv in P]])</f>
        <v>130656</v>
      </c>
      <c r="UT81" s="336">
        <v>0</v>
      </c>
      <c r="UU81" s="336">
        <v>0</v>
      </c>
      <c r="UV81" s="339" t="s">
        <v>1542</v>
      </c>
      <c r="UW81" s="340">
        <v>8177352609</v>
      </c>
      <c r="UX81" s="339" t="s">
        <v>1543</v>
      </c>
      <c r="UY81" s="339" t="s">
        <v>1544</v>
      </c>
      <c r="UZ81" s="340">
        <v>8177352536</v>
      </c>
      <c r="VA81" s="339" t="s">
        <v>1545</v>
      </c>
      <c r="VB81" s="341" cm="1">
        <f t="array" ref="VB81">IFERROR(_xlfn.IFS(Input[[#This Row],[Type]]="HRI",VLOOKUP(Input[[#This Row],[Institution Name]],FTSEHRI[],9,FALSE),Input[[#This Row],[Type]]="UNIV",VLOOKUP(Input[[#This Row],[Institution Name]],FTSEUNIV[],9,FALSE),OR(Input[[#This Row],[Type]]="TSTC",Input[[#This Row],[Type]]="LSC"),VLOOKUP(Input[[#This Row],[Institution Name]],FTSETSTC[],8,FALSE)),"N/A")</f>
        <v>2709.36</v>
      </c>
      <c r="VC81" s="342" t="str" cm="1">
        <f t="array" ref="VC81">IFERROR(_xlfn.IFS(Input[[#This Row],[Type]]="HRI",VLOOKUP(Input[[#This Row],[Institution Name]],FTSEHRI[],11,FALSE),Input[[#This Row],[Type]]="UNIV",VLOOKUP(Input[[#This Row],[Institution Name]],FTSEUNIV[],11,FALSE),Input[[#This Row],[Type]]="TSTC",VLOOKUP(Input[[#This Row],[Institution Name]],FTSETSTC[],10,FALSE)),"N/A")</f>
        <v>N/A</v>
      </c>
      <c r="VD81"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134603228</v>
      </c>
      <c r="VE81"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15581837</v>
      </c>
      <c r="VF81" s="338">
        <f>SUM(Input[[#This Row],[Fed G&amp;C E&amp;G]],Input[[#This Row],[Fed G&amp;C Desg]],Input[[#This Row],[Fed G&amp;C R Exp]],Input[[#This Row],[Fed G&amp;C Loan]],Input[[#This Row],[Fed G&amp;C Annuity]],Input[[#This Row],[Fed G&amp;C Unexp]],Input[[#This Row],[Fed G&amp;C R of Ind]],Input[[#This Row],[Fed G&amp;C Inv in P]])</f>
        <v>95283115</v>
      </c>
      <c r="VG81"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49060035</v>
      </c>
      <c r="VH81"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20924500</v>
      </c>
      <c r="VI81"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10609159</v>
      </c>
      <c r="VJ81" s="338">
        <f>SUM(Input[[#This Row],[Oth Inc E&amp;G]],Input[[#This Row],[Oth Exp Desg]],Input[[#This Row],[Oth Exp R Exp]],Input[[#This Row],[Oth Exp Loan]],Input[[#This Row],[Oth Exp Annuity]],Input[[#This Row],[Oth Exp Unexp]],Input[[#This Row],[Oth Exp R of Ind]],Input[[#This Row],[Oth Exp Inv in P]])</f>
        <v>70074</v>
      </c>
      <c r="VK81" s="343">
        <f>SUM(Input[[#This Row],[Instr E&amp;G]],Input[[#This Row],[Instr Desg]],Input[[#This Row],[Instr R Exp]],Input[[#This Row],[Instr Loan]],Input[[#This Row],[Instr Annuity]],Input[[#This Row],[Instr Unexp]],Input[[#This Row],[Instr R of Ind]],Input[[#This Row],[Instr Inv in P]])</f>
        <v>85823692</v>
      </c>
      <c r="VL81" s="343">
        <f>SUM(Input[[#This Row],[Res E&amp;G]],Input[[#This Row],[Res Desg]],Input[[#This Row],[Res R Exp]],Input[[#This Row],[Res Loan]],Input[[#This Row],[Res Annuity]],Input[[#This Row],[Res Unexp]],Input[[#This Row],[Res R of Ind]],Input[[#This Row],[Res Inv in P]])</f>
        <v>84796601</v>
      </c>
      <c r="VM81" s="343">
        <f>SUM(Input[[#This Row],[Acad Sup E&amp;G]],Input[[#This Row],[Acad Sup Desg]],Input[[#This Row],[Acad Sup R Exp]],Input[[#This Row],[Acad Sup Loan]],Input[[#This Row],[Acad Sup Annuity]],Input[[#This Row],[Acad Sup Unexp]],Input[[#This Row],[Acad Sup R of Ind]],Input[[#This Row],[Acad Sup Inv in P]])</f>
        <v>33166824</v>
      </c>
      <c r="VN81" s="343">
        <f>SUM(Input[[#This Row],[Stu Svc E&amp;G]],Input[[#This Row],[Stu Svc Desg]],Input[[#This Row],[Stu Svc R Exp]],Input[[#This Row],[Stu Svc Loan]],Input[[#This Row],[Stu Svc Annuity]],Input[[#This Row],[Stu Svc Unexp]],Input[[#This Row],[Stu Svc R of Ind]],Input[[#This Row],[Stu Svc Inv in P]])</f>
        <v>8853560</v>
      </c>
      <c r="VO81" s="343">
        <f>SUM(Input[[#This Row],[Inst. Spt E&amp;G]],Input[[#This Row],[Inst. Spt Desg]],Input[[#This Row],[Inst. Spt R Exp]],Input[[#This Row],[Inst. Spt Loan]],Input[[#This Row],[Inst. Spt Annuity]],Input[[#This Row],[Inst. Spt Unexp]],Input[[#This Row],[Inst. Spt R of Ind]],Input[[#This Row],[Inst. Spt Inv in P]])</f>
        <v>22844762</v>
      </c>
      <c r="VP81" s="343">
        <f>SUM(Input[[#This Row],[M&amp;O Plnt E&amp;G]],Input[[#This Row],[M&amp;O Plnt Desg]],Input[[#This Row],[M&amp;O Plnt R Exp]],Input[[#This Row],[M&amp;O Plnt Loan]],Input[[#This Row],[M&amp;O Plnt Annuity]],Input[[#This Row],[M&amp;O Plnt Unexp]],Input[[#This Row],[M&amp;O Plnt R of Ind]],Input[[#This Row],[M&amp;O Plnt Inv in P]])</f>
        <v>19501118</v>
      </c>
      <c r="VQ81" s="343">
        <f>SUM(Input[[#This Row],[Schl &amp; Fell E&amp;G]],Input[[#This Row],[Schl &amp; Fell Desg]],Input[[#This Row],[Schl &amp; Fell R Exp]],Input[[#This Row],[Schl &amp; Fell Loan]],Input[[#This Row],[Schl &amp; Fell Annuity]],Input[[#This Row],[Schl &amp; Fell Unexp]],Input[[#This Row],[Schl &amp; Fell R of Ind]],Input[[#This Row],[Schl &amp; Fell Inv in P]])</f>
        <v>1369624</v>
      </c>
      <c r="VR81" s="343">
        <f>SUM(Input[[#This Row],[Cap Out fund E&amp;G]],Input[[#This Row],[Cap Out fund Desg]],Input[[#This Row],[Cap Out fund R Exp]],Input[[#This Row],[Cap Out fund Loan]],Input[[#This Row],[Cap Out fund Annuity]],Input[[#This Row],[Cap Out fund Unexp]],Input[[#This Row],[Cap Out fund R of Ind]],Input[[#This Row],[Cap Out fund Inv in P]])</f>
        <v>7897996</v>
      </c>
      <c r="VS81" s="343">
        <f>SUM(Input[[#This Row],[Oth Exp E&amp;G]],Input[[#This Row],[Oth Exp Desg]],Input[[#This Row],[Oth Exp R Exp]],Input[[#This Row],[Oth Exp Loan]],Input[[#This Row],[Oth Exp Annuity]],Input[[#This Row],[Oth Exp Unexp]],Input[[#This Row],[Oth Exp R of Ind]],Input[[#This Row],[Oth Exp Inv in P]],Input[[#This Row],[Oth Exp Inv in P]])</f>
        <v>132991</v>
      </c>
    </row>
    <row r="82" spans="1:591" s="344" customFormat="1" ht="27" customHeight="1" x14ac:dyDescent="0.55000000000000004">
      <c r="A82" s="339" t="s">
        <v>719</v>
      </c>
      <c r="B82" s="334" t="s">
        <v>827</v>
      </c>
      <c r="C82" s="334" t="s">
        <v>1624</v>
      </c>
      <c r="D82" s="334" t="s">
        <v>720</v>
      </c>
      <c r="E82" s="334" t="s">
        <v>1622</v>
      </c>
      <c r="F82" s="335">
        <v>103594</v>
      </c>
      <c r="G82" s="336">
        <v>8052089</v>
      </c>
      <c r="H82" s="336">
        <v>0</v>
      </c>
      <c r="I82" s="336">
        <v>0</v>
      </c>
      <c r="J82" s="336">
        <v>0</v>
      </c>
      <c r="K82" s="336">
        <v>0</v>
      </c>
      <c r="L82" s="336">
        <v>0</v>
      </c>
      <c r="M82" s="336">
        <v>0</v>
      </c>
      <c r="N82" s="336">
        <v>0</v>
      </c>
      <c r="O82" s="336">
        <v>0</v>
      </c>
      <c r="P82" s="336">
        <v>0</v>
      </c>
      <c r="Q82" s="336">
        <v>0</v>
      </c>
      <c r="R82" s="336">
        <v>0</v>
      </c>
      <c r="S82" s="336">
        <v>0</v>
      </c>
      <c r="T82" s="336">
        <v>0</v>
      </c>
      <c r="U82" s="336">
        <v>0</v>
      </c>
      <c r="V82" s="336">
        <v>0</v>
      </c>
      <c r="W82" s="336">
        <v>0</v>
      </c>
      <c r="X82" s="336">
        <v>0</v>
      </c>
      <c r="Y82" s="336">
        <v>0</v>
      </c>
      <c r="Z82" s="336">
        <v>0</v>
      </c>
      <c r="AA82" s="336">
        <v>0</v>
      </c>
      <c r="AB82" s="336">
        <v>0</v>
      </c>
      <c r="AC82" s="336">
        <v>0</v>
      </c>
      <c r="AD82" s="336">
        <v>0</v>
      </c>
      <c r="AE82" s="336">
        <v>0</v>
      </c>
      <c r="AF82" s="336">
        <v>0</v>
      </c>
      <c r="AG82" s="336">
        <v>0</v>
      </c>
      <c r="AH82" s="336">
        <v>0</v>
      </c>
      <c r="AI82" s="336">
        <v>0</v>
      </c>
      <c r="AJ82" s="336">
        <v>0</v>
      </c>
      <c r="AK82" s="336">
        <v>0</v>
      </c>
      <c r="AL82" s="336">
        <v>0</v>
      </c>
      <c r="AM82" s="336">
        <v>0</v>
      </c>
      <c r="AN82" s="336">
        <v>0</v>
      </c>
      <c r="AO82" s="336">
        <v>0</v>
      </c>
      <c r="AP82" s="336">
        <v>0</v>
      </c>
      <c r="AQ82" s="336">
        <v>0</v>
      </c>
      <c r="AR82" s="336">
        <v>0</v>
      </c>
      <c r="AS82" s="336">
        <v>0</v>
      </c>
      <c r="AT82" s="336">
        <v>0</v>
      </c>
      <c r="AU82" s="336">
        <v>0</v>
      </c>
      <c r="AV82" s="336">
        <v>0</v>
      </c>
      <c r="AW82" s="336">
        <v>0</v>
      </c>
      <c r="AX82" s="336">
        <v>0</v>
      </c>
      <c r="AY82" s="336">
        <v>0</v>
      </c>
      <c r="AZ82" s="336">
        <v>0</v>
      </c>
      <c r="BA82" s="336">
        <v>0</v>
      </c>
      <c r="BB82" s="336">
        <v>0</v>
      </c>
      <c r="BC82" s="336">
        <v>0</v>
      </c>
      <c r="BD82" s="336">
        <v>0</v>
      </c>
      <c r="BE82" s="336">
        <v>0</v>
      </c>
      <c r="BF82" s="336">
        <v>0</v>
      </c>
      <c r="BG82" s="336">
        <v>0</v>
      </c>
      <c r="BH82" s="336">
        <v>0</v>
      </c>
      <c r="BI82" s="336">
        <v>0</v>
      </c>
      <c r="BJ82" s="336">
        <v>0</v>
      </c>
      <c r="BK82" s="336">
        <v>0</v>
      </c>
      <c r="BL82" s="336">
        <v>0</v>
      </c>
      <c r="BM82" s="336">
        <v>0</v>
      </c>
      <c r="BN82" s="336">
        <v>0</v>
      </c>
      <c r="BO82" s="336">
        <v>0</v>
      </c>
      <c r="BP82" s="336">
        <v>0</v>
      </c>
      <c r="BQ82" s="336">
        <v>0</v>
      </c>
      <c r="BR82" s="336">
        <v>0</v>
      </c>
      <c r="BS82" s="336">
        <v>0</v>
      </c>
      <c r="BT82" s="336">
        <v>0</v>
      </c>
      <c r="BU82" s="336">
        <v>0</v>
      </c>
      <c r="BV82" s="336">
        <v>0</v>
      </c>
      <c r="BW82" s="336">
        <v>0</v>
      </c>
      <c r="BX82" s="336">
        <v>0</v>
      </c>
      <c r="BY82" s="336">
        <v>0</v>
      </c>
      <c r="BZ82" s="336">
        <v>0</v>
      </c>
      <c r="CA82" s="336">
        <v>0</v>
      </c>
      <c r="CB82" s="336">
        <v>0</v>
      </c>
      <c r="CC82" s="336">
        <v>0</v>
      </c>
      <c r="CD82" s="336">
        <v>0</v>
      </c>
      <c r="CE82" s="336">
        <v>0</v>
      </c>
      <c r="CF82" s="336">
        <v>0</v>
      </c>
      <c r="CG82" s="336">
        <v>0</v>
      </c>
      <c r="CH82" s="336">
        <v>0</v>
      </c>
      <c r="CI82" s="336">
        <v>0</v>
      </c>
      <c r="CJ82" s="336">
        <v>0</v>
      </c>
      <c r="CK82" s="336">
        <v>0</v>
      </c>
      <c r="CL82" s="336">
        <v>0</v>
      </c>
      <c r="CM82" s="336">
        <v>0</v>
      </c>
      <c r="CN82" s="336">
        <v>0</v>
      </c>
      <c r="CO82" s="336">
        <v>0</v>
      </c>
      <c r="CP82" s="336">
        <v>0</v>
      </c>
      <c r="CQ82" s="336">
        <v>0</v>
      </c>
      <c r="CR82" s="336">
        <v>0</v>
      </c>
      <c r="CS82" s="336">
        <v>0</v>
      </c>
      <c r="CT82" s="336">
        <v>0</v>
      </c>
      <c r="CU82" s="336">
        <v>0</v>
      </c>
      <c r="CV82" s="336">
        <v>0</v>
      </c>
      <c r="CW82" s="336">
        <v>0</v>
      </c>
      <c r="CX82" s="336">
        <v>0</v>
      </c>
      <c r="CY82" s="336">
        <v>0</v>
      </c>
      <c r="CZ82" s="336">
        <v>0</v>
      </c>
      <c r="DA82" s="336">
        <v>0</v>
      </c>
      <c r="DB82" s="336">
        <v>0</v>
      </c>
      <c r="DC82" s="336">
        <v>0</v>
      </c>
      <c r="DD82" s="336">
        <v>0</v>
      </c>
      <c r="DE82" s="336">
        <v>0</v>
      </c>
      <c r="DF82" s="336">
        <v>0</v>
      </c>
      <c r="DG82" s="336">
        <v>0</v>
      </c>
      <c r="DH82" s="336">
        <v>0</v>
      </c>
      <c r="DI82" s="336">
        <v>0</v>
      </c>
      <c r="DJ82" s="336">
        <v>0</v>
      </c>
      <c r="DK82" s="336">
        <v>0</v>
      </c>
      <c r="DL82" s="336">
        <v>0</v>
      </c>
      <c r="DM82" s="336">
        <v>0</v>
      </c>
      <c r="DN82" s="336">
        <v>0</v>
      </c>
      <c r="DO82" s="336">
        <v>0</v>
      </c>
      <c r="DP82" s="336">
        <v>0</v>
      </c>
      <c r="DQ82" s="336">
        <v>0</v>
      </c>
      <c r="DR82" s="336">
        <v>0</v>
      </c>
      <c r="DS82" s="336">
        <v>0</v>
      </c>
      <c r="DT82" s="336">
        <v>0</v>
      </c>
      <c r="DU82" s="336">
        <v>0</v>
      </c>
      <c r="DV82" s="336">
        <v>0</v>
      </c>
      <c r="DW82" s="336">
        <v>0</v>
      </c>
      <c r="DX82" s="336">
        <v>0</v>
      </c>
      <c r="DY82" s="336">
        <v>0</v>
      </c>
      <c r="DZ82" s="336">
        <v>0</v>
      </c>
      <c r="EA82" s="336">
        <v>0</v>
      </c>
      <c r="EB82" s="336">
        <v>0</v>
      </c>
      <c r="EC82" s="336">
        <v>0</v>
      </c>
      <c r="ED82" s="336">
        <v>0</v>
      </c>
      <c r="EE82" s="336">
        <v>0</v>
      </c>
      <c r="EF82" s="336">
        <v>0</v>
      </c>
      <c r="EG82" s="336">
        <v>0</v>
      </c>
      <c r="EH82" s="336">
        <v>0</v>
      </c>
      <c r="EI82" s="336">
        <v>0</v>
      </c>
      <c r="EJ82" s="336">
        <v>0</v>
      </c>
      <c r="EK82" s="336">
        <v>0</v>
      </c>
      <c r="EL82" s="336">
        <v>0</v>
      </c>
      <c r="EM82" s="336">
        <v>0</v>
      </c>
      <c r="EN82" s="336">
        <v>0</v>
      </c>
      <c r="EO82" s="336">
        <v>0</v>
      </c>
      <c r="EP82" s="336">
        <v>0</v>
      </c>
      <c r="EQ82" s="336">
        <v>0</v>
      </c>
      <c r="ER82" s="336">
        <v>0</v>
      </c>
      <c r="ES82" s="336">
        <v>0</v>
      </c>
      <c r="ET82" s="336">
        <v>0</v>
      </c>
      <c r="EU82" s="336">
        <v>0</v>
      </c>
      <c r="EV82" s="336">
        <v>0</v>
      </c>
      <c r="EW82" s="336">
        <v>0</v>
      </c>
      <c r="EX82" s="336">
        <v>0</v>
      </c>
      <c r="EY82" s="336">
        <v>0</v>
      </c>
      <c r="EZ82" s="336">
        <v>0</v>
      </c>
      <c r="FA82" s="336">
        <v>0</v>
      </c>
      <c r="FB82" s="336">
        <v>0</v>
      </c>
      <c r="FC82" s="336">
        <v>0</v>
      </c>
      <c r="FD82" s="336">
        <v>0</v>
      </c>
      <c r="FE82" s="336">
        <v>0</v>
      </c>
      <c r="FF82" s="336">
        <v>0</v>
      </c>
      <c r="FG82" s="336">
        <v>0</v>
      </c>
      <c r="FH82" s="336">
        <v>0</v>
      </c>
      <c r="FI82" s="336">
        <v>0</v>
      </c>
      <c r="FJ82" s="336">
        <v>0</v>
      </c>
      <c r="FK82" s="336">
        <v>0</v>
      </c>
      <c r="FL82" s="336">
        <v>0</v>
      </c>
      <c r="FM82" s="336">
        <v>0</v>
      </c>
      <c r="FN82" s="336">
        <v>0</v>
      </c>
      <c r="FO82" s="336">
        <v>0</v>
      </c>
      <c r="FP82" s="336">
        <v>0</v>
      </c>
      <c r="FQ82" s="336">
        <v>0</v>
      </c>
      <c r="FR82" s="336">
        <v>0</v>
      </c>
      <c r="FS82" s="336">
        <v>0</v>
      </c>
      <c r="FT82" s="336">
        <v>0</v>
      </c>
      <c r="FU82" s="336">
        <v>0</v>
      </c>
      <c r="FV82" s="336">
        <v>0</v>
      </c>
      <c r="FW82" s="336">
        <v>0</v>
      </c>
      <c r="FX82" s="336">
        <v>0</v>
      </c>
      <c r="FY82" s="336">
        <v>0</v>
      </c>
      <c r="FZ82" s="336">
        <v>0</v>
      </c>
      <c r="GA82" s="336">
        <v>0</v>
      </c>
      <c r="GB82" s="336">
        <v>0</v>
      </c>
      <c r="GC82" s="336">
        <v>0</v>
      </c>
      <c r="GD82" s="336">
        <v>0</v>
      </c>
      <c r="GE82" s="336">
        <v>0</v>
      </c>
      <c r="GF82" s="336">
        <v>0</v>
      </c>
      <c r="GG82" s="336">
        <v>0</v>
      </c>
      <c r="GH82" s="336">
        <v>0</v>
      </c>
      <c r="GI82" s="336">
        <v>0</v>
      </c>
      <c r="GJ82" s="336">
        <v>0</v>
      </c>
      <c r="GK82" s="336">
        <v>0</v>
      </c>
      <c r="GL82" s="336">
        <v>0</v>
      </c>
      <c r="GM82" s="336">
        <v>0</v>
      </c>
      <c r="GN82" s="336">
        <v>0</v>
      </c>
      <c r="GO82" s="336">
        <v>0</v>
      </c>
      <c r="GP82" s="336">
        <v>0</v>
      </c>
      <c r="GQ82" s="336">
        <v>0</v>
      </c>
      <c r="GR82" s="336">
        <v>0</v>
      </c>
      <c r="GS82" s="336">
        <v>0</v>
      </c>
      <c r="GT82" s="336">
        <v>0</v>
      </c>
      <c r="GU82" s="336">
        <v>0</v>
      </c>
      <c r="GV82" s="336">
        <v>0</v>
      </c>
      <c r="GW82" s="336">
        <v>0</v>
      </c>
      <c r="GX82" s="336">
        <v>0</v>
      </c>
      <c r="GY82" s="336">
        <v>0</v>
      </c>
      <c r="GZ82" s="336">
        <v>0</v>
      </c>
      <c r="HA82" s="336">
        <v>0</v>
      </c>
      <c r="HB82" s="336">
        <v>0</v>
      </c>
      <c r="HC82" s="336">
        <v>0</v>
      </c>
      <c r="HD82" s="336">
        <v>0</v>
      </c>
      <c r="HE82" s="336">
        <v>0</v>
      </c>
      <c r="HF82" s="336">
        <v>0</v>
      </c>
      <c r="HG82" s="336">
        <v>0</v>
      </c>
      <c r="HH82" s="336">
        <v>0</v>
      </c>
      <c r="HI82" s="336">
        <v>0</v>
      </c>
      <c r="HJ82" s="336">
        <v>0</v>
      </c>
      <c r="HK82" s="336">
        <v>0</v>
      </c>
      <c r="HL82" s="336">
        <v>0</v>
      </c>
      <c r="HM82" s="336">
        <v>0</v>
      </c>
      <c r="HN82" s="336">
        <v>0</v>
      </c>
      <c r="HO82" s="336">
        <v>0</v>
      </c>
      <c r="HP82" s="336">
        <v>0</v>
      </c>
      <c r="HQ82" s="336">
        <v>0</v>
      </c>
      <c r="HR82" s="336">
        <v>0</v>
      </c>
      <c r="HS82" s="336">
        <v>0</v>
      </c>
      <c r="HT82" s="336">
        <v>0</v>
      </c>
      <c r="HU82" s="336">
        <v>0</v>
      </c>
      <c r="HV82" s="336">
        <v>0</v>
      </c>
      <c r="HW82" s="336">
        <v>0</v>
      </c>
      <c r="HX82" s="336">
        <v>0</v>
      </c>
      <c r="HY82" s="336">
        <v>0</v>
      </c>
      <c r="HZ82" s="336">
        <v>0</v>
      </c>
      <c r="IA82" s="336">
        <v>0</v>
      </c>
      <c r="IB82" s="336">
        <v>0</v>
      </c>
      <c r="IC82" s="336">
        <v>0</v>
      </c>
      <c r="ID82" s="336">
        <v>0</v>
      </c>
      <c r="IE82" s="336">
        <v>0</v>
      </c>
      <c r="IF82" s="336">
        <v>0</v>
      </c>
      <c r="IG82" s="336">
        <v>0</v>
      </c>
      <c r="IH82" s="336">
        <v>0</v>
      </c>
      <c r="II82" s="336">
        <v>0</v>
      </c>
      <c r="IJ82" s="336">
        <v>0</v>
      </c>
      <c r="IK82" s="336">
        <v>0</v>
      </c>
      <c r="IL82" s="336">
        <v>0</v>
      </c>
      <c r="IM82" s="336">
        <v>0</v>
      </c>
      <c r="IN82" s="336">
        <v>0</v>
      </c>
      <c r="IO82" s="336">
        <v>0</v>
      </c>
      <c r="IP82" s="336">
        <v>0</v>
      </c>
      <c r="IQ82" s="336">
        <v>771844</v>
      </c>
      <c r="IR82" s="336">
        <v>0</v>
      </c>
      <c r="IS82" s="336">
        <v>0</v>
      </c>
      <c r="IT82" s="336">
        <v>0</v>
      </c>
      <c r="IU82" s="336">
        <v>0</v>
      </c>
      <c r="IV82" s="336">
        <v>0</v>
      </c>
      <c r="IW82" s="336">
        <v>0</v>
      </c>
      <c r="IX82" s="336">
        <v>1045964</v>
      </c>
      <c r="IY82" s="336">
        <v>0</v>
      </c>
      <c r="IZ82" s="336">
        <v>0</v>
      </c>
      <c r="JA82" s="336">
        <v>0</v>
      </c>
      <c r="JB82" s="336">
        <v>0</v>
      </c>
      <c r="JC82" s="336">
        <v>0</v>
      </c>
      <c r="JD82" s="336">
        <v>0</v>
      </c>
      <c r="JE82" s="336">
        <v>0</v>
      </c>
      <c r="JF82" s="336">
        <v>0</v>
      </c>
      <c r="JG82" s="336">
        <v>0</v>
      </c>
      <c r="JH82" s="336">
        <v>0</v>
      </c>
      <c r="JI82" s="336">
        <v>0</v>
      </c>
      <c r="JJ82" s="336">
        <v>0</v>
      </c>
      <c r="JK82" s="336">
        <v>0</v>
      </c>
      <c r="JL82" s="336">
        <v>0</v>
      </c>
      <c r="JM82" s="336">
        <v>0</v>
      </c>
      <c r="JN82" s="336">
        <v>0</v>
      </c>
      <c r="JO82" s="336">
        <v>0</v>
      </c>
      <c r="JP82" s="336">
        <v>0</v>
      </c>
      <c r="JQ82" s="336">
        <v>0</v>
      </c>
      <c r="JR82" s="336">
        <v>1092416</v>
      </c>
      <c r="JS82" s="336">
        <v>0</v>
      </c>
      <c r="JT82" s="336">
        <v>0</v>
      </c>
      <c r="JU82" s="336">
        <v>0</v>
      </c>
      <c r="JV82" s="336">
        <v>0</v>
      </c>
      <c r="JW82" s="336">
        <v>0</v>
      </c>
      <c r="JX82" s="336">
        <v>0</v>
      </c>
      <c r="JY82" s="336">
        <v>0</v>
      </c>
      <c r="JZ82" s="336">
        <v>0</v>
      </c>
      <c r="KA82" s="336">
        <v>0</v>
      </c>
      <c r="KB82" s="336">
        <v>2589645</v>
      </c>
      <c r="KC82" s="336">
        <v>0</v>
      </c>
      <c r="KD82" s="336">
        <v>0</v>
      </c>
      <c r="KE82" s="336">
        <v>0</v>
      </c>
      <c r="KF82" s="336">
        <v>0</v>
      </c>
      <c r="KG82" s="336">
        <v>0</v>
      </c>
      <c r="KH82" s="336">
        <v>0</v>
      </c>
      <c r="KI82" s="336">
        <v>0</v>
      </c>
      <c r="KJ82" s="336">
        <v>680400</v>
      </c>
      <c r="KK82" s="336">
        <v>0</v>
      </c>
      <c r="KL82" s="336">
        <v>0</v>
      </c>
      <c r="KM82" s="336">
        <v>0</v>
      </c>
      <c r="KN82" s="336">
        <v>0</v>
      </c>
      <c r="KO82" s="336">
        <v>0</v>
      </c>
      <c r="KP82" s="336">
        <v>0</v>
      </c>
      <c r="KQ82" s="336">
        <v>0</v>
      </c>
      <c r="KR82" s="336">
        <v>0</v>
      </c>
      <c r="KS82" s="336">
        <v>34834458</v>
      </c>
      <c r="KT82" s="336">
        <v>0</v>
      </c>
      <c r="KU82" s="336">
        <v>0</v>
      </c>
      <c r="KV82" s="336">
        <v>0</v>
      </c>
      <c r="KW82" s="336">
        <v>0</v>
      </c>
      <c r="KX82" s="336">
        <v>0</v>
      </c>
      <c r="KY82" s="336">
        <v>0</v>
      </c>
      <c r="KZ82" s="336">
        <v>0</v>
      </c>
      <c r="LA82" s="336">
        <v>0</v>
      </c>
      <c r="LB82" s="336">
        <v>2969831</v>
      </c>
      <c r="LC82" s="336">
        <v>0</v>
      </c>
      <c r="LD82" s="336">
        <v>0</v>
      </c>
      <c r="LE82" s="336">
        <v>0</v>
      </c>
      <c r="LF82" s="336">
        <v>0</v>
      </c>
      <c r="LG82" s="336">
        <v>0</v>
      </c>
      <c r="LH82" s="336">
        <v>0</v>
      </c>
      <c r="LI82" s="336">
        <v>0</v>
      </c>
      <c r="LJ82" s="336">
        <v>0</v>
      </c>
      <c r="LK82" s="336">
        <v>2113700</v>
      </c>
      <c r="LL82" s="336">
        <v>0</v>
      </c>
      <c r="LM82" s="336">
        <v>0</v>
      </c>
      <c r="LN82" s="336">
        <v>0</v>
      </c>
      <c r="LO82" s="336">
        <v>0</v>
      </c>
      <c r="LP82" s="336">
        <v>0</v>
      </c>
      <c r="LQ82" s="336">
        <v>0</v>
      </c>
      <c r="LR82" s="336">
        <v>0</v>
      </c>
      <c r="LS82" s="336">
        <v>0</v>
      </c>
      <c r="LT82" s="336">
        <v>0</v>
      </c>
      <c r="LU82" s="336">
        <v>0</v>
      </c>
      <c r="LV82" s="336">
        <v>0</v>
      </c>
      <c r="LW82" s="336">
        <v>0</v>
      </c>
      <c r="LX82" s="336">
        <v>0</v>
      </c>
      <c r="LY82" s="336">
        <v>0</v>
      </c>
      <c r="LZ82" s="336">
        <v>0</v>
      </c>
      <c r="MA82" s="336">
        <v>0</v>
      </c>
      <c r="MB82" s="336">
        <v>0</v>
      </c>
      <c r="MC82" s="336">
        <v>4489582</v>
      </c>
      <c r="MD82" s="336">
        <v>0</v>
      </c>
      <c r="ME82" s="336">
        <v>0</v>
      </c>
      <c r="MF82" s="336">
        <v>0</v>
      </c>
      <c r="MG82" s="336">
        <v>0</v>
      </c>
      <c r="MH82" s="336">
        <v>0</v>
      </c>
      <c r="MI82" s="336">
        <v>0</v>
      </c>
      <c r="MJ82" s="336">
        <v>0</v>
      </c>
      <c r="MK82" s="336">
        <v>0</v>
      </c>
      <c r="ML82" s="336">
        <v>4851356</v>
      </c>
      <c r="MM82" s="336">
        <v>0</v>
      </c>
      <c r="MN82" s="336">
        <v>0</v>
      </c>
      <c r="MO82" s="336">
        <v>0</v>
      </c>
      <c r="MP82" s="336">
        <v>0</v>
      </c>
      <c r="MQ82" s="336">
        <v>0</v>
      </c>
      <c r="MR82" s="336">
        <v>0</v>
      </c>
      <c r="MS82" s="336">
        <v>0</v>
      </c>
      <c r="MT82" s="336">
        <v>8691472</v>
      </c>
      <c r="MU82" s="336">
        <v>59018810</v>
      </c>
      <c r="MV82" s="336">
        <v>0</v>
      </c>
      <c r="MW82" s="336">
        <v>0</v>
      </c>
      <c r="MX82" s="336">
        <v>0</v>
      </c>
      <c r="MY82" s="336">
        <v>0</v>
      </c>
      <c r="MZ82" s="336">
        <v>0</v>
      </c>
      <c r="NA82" s="336">
        <v>0</v>
      </c>
      <c r="NB82" s="336">
        <v>0</v>
      </c>
      <c r="NC82" s="336">
        <v>362955</v>
      </c>
      <c r="ND82" s="336">
        <v>4724740</v>
      </c>
      <c r="NE82" s="336">
        <v>0</v>
      </c>
      <c r="NF82" s="336">
        <v>0</v>
      </c>
      <c r="NG82" s="336">
        <v>0</v>
      </c>
      <c r="NH82" s="336">
        <v>0</v>
      </c>
      <c r="NI82" s="336">
        <v>0</v>
      </c>
      <c r="NJ82" s="336">
        <v>0</v>
      </c>
      <c r="NK82" s="336">
        <v>954955</v>
      </c>
      <c r="NL82" s="336">
        <v>0</v>
      </c>
      <c r="NM82" s="336">
        <v>0</v>
      </c>
      <c r="NN82" s="336">
        <v>0</v>
      </c>
      <c r="NO82" s="336">
        <v>0</v>
      </c>
      <c r="NP82" s="336">
        <v>0</v>
      </c>
      <c r="NQ82" s="336">
        <v>0</v>
      </c>
      <c r="NR82" s="336">
        <v>0</v>
      </c>
      <c r="NS82" s="336">
        <v>0</v>
      </c>
      <c r="NT82" s="336">
        <v>0</v>
      </c>
      <c r="NU82" s="336">
        <v>0</v>
      </c>
      <c r="NV82" s="336">
        <v>0</v>
      </c>
      <c r="NW82" s="336">
        <v>5262200</v>
      </c>
      <c r="NX82" s="336">
        <v>0</v>
      </c>
      <c r="NY82" s="336">
        <v>0</v>
      </c>
      <c r="NZ82" s="336">
        <v>0</v>
      </c>
      <c r="OA82" s="336">
        <v>0</v>
      </c>
      <c r="OB82" s="336">
        <v>0</v>
      </c>
      <c r="OC82" s="336">
        <v>0</v>
      </c>
      <c r="OD82" s="336">
        <v>0</v>
      </c>
      <c r="OE82" s="336">
        <v>983853</v>
      </c>
      <c r="OF82" s="336">
        <v>0</v>
      </c>
      <c r="OG82" s="336">
        <v>0</v>
      </c>
      <c r="OH82" s="336">
        <v>0</v>
      </c>
      <c r="OI82" s="336">
        <v>0</v>
      </c>
      <c r="OJ82" s="336">
        <v>0</v>
      </c>
      <c r="OK82" s="336">
        <v>0</v>
      </c>
      <c r="OL82" s="336">
        <v>0</v>
      </c>
      <c r="OM82" s="336">
        <v>0</v>
      </c>
      <c r="ON82" s="336">
        <v>13277</v>
      </c>
      <c r="OO82" s="336">
        <v>8585</v>
      </c>
      <c r="OP82" s="336">
        <v>0</v>
      </c>
      <c r="OQ82" s="336">
        <v>0</v>
      </c>
      <c r="OR82" s="336">
        <v>0</v>
      </c>
      <c r="OS82" s="336">
        <v>0</v>
      </c>
      <c r="OT82" s="336">
        <v>0</v>
      </c>
      <c r="OU82" s="336">
        <v>0</v>
      </c>
      <c r="OV82" s="336">
        <v>0</v>
      </c>
      <c r="OW82" s="336">
        <v>0</v>
      </c>
      <c r="OX82" s="336">
        <v>0</v>
      </c>
      <c r="OY82" s="336">
        <v>0</v>
      </c>
      <c r="OZ82" s="336">
        <v>0</v>
      </c>
      <c r="PA82" s="336">
        <v>0</v>
      </c>
      <c r="PB82" s="336">
        <v>0</v>
      </c>
      <c r="PC82" s="336">
        <v>0</v>
      </c>
      <c r="PD82" s="336">
        <v>-34415112</v>
      </c>
      <c r="PE82" s="336">
        <v>1336809</v>
      </c>
      <c r="PF82" s="336">
        <v>54779809</v>
      </c>
      <c r="PG82" s="336">
        <v>-912156</v>
      </c>
      <c r="PH82" s="336">
        <v>0</v>
      </c>
      <c r="PI82" s="336">
        <v>0</v>
      </c>
      <c r="PJ82" s="336">
        <v>0</v>
      </c>
      <c r="PK82" s="336">
        <v>0</v>
      </c>
      <c r="PL82" s="336">
        <v>51466643</v>
      </c>
      <c r="PM82" s="336">
        <v>56957329</v>
      </c>
      <c r="PN82" s="336">
        <v>0</v>
      </c>
      <c r="PO82" s="336">
        <v>0</v>
      </c>
      <c r="PP82" s="336">
        <v>0</v>
      </c>
      <c r="PQ82" s="336">
        <v>0</v>
      </c>
      <c r="PR82" s="336">
        <v>0</v>
      </c>
      <c r="PS82" s="336">
        <v>0</v>
      </c>
      <c r="PT82" s="336">
        <v>0</v>
      </c>
      <c r="PU82" s="336">
        <v>0</v>
      </c>
      <c r="PV82" s="336">
        <v>0</v>
      </c>
      <c r="PW82" s="336">
        <v>0</v>
      </c>
      <c r="PX82" s="336">
        <v>0</v>
      </c>
      <c r="PY82" s="336">
        <v>0</v>
      </c>
      <c r="PZ82" s="336">
        <v>0</v>
      </c>
      <c r="QA82" s="336">
        <v>0</v>
      </c>
      <c r="QB82" s="336">
        <v>0</v>
      </c>
      <c r="QC82" s="336">
        <v>0</v>
      </c>
      <c r="QD82" s="336">
        <v>-34235641</v>
      </c>
      <c r="QE82" s="336">
        <v>5320767</v>
      </c>
      <c r="QF82" s="336">
        <v>0</v>
      </c>
      <c r="QG82" s="336">
        <v>1080943</v>
      </c>
      <c r="QH82" s="336">
        <v>0</v>
      </c>
      <c r="QI82" s="336">
        <v>0</v>
      </c>
      <c r="QJ82" s="336">
        <v>0</v>
      </c>
      <c r="QK82" s="336">
        <v>0</v>
      </c>
      <c r="QL82" s="336">
        <v>0</v>
      </c>
      <c r="QM82" s="336">
        <v>0</v>
      </c>
      <c r="QN82" s="336">
        <v>0</v>
      </c>
      <c r="QO82" s="336">
        <v>0</v>
      </c>
      <c r="QP82" s="336">
        <v>0</v>
      </c>
      <c r="QQ82" s="336">
        <v>0</v>
      </c>
      <c r="QR82" s="336">
        <v>0</v>
      </c>
      <c r="QS82" s="336">
        <v>0</v>
      </c>
      <c r="QT82" s="336">
        <v>0</v>
      </c>
      <c r="QU82" s="336">
        <v>0</v>
      </c>
      <c r="QV82" s="336">
        <v>0</v>
      </c>
      <c r="QW82" s="336">
        <v>0</v>
      </c>
      <c r="QX82" s="336">
        <v>0</v>
      </c>
      <c r="QY82" s="336">
        <v>0</v>
      </c>
      <c r="QZ82" s="336">
        <v>0</v>
      </c>
      <c r="RA82" s="336">
        <v>0</v>
      </c>
      <c r="RB82" s="336">
        <v>0</v>
      </c>
      <c r="RC82" s="336">
        <v>0</v>
      </c>
      <c r="RD82" s="336">
        <v>0</v>
      </c>
      <c r="RE82" s="336">
        <v>0</v>
      </c>
      <c r="RF82" s="336">
        <v>0</v>
      </c>
      <c r="RG82" s="336">
        <v>0</v>
      </c>
      <c r="RH82" s="336">
        <v>0</v>
      </c>
      <c r="RI82" s="336">
        <v>0</v>
      </c>
      <c r="RJ82" s="336">
        <v>0</v>
      </c>
      <c r="RK82" s="336">
        <v>0</v>
      </c>
      <c r="RL82" s="336">
        <v>0</v>
      </c>
      <c r="RM82" s="336">
        <v>0</v>
      </c>
      <c r="RN82" s="336">
        <v>0</v>
      </c>
      <c r="RO82" s="336">
        <v>-5591180</v>
      </c>
      <c r="RP82" s="336">
        <v>0</v>
      </c>
      <c r="RQ82" s="336">
        <v>0</v>
      </c>
      <c r="RR82" s="336">
        <v>0</v>
      </c>
      <c r="RS82" s="336">
        <v>0</v>
      </c>
      <c r="RT82" s="336">
        <v>0</v>
      </c>
      <c r="RU82" s="336">
        <v>0</v>
      </c>
      <c r="RV82" s="336">
        <v>0</v>
      </c>
      <c r="RW82" s="336">
        <v>0</v>
      </c>
      <c r="RX82" s="336">
        <v>-2740495</v>
      </c>
      <c r="RY82" s="336">
        <v>0</v>
      </c>
      <c r="RZ82" s="336">
        <v>0</v>
      </c>
      <c r="SA82" s="336">
        <v>0</v>
      </c>
      <c r="SB82" s="336">
        <v>0</v>
      </c>
      <c r="SC82" s="336">
        <v>0</v>
      </c>
      <c r="SD82" s="336">
        <v>0</v>
      </c>
      <c r="SE82" s="336">
        <v>0</v>
      </c>
      <c r="SF82" s="336">
        <v>0</v>
      </c>
      <c r="SG82" s="336">
        <v>0</v>
      </c>
      <c r="SH82" s="336">
        <v>0</v>
      </c>
      <c r="SI82" s="336">
        <v>0</v>
      </c>
      <c r="SJ82" s="336">
        <v>0</v>
      </c>
      <c r="SK82" s="336">
        <v>0</v>
      </c>
      <c r="SL82" s="336">
        <v>0</v>
      </c>
      <c r="SM82" s="336">
        <v>0</v>
      </c>
      <c r="SN82" s="336">
        <v>0</v>
      </c>
      <c r="SO82" s="336">
        <v>0</v>
      </c>
      <c r="SP82" s="336">
        <v>-54347</v>
      </c>
      <c r="SQ82" s="336">
        <v>0</v>
      </c>
      <c r="SR82" s="336">
        <v>0</v>
      </c>
      <c r="SS82" s="336">
        <v>0</v>
      </c>
      <c r="ST82" s="336">
        <v>0</v>
      </c>
      <c r="SU82" s="336">
        <v>0</v>
      </c>
      <c r="SV82" s="336">
        <v>0</v>
      </c>
      <c r="SW82" s="336">
        <v>0</v>
      </c>
      <c r="SX82" s="336">
        <v>0</v>
      </c>
      <c r="SY82" s="336">
        <v>35398965</v>
      </c>
      <c r="SZ82" s="336" t="s">
        <v>1420</v>
      </c>
      <c r="TA82" s="336" t="s">
        <v>1420</v>
      </c>
      <c r="TB82" s="336" t="s">
        <v>1420</v>
      </c>
      <c r="TC82" s="336">
        <v>0</v>
      </c>
      <c r="TD82" s="336">
        <v>0</v>
      </c>
      <c r="TE82" s="336">
        <v>0</v>
      </c>
      <c r="TF82" s="336">
        <v>0</v>
      </c>
      <c r="TG82" s="336">
        <v>0</v>
      </c>
      <c r="TH82" s="336">
        <v>0</v>
      </c>
      <c r="TI82" s="336">
        <v>983853</v>
      </c>
      <c r="TJ82" s="336">
        <v>0</v>
      </c>
      <c r="TK82" s="336">
        <v>0</v>
      </c>
      <c r="TL82" s="336">
        <v>0</v>
      </c>
      <c r="TM82" s="336">
        <v>0</v>
      </c>
      <c r="TN82" s="336">
        <v>0</v>
      </c>
      <c r="TO82" s="336">
        <v>0</v>
      </c>
      <c r="TP82" s="336">
        <v>0</v>
      </c>
      <c r="TQ82" s="336">
        <v>0</v>
      </c>
      <c r="TR82" s="336">
        <v>0</v>
      </c>
      <c r="TS82" s="336">
        <v>0</v>
      </c>
      <c r="TT82" s="336">
        <v>0</v>
      </c>
      <c r="TU82" s="336">
        <v>0</v>
      </c>
      <c r="TV82" s="336">
        <v>0</v>
      </c>
      <c r="TW82" s="336">
        <v>0</v>
      </c>
      <c r="TX82" s="336">
        <v>0</v>
      </c>
      <c r="TY82" s="336">
        <v>0</v>
      </c>
      <c r="TZ82" s="336">
        <v>0</v>
      </c>
      <c r="UA82" s="336">
        <v>0</v>
      </c>
      <c r="UB82" s="336">
        <v>0</v>
      </c>
      <c r="UC82" s="336">
        <v>0</v>
      </c>
      <c r="UD82" s="336">
        <v>0</v>
      </c>
      <c r="UE82" s="336">
        <v>0</v>
      </c>
      <c r="UF82" s="336">
        <v>0</v>
      </c>
      <c r="UG82" s="336">
        <v>0</v>
      </c>
      <c r="UH82" s="336">
        <v>34834458</v>
      </c>
      <c r="UI82" s="336">
        <v>2969831</v>
      </c>
      <c r="UJ82" s="336">
        <v>2113700</v>
      </c>
      <c r="UK82" s="336">
        <v>0</v>
      </c>
      <c r="UL82" s="336">
        <v>4489582</v>
      </c>
      <c r="UM82" s="336">
        <v>4851356</v>
      </c>
      <c r="UN82" s="336">
        <v>67710282</v>
      </c>
      <c r="UO82" s="336">
        <v>6042650</v>
      </c>
      <c r="UP82" s="336">
        <v>0</v>
      </c>
      <c r="UQ82" s="336">
        <v>5262200</v>
      </c>
      <c r="UR82"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983853</v>
      </c>
      <c r="US82" s="338">
        <f>SUM(Input[[#This Row],[Oth Exp E&amp;G]],Input[[#This Row],[Oth Exp Desg]],Input[[#This Row],[Oth Exp Aux]],Input[[#This Row],[Oth Exp R Exp]],Input[[#This Row],[Oth Exp Loan]],Input[[#This Row],[Oth Exp Annuity]],Input[[#This Row],[Oth Exp Unexp]],Input[[#This Row],[Oth Exp R of Ind]],Input[[#This Row],[Oth Exp Inv in P]])</f>
        <v>21862</v>
      </c>
      <c r="UT82" s="336">
        <v>0</v>
      </c>
      <c r="UU82" s="336">
        <v>0</v>
      </c>
      <c r="UV82" s="339" t="s">
        <v>1613</v>
      </c>
      <c r="UW82" s="340">
        <v>9403695097</v>
      </c>
      <c r="UX82" s="339" t="s">
        <v>1614</v>
      </c>
      <c r="UY82" s="339" t="s">
        <v>1615</v>
      </c>
      <c r="UZ82" s="340">
        <v>9403695524</v>
      </c>
      <c r="VA82" s="339" t="s">
        <v>1616</v>
      </c>
      <c r="VB82" s="341" t="str" cm="1">
        <f t="array" ref="VB82">IFERROR(_xlfn.IFS(Input[[#This Row],[Type]]="HRI",VLOOKUP(Input[[#This Row],[Institution Name]],FTSEHRI[],9,FALSE),Input[[#This Row],[Type]]="UNIV",VLOOKUP(Input[[#This Row],[Institution Name]],FTSEUNIV[],9,FALSE),OR(Input[[#This Row],[Type]]="TSTC",Input[[#This Row],[Type]]="LSC"),VLOOKUP(Input[[#This Row],[Institution Name]],FTSETSTC[],8,FALSE)),"N/A")</f>
        <v>N/A</v>
      </c>
      <c r="VC82" s="342" t="str" cm="1">
        <f t="array" ref="VC82">IFERROR(_xlfn.IFS(Input[[#This Row],[Type]]="HRI",VLOOKUP(Input[[#This Row],[Institution Name]],FTSEHRI[],11,FALSE),Input[[#This Row],[Type]]="UNIV",VLOOKUP(Input[[#This Row],[Institution Name]],FTSEUNIV[],11,FALSE),Input[[#This Row],[Type]]="TSTC",VLOOKUP(Input[[#This Row],[Institution Name]],FTSETSTC[],10,FALSE)),"N/A")</f>
        <v>N/A</v>
      </c>
      <c r="VD82"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8052089</v>
      </c>
      <c r="VE82"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F82" s="338">
        <f>SUM(Input[[#This Row],[Fed G&amp;C E&amp;G]],Input[[#This Row],[Fed G&amp;C Desg]],Input[[#This Row],[Fed G&amp;C R Exp]],Input[[#This Row],[Fed G&amp;C Loan]],Input[[#This Row],[Fed G&amp;C Annuity]],Input[[#This Row],[Fed G&amp;C Unexp]],Input[[#This Row],[Fed G&amp;C R of Ind]],Input[[#This Row],[Fed G&amp;C Inv in P]])</f>
        <v>0</v>
      </c>
      <c r="VG82"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3590624</v>
      </c>
      <c r="VH82"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0</v>
      </c>
      <c r="VI82"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J82" s="338">
        <f>SUM(Input[[#This Row],[Oth Inc E&amp;G]],Input[[#This Row],[Oth Exp Desg]],Input[[#This Row],[Oth Exp R Exp]],Input[[#This Row],[Oth Exp Loan]],Input[[#This Row],[Oth Exp Annuity]],Input[[#This Row],[Oth Exp Unexp]],Input[[#This Row],[Oth Exp R of Ind]],Input[[#This Row],[Oth Exp Inv in P]])</f>
        <v>13277</v>
      </c>
      <c r="VK82" s="343">
        <f>SUM(Input[[#This Row],[Instr E&amp;G]],Input[[#This Row],[Instr Desg]],Input[[#This Row],[Instr R Exp]],Input[[#This Row],[Instr Loan]],Input[[#This Row],[Instr Annuity]],Input[[#This Row],[Instr Unexp]],Input[[#This Row],[Instr R of Ind]],Input[[#This Row],[Instr Inv in P]])</f>
        <v>34834458</v>
      </c>
      <c r="VL82" s="343">
        <f>SUM(Input[[#This Row],[Res E&amp;G]],Input[[#This Row],[Res Desg]],Input[[#This Row],[Res R Exp]],Input[[#This Row],[Res Loan]],Input[[#This Row],[Res Annuity]],Input[[#This Row],[Res Unexp]],Input[[#This Row],[Res R of Ind]],Input[[#This Row],[Res Inv in P]])</f>
        <v>2969831</v>
      </c>
      <c r="VM82" s="343">
        <f>SUM(Input[[#This Row],[Acad Sup E&amp;G]],Input[[#This Row],[Acad Sup Desg]],Input[[#This Row],[Acad Sup R Exp]],Input[[#This Row],[Acad Sup Loan]],Input[[#This Row],[Acad Sup Annuity]],Input[[#This Row],[Acad Sup Unexp]],Input[[#This Row],[Acad Sup R of Ind]],Input[[#This Row],[Acad Sup Inv in P]])</f>
        <v>4489582</v>
      </c>
      <c r="VN82" s="343">
        <f>SUM(Input[[#This Row],[Stu Svc E&amp;G]],Input[[#This Row],[Stu Svc Desg]],Input[[#This Row],[Stu Svc R Exp]],Input[[#This Row],[Stu Svc Loan]],Input[[#This Row],[Stu Svc Annuity]],Input[[#This Row],[Stu Svc Unexp]],Input[[#This Row],[Stu Svc R of Ind]],Input[[#This Row],[Stu Svc Inv in P]])</f>
        <v>4851356</v>
      </c>
      <c r="VO82" s="343">
        <f>SUM(Input[[#This Row],[Inst. Spt E&amp;G]],Input[[#This Row],[Inst. Spt Desg]],Input[[#This Row],[Inst. Spt R Exp]],Input[[#This Row],[Inst. Spt Loan]],Input[[#This Row],[Inst. Spt Annuity]],Input[[#This Row],[Inst. Spt Unexp]],Input[[#This Row],[Inst. Spt R of Ind]],Input[[#This Row],[Inst. Spt Inv in P]])</f>
        <v>67710282</v>
      </c>
      <c r="VP82" s="343">
        <f>SUM(Input[[#This Row],[M&amp;O Plnt E&amp;G]],Input[[#This Row],[M&amp;O Plnt Desg]],Input[[#This Row],[M&amp;O Plnt R Exp]],Input[[#This Row],[M&amp;O Plnt Loan]],Input[[#This Row],[M&amp;O Plnt Annuity]],Input[[#This Row],[M&amp;O Plnt Unexp]],Input[[#This Row],[M&amp;O Plnt R of Ind]],Input[[#This Row],[M&amp;O Plnt Inv in P]])</f>
        <v>6042650</v>
      </c>
      <c r="VQ82" s="343">
        <f>SUM(Input[[#This Row],[Schl &amp; Fell E&amp;G]],Input[[#This Row],[Schl &amp; Fell Desg]],Input[[#This Row],[Schl &amp; Fell R Exp]],Input[[#This Row],[Schl &amp; Fell Loan]],Input[[#This Row],[Schl &amp; Fell Annuity]],Input[[#This Row],[Schl &amp; Fell Unexp]],Input[[#This Row],[Schl &amp; Fell R of Ind]],Input[[#This Row],[Schl &amp; Fell Inv in P]])</f>
        <v>0</v>
      </c>
      <c r="VR82" s="343">
        <f>SUM(Input[[#This Row],[Cap Out fund E&amp;G]],Input[[#This Row],[Cap Out fund Desg]],Input[[#This Row],[Cap Out fund R Exp]],Input[[#This Row],[Cap Out fund Loan]],Input[[#This Row],[Cap Out fund Annuity]],Input[[#This Row],[Cap Out fund Unexp]],Input[[#This Row],[Cap Out fund R of Ind]],Input[[#This Row],[Cap Out fund Inv in P]])</f>
        <v>983853</v>
      </c>
      <c r="VS82" s="343">
        <f>SUM(Input[[#This Row],[Oth Exp E&amp;G]],Input[[#This Row],[Oth Exp Desg]],Input[[#This Row],[Oth Exp R Exp]],Input[[#This Row],[Oth Exp Loan]],Input[[#This Row],[Oth Exp Annuity]],Input[[#This Row],[Oth Exp Unexp]],Input[[#This Row],[Oth Exp R of Ind]],Input[[#This Row],[Oth Exp Inv in P]],Input[[#This Row],[Oth Exp Inv in P]])</f>
        <v>13277</v>
      </c>
    </row>
    <row r="83" spans="1:591" s="344" customFormat="1" ht="27" customHeight="1" x14ac:dyDescent="0.55000000000000004">
      <c r="A83" s="339" t="s">
        <v>73</v>
      </c>
      <c r="B83" s="334" t="s">
        <v>830</v>
      </c>
      <c r="C83" s="334" t="s">
        <v>21</v>
      </c>
      <c r="D83" s="334">
        <v>200</v>
      </c>
      <c r="E83" s="334" t="s">
        <v>1622</v>
      </c>
      <c r="F83" s="335">
        <v>3665</v>
      </c>
      <c r="G83" s="336">
        <v>53708590</v>
      </c>
      <c r="H83" s="336">
        <v>0</v>
      </c>
      <c r="I83" s="336">
        <v>0</v>
      </c>
      <c r="J83" s="336">
        <v>0</v>
      </c>
      <c r="K83" s="336">
        <v>0</v>
      </c>
      <c r="L83" s="336">
        <v>0</v>
      </c>
      <c r="M83" s="336">
        <v>0</v>
      </c>
      <c r="N83" s="336">
        <v>0</v>
      </c>
      <c r="O83" s="336">
        <v>0</v>
      </c>
      <c r="P83" s="336">
        <v>14986</v>
      </c>
      <c r="Q83" s="336">
        <v>46000</v>
      </c>
      <c r="R83" s="336">
        <v>0</v>
      </c>
      <c r="S83" s="336">
        <v>7418328</v>
      </c>
      <c r="T83" s="336">
        <v>0</v>
      </c>
      <c r="U83" s="336">
        <v>0</v>
      </c>
      <c r="V83" s="336">
        <v>0</v>
      </c>
      <c r="W83" s="336">
        <v>0</v>
      </c>
      <c r="X83" s="336">
        <v>0</v>
      </c>
      <c r="Y83" s="336">
        <v>7671155</v>
      </c>
      <c r="Z83" s="336">
        <v>0</v>
      </c>
      <c r="AA83" s="336">
        <v>0</v>
      </c>
      <c r="AB83" s="336">
        <v>0</v>
      </c>
      <c r="AC83" s="336">
        <v>0</v>
      </c>
      <c r="AD83" s="336">
        <v>0</v>
      </c>
      <c r="AE83" s="336">
        <v>0</v>
      </c>
      <c r="AF83" s="336">
        <v>0</v>
      </c>
      <c r="AG83" s="336">
        <v>0</v>
      </c>
      <c r="AH83" s="336">
        <v>0</v>
      </c>
      <c r="AI83" s="336">
        <v>0</v>
      </c>
      <c r="AJ83" s="336">
        <v>0</v>
      </c>
      <c r="AK83" s="336">
        <v>0</v>
      </c>
      <c r="AL83" s="336">
        <v>0</v>
      </c>
      <c r="AM83" s="336">
        <v>0</v>
      </c>
      <c r="AN83" s="336">
        <v>0</v>
      </c>
      <c r="AO83" s="336">
        <v>0</v>
      </c>
      <c r="AP83" s="336">
        <v>0</v>
      </c>
      <c r="AQ83" s="336">
        <v>-12864076</v>
      </c>
      <c r="AR83" s="336">
        <v>0</v>
      </c>
      <c r="AS83" s="336">
        <v>0</v>
      </c>
      <c r="AT83" s="336">
        <v>0</v>
      </c>
      <c r="AU83" s="336">
        <v>0</v>
      </c>
      <c r="AV83" s="336">
        <v>0</v>
      </c>
      <c r="AW83" s="336">
        <v>0</v>
      </c>
      <c r="AX83" s="336">
        <v>0</v>
      </c>
      <c r="AY83" s="336">
        <v>0</v>
      </c>
      <c r="AZ83" s="336">
        <v>0</v>
      </c>
      <c r="BA83" s="336">
        <v>0</v>
      </c>
      <c r="BB83" s="336">
        <v>0</v>
      </c>
      <c r="BC83" s="336">
        <v>0</v>
      </c>
      <c r="BD83" s="336">
        <v>0</v>
      </c>
      <c r="BE83" s="336">
        <v>0</v>
      </c>
      <c r="BF83" s="336">
        <v>0</v>
      </c>
      <c r="BG83" s="336">
        <v>0</v>
      </c>
      <c r="BH83" s="336">
        <v>0</v>
      </c>
      <c r="BI83" s="336">
        <v>0</v>
      </c>
      <c r="BJ83" s="336">
        <v>0</v>
      </c>
      <c r="BK83" s="336">
        <v>0</v>
      </c>
      <c r="BL83" s="336">
        <v>0</v>
      </c>
      <c r="BM83" s="336">
        <v>0</v>
      </c>
      <c r="BN83" s="336">
        <v>0</v>
      </c>
      <c r="BO83" s="336">
        <v>0</v>
      </c>
      <c r="BP83" s="336">
        <v>0</v>
      </c>
      <c r="BQ83" s="336">
        <v>0</v>
      </c>
      <c r="BR83" s="336">
        <v>0</v>
      </c>
      <c r="BS83" s="336">
        <v>0</v>
      </c>
      <c r="BT83" s="336">
        <v>0</v>
      </c>
      <c r="BU83" s="336">
        <v>0</v>
      </c>
      <c r="BV83" s="336">
        <v>0</v>
      </c>
      <c r="BW83" s="336">
        <v>0</v>
      </c>
      <c r="BX83" s="336">
        <v>0</v>
      </c>
      <c r="BY83" s="336">
        <v>0</v>
      </c>
      <c r="BZ83" s="336">
        <v>0</v>
      </c>
      <c r="CA83" s="336">
        <v>13693259</v>
      </c>
      <c r="CB83" s="336">
        <v>42691334</v>
      </c>
      <c r="CC83" s="336">
        <v>0</v>
      </c>
      <c r="CD83" s="336">
        <v>0</v>
      </c>
      <c r="CE83" s="336">
        <v>0</v>
      </c>
      <c r="CF83" s="336">
        <v>0</v>
      </c>
      <c r="CG83" s="336">
        <v>0</v>
      </c>
      <c r="CH83" s="336">
        <v>0</v>
      </c>
      <c r="CI83" s="336">
        <v>0</v>
      </c>
      <c r="CJ83" s="336">
        <v>0</v>
      </c>
      <c r="CK83" s="336">
        <v>0</v>
      </c>
      <c r="CL83" s="336">
        <v>0</v>
      </c>
      <c r="CM83" s="336">
        <v>0</v>
      </c>
      <c r="CN83" s="336">
        <v>0</v>
      </c>
      <c r="CO83" s="336">
        <v>0</v>
      </c>
      <c r="CP83" s="336">
        <v>0</v>
      </c>
      <c r="CQ83" s="336">
        <v>0</v>
      </c>
      <c r="CR83" s="336">
        <v>0</v>
      </c>
      <c r="CS83" s="336">
        <v>0</v>
      </c>
      <c r="CT83" s="336">
        <v>0</v>
      </c>
      <c r="CU83" s="336">
        <v>0</v>
      </c>
      <c r="CV83" s="336">
        <v>0</v>
      </c>
      <c r="CW83" s="336">
        <v>0</v>
      </c>
      <c r="CX83" s="336">
        <v>0</v>
      </c>
      <c r="CY83" s="336">
        <v>0</v>
      </c>
      <c r="CZ83" s="336">
        <v>0</v>
      </c>
      <c r="DA83" s="336">
        <v>0</v>
      </c>
      <c r="DB83" s="336">
        <v>-698519</v>
      </c>
      <c r="DC83" s="336">
        <v>-3976914</v>
      </c>
      <c r="DD83" s="336">
        <v>0</v>
      </c>
      <c r="DE83" s="336">
        <v>0</v>
      </c>
      <c r="DF83" s="336">
        <v>0</v>
      </c>
      <c r="DG83" s="336">
        <v>0</v>
      </c>
      <c r="DH83" s="336">
        <v>0</v>
      </c>
      <c r="DI83" s="336">
        <v>0</v>
      </c>
      <c r="DJ83" s="336">
        <v>0</v>
      </c>
      <c r="DK83" s="336">
        <v>0</v>
      </c>
      <c r="DL83" s="336">
        <v>0</v>
      </c>
      <c r="DM83" s="336">
        <v>0</v>
      </c>
      <c r="DN83" s="336">
        <v>0</v>
      </c>
      <c r="DO83" s="336">
        <v>0</v>
      </c>
      <c r="DP83" s="336">
        <v>0</v>
      </c>
      <c r="DQ83" s="336">
        <v>0</v>
      </c>
      <c r="DR83" s="336">
        <v>0</v>
      </c>
      <c r="DS83" s="336">
        <v>0</v>
      </c>
      <c r="DT83" s="336">
        <v>-4377414</v>
      </c>
      <c r="DU83" s="336">
        <v>-11848269</v>
      </c>
      <c r="DV83" s="336">
        <v>0</v>
      </c>
      <c r="DW83" s="336">
        <v>0</v>
      </c>
      <c r="DX83" s="336">
        <v>0</v>
      </c>
      <c r="DY83" s="336">
        <v>0</v>
      </c>
      <c r="DZ83" s="336">
        <v>0</v>
      </c>
      <c r="EA83" s="336">
        <v>0</v>
      </c>
      <c r="EB83" s="336">
        <v>0</v>
      </c>
      <c r="EC83" s="336">
        <v>0</v>
      </c>
      <c r="ED83" s="336">
        <v>0</v>
      </c>
      <c r="EE83" s="336">
        <v>0</v>
      </c>
      <c r="EF83" s="336">
        <v>0</v>
      </c>
      <c r="EG83" s="336">
        <v>0</v>
      </c>
      <c r="EH83" s="336">
        <v>0</v>
      </c>
      <c r="EI83" s="336">
        <v>0</v>
      </c>
      <c r="EJ83" s="336">
        <v>0</v>
      </c>
      <c r="EK83" s="336">
        <v>0</v>
      </c>
      <c r="EL83" s="336">
        <v>0</v>
      </c>
      <c r="EM83" s="336">
        <v>0</v>
      </c>
      <c r="EN83" s="336">
        <v>0</v>
      </c>
      <c r="EO83" s="336">
        <v>0</v>
      </c>
      <c r="EP83" s="336">
        <v>0</v>
      </c>
      <c r="EQ83" s="336">
        <v>0</v>
      </c>
      <c r="ER83" s="336">
        <v>0</v>
      </c>
      <c r="ES83" s="336">
        <v>0</v>
      </c>
      <c r="ET83" s="336">
        <v>0</v>
      </c>
      <c r="EU83" s="336">
        <v>0</v>
      </c>
      <c r="EV83" s="336">
        <v>0</v>
      </c>
      <c r="EW83" s="336">
        <v>0</v>
      </c>
      <c r="EX83" s="336">
        <v>0</v>
      </c>
      <c r="EY83" s="336">
        <v>0</v>
      </c>
      <c r="EZ83" s="336">
        <v>0</v>
      </c>
      <c r="FA83" s="336">
        <v>0</v>
      </c>
      <c r="FB83" s="336">
        <v>0</v>
      </c>
      <c r="FC83" s="336">
        <v>0</v>
      </c>
      <c r="FD83" s="336">
        <v>0</v>
      </c>
      <c r="FE83" s="336">
        <v>0</v>
      </c>
      <c r="FF83" s="336">
        <v>0</v>
      </c>
      <c r="FG83" s="336">
        <v>0</v>
      </c>
      <c r="FH83" s="336">
        <v>0</v>
      </c>
      <c r="FI83" s="336">
        <v>0</v>
      </c>
      <c r="FJ83" s="336">
        <v>0</v>
      </c>
      <c r="FK83" s="336">
        <v>0</v>
      </c>
      <c r="FL83" s="336">
        <v>0</v>
      </c>
      <c r="FM83" s="336">
        <v>11062</v>
      </c>
      <c r="FN83" s="336">
        <v>16869613</v>
      </c>
      <c r="FO83" s="336">
        <v>12583476</v>
      </c>
      <c r="FP83" s="336">
        <v>0</v>
      </c>
      <c r="FQ83" s="336">
        <v>0</v>
      </c>
      <c r="FR83" s="336">
        <v>0</v>
      </c>
      <c r="FS83" s="336">
        <v>0</v>
      </c>
      <c r="FT83" s="336">
        <v>0</v>
      </c>
      <c r="FU83" s="336">
        <v>0</v>
      </c>
      <c r="FV83" s="336">
        <v>0</v>
      </c>
      <c r="FW83" s="336">
        <v>0</v>
      </c>
      <c r="FX83" s="336">
        <v>0</v>
      </c>
      <c r="FY83" s="336">
        <v>0</v>
      </c>
      <c r="FZ83" s="336">
        <v>0</v>
      </c>
      <c r="GA83" s="336">
        <v>0</v>
      </c>
      <c r="GB83" s="336">
        <v>0</v>
      </c>
      <c r="GC83" s="336">
        <v>0</v>
      </c>
      <c r="GD83" s="336">
        <v>0</v>
      </c>
      <c r="GE83" s="336">
        <v>0</v>
      </c>
      <c r="GF83" s="336">
        <v>0</v>
      </c>
      <c r="GG83" s="336">
        <v>0</v>
      </c>
      <c r="GH83" s="336">
        <v>0</v>
      </c>
      <c r="GI83" s="336">
        <v>0</v>
      </c>
      <c r="GJ83" s="336">
        <v>0</v>
      </c>
      <c r="GK83" s="336">
        <v>0</v>
      </c>
      <c r="GL83" s="336">
        <v>0</v>
      </c>
      <c r="GM83" s="336">
        <v>0</v>
      </c>
      <c r="GN83" s="336">
        <v>0</v>
      </c>
      <c r="GO83" s="336">
        <v>0</v>
      </c>
      <c r="GP83" s="336">
        <v>-3138361</v>
      </c>
      <c r="GQ83" s="336">
        <v>0</v>
      </c>
      <c r="GR83" s="336">
        <v>0</v>
      </c>
      <c r="GS83" s="336">
        <v>0</v>
      </c>
      <c r="GT83" s="336">
        <v>0</v>
      </c>
      <c r="GU83" s="336">
        <v>0</v>
      </c>
      <c r="GV83" s="336">
        <v>0</v>
      </c>
      <c r="GW83" s="336">
        <v>0</v>
      </c>
      <c r="GX83" s="336">
        <v>0</v>
      </c>
      <c r="GY83" s="336">
        <v>0</v>
      </c>
      <c r="GZ83" s="336">
        <v>0</v>
      </c>
      <c r="HA83" s="336">
        <v>0</v>
      </c>
      <c r="HB83" s="336">
        <v>0</v>
      </c>
      <c r="HC83" s="336">
        <v>0</v>
      </c>
      <c r="HD83" s="336">
        <v>0</v>
      </c>
      <c r="HE83" s="336">
        <v>0</v>
      </c>
      <c r="HF83" s="336">
        <v>-4100</v>
      </c>
      <c r="HG83" s="336">
        <v>-6253370</v>
      </c>
      <c r="HH83" s="336">
        <v>-1526188</v>
      </c>
      <c r="HI83" s="336">
        <v>0</v>
      </c>
      <c r="HJ83" s="336">
        <v>0</v>
      </c>
      <c r="HK83" s="336">
        <v>0</v>
      </c>
      <c r="HL83" s="336">
        <v>0</v>
      </c>
      <c r="HM83" s="336">
        <v>0</v>
      </c>
      <c r="HN83" s="336">
        <v>0</v>
      </c>
      <c r="HO83" s="336">
        <v>-5661</v>
      </c>
      <c r="HP83" s="336">
        <v>424211</v>
      </c>
      <c r="HQ83" s="336">
        <v>0</v>
      </c>
      <c r="HR83" s="336">
        <v>22785081</v>
      </c>
      <c r="HS83" s="336">
        <v>0</v>
      </c>
      <c r="HT83" s="336">
        <v>0</v>
      </c>
      <c r="HU83" s="336">
        <v>0</v>
      </c>
      <c r="HV83" s="336">
        <v>0</v>
      </c>
      <c r="HW83" s="336">
        <v>0</v>
      </c>
      <c r="HX83" s="336">
        <v>0</v>
      </c>
      <c r="HY83" s="336">
        <v>0</v>
      </c>
      <c r="HZ83" s="336">
        <v>0</v>
      </c>
      <c r="IA83" s="336">
        <v>0</v>
      </c>
      <c r="IB83" s="336">
        <v>0</v>
      </c>
      <c r="IC83" s="336">
        <v>0</v>
      </c>
      <c r="ID83" s="336">
        <v>0</v>
      </c>
      <c r="IE83" s="336">
        <v>0</v>
      </c>
      <c r="IF83" s="336">
        <v>0</v>
      </c>
      <c r="IG83" s="336">
        <v>0</v>
      </c>
      <c r="IH83" s="336">
        <v>0</v>
      </c>
      <c r="II83" s="336">
        <v>0</v>
      </c>
      <c r="IJ83" s="336">
        <v>0</v>
      </c>
      <c r="IK83" s="336">
        <v>0</v>
      </c>
      <c r="IL83" s="336">
        <v>0</v>
      </c>
      <c r="IM83" s="336">
        <v>0</v>
      </c>
      <c r="IN83" s="336">
        <v>0</v>
      </c>
      <c r="IO83" s="336">
        <v>0</v>
      </c>
      <c r="IP83" s="336">
        <v>114906</v>
      </c>
      <c r="IQ83" s="336">
        <v>4980417</v>
      </c>
      <c r="IR83" s="336">
        <v>0</v>
      </c>
      <c r="IS83" s="336">
        <v>1736561</v>
      </c>
      <c r="IT83" s="336">
        <v>173546</v>
      </c>
      <c r="IU83" s="336">
        <v>3197</v>
      </c>
      <c r="IV83" s="336">
        <v>1150636</v>
      </c>
      <c r="IW83" s="336">
        <v>0</v>
      </c>
      <c r="IX83" s="336">
        <v>0</v>
      </c>
      <c r="IY83" s="336">
        <v>0</v>
      </c>
      <c r="IZ83" s="336">
        <v>0</v>
      </c>
      <c r="JA83" s="336">
        <v>0</v>
      </c>
      <c r="JB83" s="336">
        <v>0</v>
      </c>
      <c r="JC83" s="336">
        <v>0</v>
      </c>
      <c r="JD83" s="336">
        <v>0</v>
      </c>
      <c r="JE83" s="336">
        <v>0</v>
      </c>
      <c r="JF83" s="336">
        <v>0</v>
      </c>
      <c r="JG83" s="336">
        <v>0</v>
      </c>
      <c r="JH83" s="336">
        <v>0</v>
      </c>
      <c r="JI83" s="336">
        <v>1026258</v>
      </c>
      <c r="JJ83" s="336">
        <v>824819</v>
      </c>
      <c r="JK83" s="336">
        <v>7873951</v>
      </c>
      <c r="JL83" s="336">
        <v>0</v>
      </c>
      <c r="JM83" s="336">
        <v>23459</v>
      </c>
      <c r="JN83" s="336">
        <v>119500</v>
      </c>
      <c r="JO83" s="336">
        <v>0</v>
      </c>
      <c r="JP83" s="336">
        <v>0</v>
      </c>
      <c r="JQ83" s="336">
        <v>24000</v>
      </c>
      <c r="JR83" s="336">
        <v>10614141</v>
      </c>
      <c r="JS83" s="336">
        <v>0</v>
      </c>
      <c r="JT83" s="336">
        <v>2008616</v>
      </c>
      <c r="JU83" s="336">
        <v>20823</v>
      </c>
      <c r="JV83" s="336">
        <v>0</v>
      </c>
      <c r="JW83" s="336">
        <v>1018731</v>
      </c>
      <c r="JX83" s="336">
        <v>0</v>
      </c>
      <c r="JY83" s="336">
        <v>0</v>
      </c>
      <c r="JZ83" s="336">
        <v>0</v>
      </c>
      <c r="KA83" s="336">
        <v>0</v>
      </c>
      <c r="KB83" s="336">
        <v>14105985</v>
      </c>
      <c r="KC83" s="336">
        <v>0</v>
      </c>
      <c r="KD83" s="336">
        <v>0</v>
      </c>
      <c r="KE83" s="336">
        <v>0</v>
      </c>
      <c r="KF83" s="336">
        <v>0</v>
      </c>
      <c r="KG83" s="336">
        <v>0</v>
      </c>
      <c r="KH83" s="336">
        <v>0</v>
      </c>
      <c r="KI83" s="336">
        <v>68298</v>
      </c>
      <c r="KJ83" s="336">
        <v>1240173</v>
      </c>
      <c r="KK83" s="336">
        <v>43388</v>
      </c>
      <c r="KL83" s="336">
        <v>0</v>
      </c>
      <c r="KM83" s="336">
        <v>25500</v>
      </c>
      <c r="KN83" s="336">
        <v>0</v>
      </c>
      <c r="KO83" s="336">
        <v>0</v>
      </c>
      <c r="KP83" s="336">
        <v>0</v>
      </c>
      <c r="KQ83" s="336">
        <v>8037828</v>
      </c>
      <c r="KR83" s="336">
        <v>30806879</v>
      </c>
      <c r="KS83" s="336">
        <v>15695348</v>
      </c>
      <c r="KT83" s="336">
        <v>0</v>
      </c>
      <c r="KU83" s="336">
        <v>480147</v>
      </c>
      <c r="KV83" s="336">
        <v>0</v>
      </c>
      <c r="KW83" s="336">
        <v>0</v>
      </c>
      <c r="KX83" s="336">
        <v>0</v>
      </c>
      <c r="KY83" s="336">
        <v>0</v>
      </c>
      <c r="KZ83" s="336">
        <v>0</v>
      </c>
      <c r="LA83" s="336">
        <v>5951802</v>
      </c>
      <c r="LB83" s="336">
        <v>1595747</v>
      </c>
      <c r="LC83" s="336">
        <v>0</v>
      </c>
      <c r="LD83" s="336">
        <v>2601530</v>
      </c>
      <c r="LE83" s="336">
        <v>0</v>
      </c>
      <c r="LF83" s="336">
        <v>0</v>
      </c>
      <c r="LG83" s="336">
        <v>0</v>
      </c>
      <c r="LH83" s="336">
        <v>0</v>
      </c>
      <c r="LI83" s="336">
        <v>0</v>
      </c>
      <c r="LJ83" s="336">
        <v>1191861</v>
      </c>
      <c r="LK83" s="336">
        <v>1433932</v>
      </c>
      <c r="LL83" s="336">
        <v>0</v>
      </c>
      <c r="LM83" s="336">
        <v>2148853</v>
      </c>
      <c r="LN83" s="336">
        <v>0</v>
      </c>
      <c r="LO83" s="336">
        <v>0</v>
      </c>
      <c r="LP83" s="336">
        <v>0</v>
      </c>
      <c r="LQ83" s="336">
        <v>0</v>
      </c>
      <c r="LR83" s="336">
        <v>0</v>
      </c>
      <c r="LS83" s="336">
        <v>0</v>
      </c>
      <c r="LT83" s="336">
        <v>0</v>
      </c>
      <c r="LU83" s="336">
        <v>0</v>
      </c>
      <c r="LV83" s="336">
        <v>0</v>
      </c>
      <c r="LW83" s="336">
        <v>0</v>
      </c>
      <c r="LX83" s="336">
        <v>0</v>
      </c>
      <c r="LY83" s="336">
        <v>0</v>
      </c>
      <c r="LZ83" s="336">
        <v>0</v>
      </c>
      <c r="MA83" s="336">
        <v>0</v>
      </c>
      <c r="MB83" s="336">
        <v>9482110</v>
      </c>
      <c r="MC83" s="336">
        <v>4852648</v>
      </c>
      <c r="MD83" s="336">
        <v>0</v>
      </c>
      <c r="ME83" s="336">
        <v>6677374</v>
      </c>
      <c r="MF83" s="336">
        <v>0</v>
      </c>
      <c r="MG83" s="336">
        <v>0</v>
      </c>
      <c r="MH83" s="336">
        <v>0</v>
      </c>
      <c r="MI83" s="336">
        <v>0</v>
      </c>
      <c r="MJ83" s="336">
        <v>0</v>
      </c>
      <c r="MK83" s="336">
        <v>2608635</v>
      </c>
      <c r="ML83" s="336">
        <v>8425933</v>
      </c>
      <c r="MM83" s="336">
        <v>0</v>
      </c>
      <c r="MN83" s="336">
        <v>589373</v>
      </c>
      <c r="MO83" s="336">
        <v>-81548</v>
      </c>
      <c r="MP83" s="336">
        <v>0</v>
      </c>
      <c r="MQ83" s="336">
        <v>0</v>
      </c>
      <c r="MR83" s="336">
        <v>0</v>
      </c>
      <c r="MS83" s="336">
        <v>0</v>
      </c>
      <c r="MT83" s="336">
        <v>7049060</v>
      </c>
      <c r="MU83" s="336">
        <v>7082378</v>
      </c>
      <c r="MV83" s="336">
        <v>0</v>
      </c>
      <c r="MW83" s="336">
        <v>810</v>
      </c>
      <c r="MX83" s="336">
        <v>0</v>
      </c>
      <c r="MY83" s="336">
        <v>0</v>
      </c>
      <c r="MZ83" s="336">
        <v>0</v>
      </c>
      <c r="NA83" s="336">
        <v>0</v>
      </c>
      <c r="NB83" s="336">
        <v>0</v>
      </c>
      <c r="NC83" s="336">
        <v>3467698</v>
      </c>
      <c r="ND83" s="336">
        <v>11781746</v>
      </c>
      <c r="NE83" s="336">
        <v>0</v>
      </c>
      <c r="NF83" s="336">
        <v>68193</v>
      </c>
      <c r="NG83" s="336">
        <v>0</v>
      </c>
      <c r="NH83" s="336">
        <v>0</v>
      </c>
      <c r="NI83" s="336">
        <v>11458952</v>
      </c>
      <c r="NJ83" s="336">
        <v>0</v>
      </c>
      <c r="NK83" s="336">
        <v>0</v>
      </c>
      <c r="NL83" s="336">
        <v>454399</v>
      </c>
      <c r="NM83" s="336">
        <v>6209518</v>
      </c>
      <c r="NN83" s="336">
        <v>0</v>
      </c>
      <c r="NO83" s="336">
        <v>5452147</v>
      </c>
      <c r="NP83" s="336">
        <v>0</v>
      </c>
      <c r="NQ83" s="336">
        <v>16852</v>
      </c>
      <c r="NR83" s="336">
        <v>0</v>
      </c>
      <c r="NS83" s="336">
        <v>0</v>
      </c>
      <c r="NT83" s="336">
        <v>0</v>
      </c>
      <c r="NU83" s="336">
        <v>0</v>
      </c>
      <c r="NV83" s="336">
        <v>0</v>
      </c>
      <c r="NW83" s="336">
        <v>23049886</v>
      </c>
      <c r="NX83" s="336">
        <v>0</v>
      </c>
      <c r="NY83" s="336">
        <v>0</v>
      </c>
      <c r="NZ83" s="336">
        <v>0</v>
      </c>
      <c r="OA83" s="336">
        <v>0</v>
      </c>
      <c r="OB83" s="336">
        <v>0</v>
      </c>
      <c r="OC83" s="336">
        <v>0</v>
      </c>
      <c r="OD83" s="336">
        <v>1722323</v>
      </c>
      <c r="OE83" s="336">
        <v>678803</v>
      </c>
      <c r="OF83" s="336">
        <v>73573</v>
      </c>
      <c r="OG83" s="336">
        <v>277974</v>
      </c>
      <c r="OH83" s="336">
        <v>0</v>
      </c>
      <c r="OI83" s="336">
        <v>0</v>
      </c>
      <c r="OJ83" s="336">
        <v>0</v>
      </c>
      <c r="OK83" s="336">
        <v>0</v>
      </c>
      <c r="OL83" s="336">
        <v>0</v>
      </c>
      <c r="OM83" s="336">
        <v>0</v>
      </c>
      <c r="ON83" s="336">
        <v>543277</v>
      </c>
      <c r="OO83" s="336">
        <v>0</v>
      </c>
      <c r="OP83" s="336">
        <v>0</v>
      </c>
      <c r="OQ83" s="336">
        <v>0</v>
      </c>
      <c r="OR83" s="336">
        <v>0</v>
      </c>
      <c r="OS83" s="336">
        <v>0</v>
      </c>
      <c r="OT83" s="336">
        <v>0</v>
      </c>
      <c r="OU83" s="336">
        <v>3231551</v>
      </c>
      <c r="OV83" s="336">
        <v>0</v>
      </c>
      <c r="OW83" s="336">
        <v>0</v>
      </c>
      <c r="OX83" s="336">
        <v>0</v>
      </c>
      <c r="OY83" s="336">
        <v>0</v>
      </c>
      <c r="OZ83" s="336">
        <v>0</v>
      </c>
      <c r="PA83" s="336">
        <v>0</v>
      </c>
      <c r="PB83" s="336">
        <v>37949</v>
      </c>
      <c r="PC83" s="336">
        <v>0</v>
      </c>
      <c r="PD83" s="336">
        <v>0</v>
      </c>
      <c r="PE83" s="336">
        <v>3330553</v>
      </c>
      <c r="PF83" s="336">
        <v>-1324465</v>
      </c>
      <c r="PG83" s="336">
        <v>5833232</v>
      </c>
      <c r="PH83" s="336">
        <v>-23908375</v>
      </c>
      <c r="PI83" s="336">
        <v>104427</v>
      </c>
      <c r="PJ83" s="336">
        <v>-56749</v>
      </c>
      <c r="PK83" s="336">
        <v>12482988</v>
      </c>
      <c r="PL83" s="336">
        <v>0</v>
      </c>
      <c r="PM83" s="336">
        <v>0</v>
      </c>
      <c r="PN83" s="336">
        <v>0</v>
      </c>
      <c r="PO83" s="336">
        <v>0</v>
      </c>
      <c r="PP83" s="336">
        <v>0</v>
      </c>
      <c r="PQ83" s="336">
        <v>0</v>
      </c>
      <c r="PR83" s="336">
        <v>0</v>
      </c>
      <c r="PS83" s="336">
        <v>0</v>
      </c>
      <c r="PT83" s="336">
        <v>0</v>
      </c>
      <c r="PU83" s="336">
        <v>0</v>
      </c>
      <c r="PV83" s="336">
        <v>0</v>
      </c>
      <c r="PW83" s="336">
        <v>-11480294</v>
      </c>
      <c r="PX83" s="336">
        <v>-2444206</v>
      </c>
      <c r="PY83" s="336">
        <v>-8651019</v>
      </c>
      <c r="PZ83" s="336">
        <v>0</v>
      </c>
      <c r="QA83" s="336">
        <v>0</v>
      </c>
      <c r="QB83" s="336">
        <v>0</v>
      </c>
      <c r="QC83" s="336">
        <v>0</v>
      </c>
      <c r="QD83" s="336">
        <v>0</v>
      </c>
      <c r="QE83" s="336">
        <v>0</v>
      </c>
      <c r="QF83" s="336">
        <v>20018</v>
      </c>
      <c r="QG83" s="336">
        <v>9672793</v>
      </c>
      <c r="QH83" s="336">
        <v>2788644</v>
      </c>
      <c r="QI83" s="336">
        <v>-128595</v>
      </c>
      <c r="QJ83" s="336">
        <v>0</v>
      </c>
      <c r="QK83" s="336">
        <v>2536470</v>
      </c>
      <c r="QL83" s="336">
        <v>3512855</v>
      </c>
      <c r="QM83" s="336">
        <v>0</v>
      </c>
      <c r="QN83" s="336">
        <v>0</v>
      </c>
      <c r="QO83" s="336">
        <v>0</v>
      </c>
      <c r="QP83" s="336">
        <v>0</v>
      </c>
      <c r="QQ83" s="336">
        <v>0</v>
      </c>
      <c r="QR83" s="336">
        <v>0</v>
      </c>
      <c r="QS83" s="336">
        <v>0</v>
      </c>
      <c r="QT83" s="336">
        <v>0</v>
      </c>
      <c r="QU83" s="336">
        <v>0</v>
      </c>
      <c r="QV83" s="336">
        <v>0</v>
      </c>
      <c r="QW83" s="336">
        <v>0</v>
      </c>
      <c r="QX83" s="336">
        <v>0</v>
      </c>
      <c r="QY83" s="336">
        <v>0</v>
      </c>
      <c r="QZ83" s="336">
        <v>0</v>
      </c>
      <c r="RA83" s="336">
        <v>0</v>
      </c>
      <c r="RB83" s="336">
        <v>0</v>
      </c>
      <c r="RC83" s="336">
        <v>0</v>
      </c>
      <c r="RD83" s="336">
        <v>0</v>
      </c>
      <c r="RE83" s="336">
        <v>0</v>
      </c>
      <c r="RF83" s="336">
        <v>0</v>
      </c>
      <c r="RG83" s="336">
        <v>0</v>
      </c>
      <c r="RH83" s="336">
        <v>0</v>
      </c>
      <c r="RI83" s="336">
        <v>0</v>
      </c>
      <c r="RJ83" s="336">
        <v>0</v>
      </c>
      <c r="RK83" s="336">
        <v>0</v>
      </c>
      <c r="RL83" s="336">
        <v>0</v>
      </c>
      <c r="RM83" s="336">
        <v>0</v>
      </c>
      <c r="RN83" s="336">
        <v>0</v>
      </c>
      <c r="RO83" s="336">
        <v>-20076258</v>
      </c>
      <c r="RP83" s="336">
        <v>0</v>
      </c>
      <c r="RQ83" s="336">
        <v>0</v>
      </c>
      <c r="RR83" s="336">
        <v>0</v>
      </c>
      <c r="RS83" s="336">
        <v>0</v>
      </c>
      <c r="RT83" s="336">
        <v>0</v>
      </c>
      <c r="RU83" s="336">
        <v>0</v>
      </c>
      <c r="RV83" s="336">
        <v>0</v>
      </c>
      <c r="RW83" s="336">
        <v>0</v>
      </c>
      <c r="RX83" s="336">
        <v>0</v>
      </c>
      <c r="RY83" s="336">
        <v>0</v>
      </c>
      <c r="RZ83" s="336">
        <v>0</v>
      </c>
      <c r="SA83" s="336">
        <v>0</v>
      </c>
      <c r="SB83" s="336">
        <v>0</v>
      </c>
      <c r="SC83" s="336">
        <v>0</v>
      </c>
      <c r="SD83" s="336">
        <v>0</v>
      </c>
      <c r="SE83" s="336">
        <v>0</v>
      </c>
      <c r="SF83" s="336">
        <v>0</v>
      </c>
      <c r="SG83" s="336">
        <v>0</v>
      </c>
      <c r="SH83" s="336">
        <v>0</v>
      </c>
      <c r="SI83" s="336">
        <v>0</v>
      </c>
      <c r="SJ83" s="336">
        <v>0</v>
      </c>
      <c r="SK83" s="336">
        <v>0</v>
      </c>
      <c r="SL83" s="336">
        <v>0</v>
      </c>
      <c r="SM83" s="336">
        <v>0</v>
      </c>
      <c r="SN83" s="336">
        <v>0</v>
      </c>
      <c r="SO83" s="336">
        <v>0</v>
      </c>
      <c r="SP83" s="336">
        <v>0</v>
      </c>
      <c r="SQ83" s="336">
        <v>1722323</v>
      </c>
      <c r="SR83" s="336">
        <v>678803</v>
      </c>
      <c r="SS83" s="336">
        <v>73573</v>
      </c>
      <c r="ST83" s="336">
        <v>277974</v>
      </c>
      <c r="SU83" s="336">
        <v>0</v>
      </c>
      <c r="SV83" s="336">
        <v>0</v>
      </c>
      <c r="SW83" s="336">
        <v>-37949</v>
      </c>
      <c r="SX83" s="336">
        <v>0</v>
      </c>
      <c r="SY83" s="336">
        <v>0</v>
      </c>
      <c r="SZ83" s="336" t="s">
        <v>1420</v>
      </c>
      <c r="TA83" s="336" t="s">
        <v>1420</v>
      </c>
      <c r="TB83" s="336" t="s">
        <v>1420</v>
      </c>
      <c r="TC83" s="336">
        <v>679973</v>
      </c>
      <c r="TD83" s="336">
        <v>795638</v>
      </c>
      <c r="TE83" s="336">
        <v>50354</v>
      </c>
      <c r="TF83" s="336">
        <v>0</v>
      </c>
      <c r="TG83" s="336">
        <v>256050</v>
      </c>
      <c r="TH83" s="336">
        <v>7102</v>
      </c>
      <c r="TI83" s="336">
        <v>210609</v>
      </c>
      <c r="TJ83" s="336">
        <v>679374</v>
      </c>
      <c r="TK83" s="336">
        <v>73573</v>
      </c>
      <c r="TL83" s="336">
        <v>0</v>
      </c>
      <c r="TM83" s="336">
        <v>0</v>
      </c>
      <c r="TN83" s="336">
        <v>0</v>
      </c>
      <c r="TO83" s="336">
        <v>31159</v>
      </c>
      <c r="TP83" s="336">
        <v>0</v>
      </c>
      <c r="TQ83" s="336">
        <v>0</v>
      </c>
      <c r="TR83" s="336">
        <v>0</v>
      </c>
      <c r="TS83" s="336">
        <v>0</v>
      </c>
      <c r="TT83" s="336">
        <v>0</v>
      </c>
      <c r="TU83" s="336">
        <v>0</v>
      </c>
      <c r="TV83" s="336">
        <v>0</v>
      </c>
      <c r="TW83" s="336">
        <v>0</v>
      </c>
      <c r="TX83" s="336">
        <v>0</v>
      </c>
      <c r="TY83" s="336">
        <v>0</v>
      </c>
      <c r="TZ83" s="336">
        <v>0</v>
      </c>
      <c r="UA83" s="336">
        <v>0</v>
      </c>
      <c r="UB83" s="336">
        <v>0</v>
      </c>
      <c r="UC83" s="336">
        <v>0</v>
      </c>
      <c r="UD83" s="336">
        <v>0</v>
      </c>
      <c r="UE83" s="336">
        <v>0</v>
      </c>
      <c r="UF83" s="336">
        <v>0</v>
      </c>
      <c r="UG83" s="336">
        <v>0</v>
      </c>
      <c r="UH83" s="336">
        <v>46982374</v>
      </c>
      <c r="UI83" s="336">
        <v>10149079</v>
      </c>
      <c r="UJ83" s="336">
        <v>4774646</v>
      </c>
      <c r="UK83" s="336">
        <v>0</v>
      </c>
      <c r="UL83" s="336">
        <v>21012132</v>
      </c>
      <c r="UM83" s="336">
        <v>11542393</v>
      </c>
      <c r="UN83" s="336">
        <v>14132248</v>
      </c>
      <c r="UO83" s="336">
        <v>26776589</v>
      </c>
      <c r="UP83" s="336">
        <v>12132916</v>
      </c>
      <c r="UQ83" s="336">
        <v>23049886</v>
      </c>
      <c r="UR83" s="338">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2752673</v>
      </c>
      <c r="US83" s="338">
        <f>SUM(Input[[#This Row],[Oth Exp E&amp;G]],Input[[#This Row],[Oth Exp Desg]],Input[[#This Row],[Oth Exp Aux]],Input[[#This Row],[Oth Exp R Exp]],Input[[#This Row],[Oth Exp Loan]],Input[[#This Row],[Oth Exp Annuity]],Input[[#This Row],[Oth Exp Unexp]],Input[[#This Row],[Oth Exp R of Ind]],Input[[#This Row],[Oth Exp Inv in P]])</f>
        <v>3774828</v>
      </c>
      <c r="UT83" s="336">
        <v>-1832691</v>
      </c>
      <c r="UU83" s="336">
        <v>18402185</v>
      </c>
      <c r="UV83" s="339" t="s">
        <v>1432</v>
      </c>
      <c r="UW83" s="340">
        <v>9798459761</v>
      </c>
      <c r="UX83" s="339" t="s">
        <v>1433</v>
      </c>
      <c r="UY83" s="339" t="s">
        <v>1445</v>
      </c>
      <c r="UZ83" s="340">
        <v>8066512078</v>
      </c>
      <c r="VA83" s="339" t="s">
        <v>1446</v>
      </c>
      <c r="VB83" s="341" cm="1">
        <f t="array" ref="VB83">IFERROR(_xlfn.IFS(Input[[#This Row],[Type]]="HRI",VLOOKUP(Input[[#This Row],[Institution Name]],FTSEHRI[],9,FALSE),Input[[#This Row],[Type]]="UNIV",VLOOKUP(Input[[#This Row],[Institution Name]],FTSEUNIV[],9,FALSE),OR(Input[[#This Row],[Type]]="TSTC",Input[[#This Row],[Type]]="LSC"),VLOOKUP(Input[[#This Row],[Institution Name]],FTSETSTC[],8,FALSE)),"N/A")</f>
        <v>7276.21</v>
      </c>
      <c r="VC83" s="342" t="str" cm="1">
        <f t="array" ref="VC83">IFERROR(_xlfn.IFS(Input[[#This Row],[Type]]="HRI",VLOOKUP(Input[[#This Row],[Institution Name]],FTSEHRI[],11,FALSE),Input[[#This Row],[Type]]="UNIV",VLOOKUP(Input[[#This Row],[Institution Name]],FTSEUNIV[],11,FALSE),Input[[#This Row],[Type]]="TSTC",VLOOKUP(Input[[#This Row],[Institution Name]],FTSETSTC[],10,FALSE)),"N/A")</f>
        <v>N/A</v>
      </c>
      <c r="VD83" s="338">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61187904</v>
      </c>
      <c r="VE83" s="338">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7671155</v>
      </c>
      <c r="VF83" s="338">
        <f>SUM(Input[[#This Row],[Fed G&amp;C E&amp;G]],Input[[#This Row],[Fed G&amp;C Desg]],Input[[#This Row],[Fed G&amp;C R Exp]],Input[[#This Row],[Fed G&amp;C Loan]],Input[[#This Row],[Fed G&amp;C Annuity]],Input[[#This Row],[Fed G&amp;C Unexp]],Input[[#This Row],[Fed G&amp;C R of Ind]],Input[[#This Row],[Fed G&amp;C Inv in P]])</f>
        <v>23203631</v>
      </c>
      <c r="VG83" s="338">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40260541</v>
      </c>
      <c r="VH83" s="338">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35483477</v>
      </c>
      <c r="VI83" s="338">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10623205</v>
      </c>
      <c r="VJ83" s="338">
        <f>SUM(Input[[#This Row],[Oth Inc E&amp;G]],Input[[#This Row],[Oth Exp Desg]],Input[[#This Row],[Oth Exp R Exp]],Input[[#This Row],[Oth Exp Loan]],Input[[#This Row],[Oth Exp Annuity]],Input[[#This Row],[Oth Exp Unexp]],Input[[#This Row],[Oth Exp R of Ind]],Input[[#This Row],[Oth Exp Inv in P]])</f>
        <v>3843126</v>
      </c>
      <c r="VK83" s="343">
        <f>SUM(Input[[#This Row],[Instr E&amp;G]],Input[[#This Row],[Instr Desg]],Input[[#This Row],[Instr R Exp]],Input[[#This Row],[Instr Loan]],Input[[#This Row],[Instr Annuity]],Input[[#This Row],[Instr Unexp]],Input[[#This Row],[Instr R of Ind]],Input[[#This Row],[Instr Inv in P]])</f>
        <v>46982374</v>
      </c>
      <c r="VL83" s="343">
        <f>SUM(Input[[#This Row],[Res E&amp;G]],Input[[#This Row],[Res Desg]],Input[[#This Row],[Res R Exp]],Input[[#This Row],[Res Loan]],Input[[#This Row],[Res Annuity]],Input[[#This Row],[Res Unexp]],Input[[#This Row],[Res R of Ind]],Input[[#This Row],[Res Inv in P]])</f>
        <v>10149079</v>
      </c>
      <c r="VM83" s="343">
        <f>SUM(Input[[#This Row],[Acad Sup E&amp;G]],Input[[#This Row],[Acad Sup Desg]],Input[[#This Row],[Acad Sup R Exp]],Input[[#This Row],[Acad Sup Loan]],Input[[#This Row],[Acad Sup Annuity]],Input[[#This Row],[Acad Sup Unexp]],Input[[#This Row],[Acad Sup R of Ind]],Input[[#This Row],[Acad Sup Inv in P]])</f>
        <v>21012132</v>
      </c>
      <c r="VN83" s="343">
        <f>SUM(Input[[#This Row],[Stu Svc E&amp;G]],Input[[#This Row],[Stu Svc Desg]],Input[[#This Row],[Stu Svc R Exp]],Input[[#This Row],[Stu Svc Loan]],Input[[#This Row],[Stu Svc Annuity]],Input[[#This Row],[Stu Svc Unexp]],Input[[#This Row],[Stu Svc R of Ind]],Input[[#This Row],[Stu Svc Inv in P]])</f>
        <v>11542393</v>
      </c>
      <c r="VO83" s="343">
        <f>SUM(Input[[#This Row],[Inst. Spt E&amp;G]],Input[[#This Row],[Inst. Spt Desg]],Input[[#This Row],[Inst. Spt R Exp]],Input[[#This Row],[Inst. Spt Loan]],Input[[#This Row],[Inst. Spt Annuity]],Input[[#This Row],[Inst. Spt Unexp]],Input[[#This Row],[Inst. Spt R of Ind]],Input[[#This Row],[Inst. Spt Inv in P]])</f>
        <v>14132248</v>
      </c>
      <c r="VP83" s="343">
        <f>SUM(Input[[#This Row],[M&amp;O Plnt E&amp;G]],Input[[#This Row],[M&amp;O Plnt Desg]],Input[[#This Row],[M&amp;O Plnt R Exp]],Input[[#This Row],[M&amp;O Plnt Loan]],Input[[#This Row],[M&amp;O Plnt Annuity]],Input[[#This Row],[M&amp;O Plnt Unexp]],Input[[#This Row],[M&amp;O Plnt R of Ind]],Input[[#This Row],[M&amp;O Plnt Inv in P]])</f>
        <v>26776589</v>
      </c>
      <c r="VQ83" s="343">
        <f>SUM(Input[[#This Row],[Schl &amp; Fell E&amp;G]],Input[[#This Row],[Schl &amp; Fell Desg]],Input[[#This Row],[Schl &amp; Fell R Exp]],Input[[#This Row],[Schl &amp; Fell Loan]],Input[[#This Row],[Schl &amp; Fell Annuity]],Input[[#This Row],[Schl &amp; Fell Unexp]],Input[[#This Row],[Schl &amp; Fell R of Ind]],Input[[#This Row],[Schl &amp; Fell Inv in P]])</f>
        <v>12132916</v>
      </c>
      <c r="VR83" s="343">
        <f>SUM(Input[[#This Row],[Cap Out fund E&amp;G]],Input[[#This Row],[Cap Out fund Desg]],Input[[#This Row],[Cap Out fund R Exp]],Input[[#This Row],[Cap Out fund Loan]],Input[[#This Row],[Cap Out fund Annuity]],Input[[#This Row],[Cap Out fund Unexp]],Input[[#This Row],[Cap Out fund R of Ind]],Input[[#This Row],[Cap Out fund Inv in P]])</f>
        <v>2679100</v>
      </c>
      <c r="VS83" s="343">
        <f>SUM(Input[[#This Row],[Oth Exp E&amp;G]],Input[[#This Row],[Oth Exp Desg]],Input[[#This Row],[Oth Exp R Exp]],Input[[#This Row],[Oth Exp Loan]],Input[[#This Row],[Oth Exp Annuity]],Input[[#This Row],[Oth Exp Unexp]],Input[[#This Row],[Oth Exp R of Ind]],Input[[#This Row],[Oth Exp Inv in P]],Input[[#This Row],[Oth Exp Inv in P]])</f>
        <v>7006379</v>
      </c>
    </row>
  </sheetData>
  <sheetProtection algorithmName="SHA-512" hashValue="HHBVedCpm7OZhd2/DWSih4P9FhPVrXvGDHRscG2zFwK/dULt+8DvU4zyPQvLshUMDHfx7SyvhMESRdEoRwRkYQ==" saltValue="X+WOgr++3zVQTFleGc9E4w==" spinCount="100000" sheet="1" objects="1" scenarios="1" formatColumns="0" formatRows="0"/>
  <mergeCells count="62">
    <mergeCell ref="AZ2:BH2"/>
    <mergeCell ref="G2:O2"/>
    <mergeCell ref="P2:X2"/>
    <mergeCell ref="Y2:AG2"/>
    <mergeCell ref="AH2:AP2"/>
    <mergeCell ref="AQ2:AY2"/>
    <mergeCell ref="FD2:FL2"/>
    <mergeCell ref="BI2:BQ2"/>
    <mergeCell ref="BR2:BZ2"/>
    <mergeCell ref="CA2:CI2"/>
    <mergeCell ref="CJ2:CR2"/>
    <mergeCell ref="CS2:DA2"/>
    <mergeCell ref="DB2:DJ2"/>
    <mergeCell ref="DK2:DS2"/>
    <mergeCell ref="DT2:EB2"/>
    <mergeCell ref="EC2:EK2"/>
    <mergeCell ref="EL2:ET2"/>
    <mergeCell ref="EU2:FC2"/>
    <mergeCell ref="JH2:JP2"/>
    <mergeCell ref="FM2:FU2"/>
    <mergeCell ref="FV2:GD2"/>
    <mergeCell ref="GE2:GM2"/>
    <mergeCell ref="GN2:GV2"/>
    <mergeCell ref="GW2:HE2"/>
    <mergeCell ref="HF2:HN2"/>
    <mergeCell ref="HO2:HW2"/>
    <mergeCell ref="HX2:IF2"/>
    <mergeCell ref="IG2:IO2"/>
    <mergeCell ref="IP2:IX2"/>
    <mergeCell ref="IY2:JG2"/>
    <mergeCell ref="NL2:NT2"/>
    <mergeCell ref="JQ2:JY2"/>
    <mergeCell ref="JZ2:KH2"/>
    <mergeCell ref="KI2:KQ2"/>
    <mergeCell ref="KR2:KZ2"/>
    <mergeCell ref="LA2:LI2"/>
    <mergeCell ref="LJ2:LR2"/>
    <mergeCell ref="LS2:MA2"/>
    <mergeCell ref="MB2:MJ2"/>
    <mergeCell ref="MK2:MS2"/>
    <mergeCell ref="MT2:NB2"/>
    <mergeCell ref="NC2:NK2"/>
    <mergeCell ref="RP2:RX2"/>
    <mergeCell ref="NU2:OC2"/>
    <mergeCell ref="OD2:OL2"/>
    <mergeCell ref="OM2:OU2"/>
    <mergeCell ref="OV2:PD2"/>
    <mergeCell ref="PE2:PM2"/>
    <mergeCell ref="PN2:PV2"/>
    <mergeCell ref="PW2:QE2"/>
    <mergeCell ref="QF2:QN2"/>
    <mergeCell ref="QO2:QW2"/>
    <mergeCell ref="QX2:RF2"/>
    <mergeCell ref="RG2:RO2"/>
    <mergeCell ref="UH2:UQ2"/>
    <mergeCell ref="UY2:VA2"/>
    <mergeCell ref="RY2:SG2"/>
    <mergeCell ref="SH2:SP2"/>
    <mergeCell ref="SQ2:SY2"/>
    <mergeCell ref="SZ2:TB2"/>
    <mergeCell ref="TC2:TM2"/>
    <mergeCell ref="TN2:UG2"/>
  </mergeCells>
  <phoneticPr fontId="21" type="noConversion"/>
  <pageMargins left="0.7" right="0.7" top="0.75" bottom="0.75" header="0.3" footer="0.3"/>
  <legacyDrawing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17D43-E19F-4C99-B488-FFCB78FB2A3A}">
  <sheetPr codeName="Sheet14">
    <tabColor theme="0"/>
    <pageSetUpPr fitToPage="1"/>
  </sheetPr>
  <dimension ref="A1:E361"/>
  <sheetViews>
    <sheetView zoomScale="85" zoomScaleNormal="85" workbookViewId="0">
      <selection sqref="A1:E1"/>
    </sheetView>
  </sheetViews>
  <sheetFormatPr defaultColWidth="8.83203125" defaultRowHeight="19.2" x14ac:dyDescent="0.55000000000000004"/>
  <cols>
    <col min="1" max="1" width="46.1640625" style="34" bestFit="1" customWidth="1"/>
    <col min="2" max="2" width="10.58203125" style="24" customWidth="1"/>
    <col min="3" max="4" width="12.58203125" style="24" customWidth="1"/>
    <col min="5" max="5" width="24.58203125" style="24" customWidth="1"/>
    <col min="6" max="16384" width="8.83203125" style="24"/>
  </cols>
  <sheetData>
    <row r="1" spans="1:5" ht="31.95" customHeight="1" x14ac:dyDescent="0.75">
      <c r="A1" s="882" t="s">
        <v>695</v>
      </c>
      <c r="B1" s="882"/>
      <c r="C1" s="882"/>
      <c r="D1" s="882"/>
      <c r="E1" s="882"/>
    </row>
    <row r="2" spans="1:5" ht="27" customHeight="1" x14ac:dyDescent="0.55000000000000004">
      <c r="A2" s="881" t="s">
        <v>696</v>
      </c>
      <c r="B2" s="881"/>
      <c r="C2" s="881"/>
      <c r="D2" s="881"/>
      <c r="E2" s="881"/>
    </row>
    <row r="3" spans="1:5" ht="27" customHeight="1" x14ac:dyDescent="0.55000000000000004">
      <c r="A3" s="53"/>
      <c r="B3" s="53"/>
      <c r="C3" s="53"/>
      <c r="D3" s="53"/>
      <c r="E3" s="53"/>
    </row>
    <row r="4" spans="1:5" ht="27" customHeight="1" x14ac:dyDescent="0.55000000000000004">
      <c r="A4" s="53"/>
      <c r="B4" s="53"/>
      <c r="C4" s="53"/>
      <c r="D4" s="53"/>
      <c r="E4" s="53"/>
    </row>
    <row r="5" spans="1:5" ht="19.8" thickBot="1" x14ac:dyDescent="0.6">
      <c r="A5" s="37" t="s">
        <v>31</v>
      </c>
      <c r="B5" s="38" t="s">
        <v>33</v>
      </c>
      <c r="C5" s="38" t="s">
        <v>32</v>
      </c>
      <c r="D5" s="38" t="s">
        <v>1650</v>
      </c>
      <c r="E5" s="38" t="s">
        <v>1649</v>
      </c>
    </row>
    <row r="6" spans="1:5" ht="27" customHeight="1" x14ac:dyDescent="0.55000000000000004">
      <c r="A6" s="33" t="s">
        <v>58</v>
      </c>
      <c r="B6" s="39">
        <v>3656</v>
      </c>
      <c r="C6" s="28">
        <v>40</v>
      </c>
      <c r="D6" s="28">
        <v>10</v>
      </c>
      <c r="E6" s="36">
        <v>0</v>
      </c>
    </row>
    <row r="7" spans="1:5" ht="27" customHeight="1" x14ac:dyDescent="0.55000000000000004">
      <c r="A7" s="33" t="s">
        <v>59</v>
      </c>
      <c r="B7" s="31">
        <v>3658</v>
      </c>
      <c r="C7" s="28">
        <v>51</v>
      </c>
      <c r="D7" s="28">
        <v>21</v>
      </c>
      <c r="E7" s="36">
        <v>0</v>
      </c>
    </row>
    <row r="8" spans="1:5" ht="27" customHeight="1" x14ac:dyDescent="0.55000000000000004">
      <c r="A8" s="33" t="s">
        <v>60</v>
      </c>
      <c r="B8" s="31">
        <v>9741</v>
      </c>
      <c r="C8" s="28">
        <v>60</v>
      </c>
      <c r="D8" s="28">
        <v>30</v>
      </c>
      <c r="E8" s="36">
        <v>0</v>
      </c>
    </row>
    <row r="9" spans="1:5" ht="27" customHeight="1" x14ac:dyDescent="0.55000000000000004">
      <c r="A9" s="33" t="s">
        <v>61</v>
      </c>
      <c r="B9" s="31">
        <v>3661</v>
      </c>
      <c r="C9" s="28">
        <v>70</v>
      </c>
      <c r="D9" s="28">
        <v>40</v>
      </c>
      <c r="E9" s="36">
        <v>0</v>
      </c>
    </row>
    <row r="10" spans="1:5" ht="27" customHeight="1" x14ac:dyDescent="0.55000000000000004">
      <c r="A10" s="33" t="s">
        <v>62</v>
      </c>
      <c r="B10" s="31">
        <v>3599</v>
      </c>
      <c r="C10" s="28">
        <v>91</v>
      </c>
      <c r="D10" s="28">
        <v>61</v>
      </c>
      <c r="E10" s="36">
        <v>0</v>
      </c>
    </row>
    <row r="11" spans="1:5" ht="27" customHeight="1" x14ac:dyDescent="0.55000000000000004">
      <c r="A11" s="33" t="s">
        <v>63</v>
      </c>
      <c r="B11" s="31">
        <v>9930</v>
      </c>
      <c r="C11" s="28">
        <v>100</v>
      </c>
      <c r="D11" s="28">
        <v>70</v>
      </c>
      <c r="E11" s="36">
        <v>0</v>
      </c>
    </row>
    <row r="12" spans="1:5" ht="27" customHeight="1" x14ac:dyDescent="0.55000000000000004">
      <c r="A12" s="33" t="s">
        <v>64</v>
      </c>
      <c r="B12" s="31">
        <v>10115</v>
      </c>
      <c r="C12" s="28">
        <v>110</v>
      </c>
      <c r="D12" s="28">
        <v>80</v>
      </c>
      <c r="E12" s="36">
        <v>0</v>
      </c>
    </row>
    <row r="13" spans="1:5" ht="27" customHeight="1" x14ac:dyDescent="0.55000000000000004">
      <c r="A13" s="33" t="s">
        <v>65</v>
      </c>
      <c r="B13" s="31">
        <v>11163</v>
      </c>
      <c r="C13" s="28">
        <v>120</v>
      </c>
      <c r="D13" s="28">
        <v>90</v>
      </c>
      <c r="E13" s="36">
        <v>0</v>
      </c>
    </row>
    <row r="14" spans="1:5" ht="27" customHeight="1" x14ac:dyDescent="0.55000000000000004">
      <c r="A14" s="33" t="s">
        <v>66</v>
      </c>
      <c r="B14" s="31">
        <v>3632</v>
      </c>
      <c r="C14" s="28">
        <v>130</v>
      </c>
      <c r="D14" s="28">
        <v>100</v>
      </c>
      <c r="E14" s="36">
        <v>0</v>
      </c>
    </row>
    <row r="15" spans="1:5" ht="27" customHeight="1" x14ac:dyDescent="0.55000000000000004">
      <c r="A15" s="33" t="s">
        <v>67</v>
      </c>
      <c r="B15" s="31">
        <v>10298</v>
      </c>
      <c r="C15" s="28">
        <v>140</v>
      </c>
      <c r="D15" s="28">
        <v>110</v>
      </c>
      <c r="E15" s="36">
        <v>0</v>
      </c>
    </row>
    <row r="16" spans="1:5" ht="27" customHeight="1" x14ac:dyDescent="0.55000000000000004">
      <c r="A16" s="33" t="s">
        <v>68</v>
      </c>
      <c r="B16" s="31">
        <v>3630</v>
      </c>
      <c r="C16" s="28">
        <v>150</v>
      </c>
      <c r="D16" s="28">
        <v>120</v>
      </c>
      <c r="E16" s="36">
        <v>0</v>
      </c>
    </row>
    <row r="17" spans="1:5" ht="27" customHeight="1" x14ac:dyDescent="0.55000000000000004">
      <c r="A17" s="33" t="s">
        <v>69</v>
      </c>
      <c r="B17" s="31">
        <v>3631</v>
      </c>
      <c r="C17" s="28">
        <v>160</v>
      </c>
      <c r="D17" s="28">
        <v>130</v>
      </c>
      <c r="E17" s="36">
        <v>0</v>
      </c>
    </row>
    <row r="18" spans="1:5" ht="27" customHeight="1" x14ac:dyDescent="0.55000000000000004">
      <c r="A18" s="33" t="s">
        <v>76</v>
      </c>
      <c r="B18" s="31">
        <v>42295</v>
      </c>
      <c r="C18" s="28">
        <v>223</v>
      </c>
      <c r="D18" s="28">
        <v>140</v>
      </c>
      <c r="E18" s="36">
        <v>0</v>
      </c>
    </row>
    <row r="19" spans="1:5" ht="27" customHeight="1" x14ac:dyDescent="0.55000000000000004">
      <c r="A19" s="33" t="s">
        <v>70</v>
      </c>
      <c r="B19" s="31">
        <v>11161</v>
      </c>
      <c r="C19" s="28">
        <v>170</v>
      </c>
      <c r="D19" s="28">
        <v>150</v>
      </c>
      <c r="E19" s="36">
        <v>11478824</v>
      </c>
    </row>
    <row r="20" spans="1:5" ht="27" customHeight="1" x14ac:dyDescent="0.55000000000000004">
      <c r="A20" s="33" t="s">
        <v>71</v>
      </c>
      <c r="B20" s="31">
        <v>3639</v>
      </c>
      <c r="C20" s="28">
        <v>180</v>
      </c>
      <c r="D20" s="28">
        <v>160</v>
      </c>
      <c r="E20" s="36">
        <v>8858060</v>
      </c>
    </row>
    <row r="21" spans="1:5" ht="27" customHeight="1" x14ac:dyDescent="0.55000000000000004">
      <c r="A21" s="33" t="s">
        <v>77</v>
      </c>
      <c r="B21" s="31">
        <v>42485</v>
      </c>
      <c r="C21" s="28">
        <v>226</v>
      </c>
      <c r="D21" s="28">
        <v>170</v>
      </c>
      <c r="E21" s="36">
        <v>0</v>
      </c>
    </row>
    <row r="22" spans="1:5" ht="27" customHeight="1" x14ac:dyDescent="0.55000000000000004">
      <c r="A22" s="33" t="s">
        <v>72</v>
      </c>
      <c r="B22" s="31">
        <v>9651</v>
      </c>
      <c r="C22" s="28">
        <v>190</v>
      </c>
      <c r="D22" s="28">
        <v>180</v>
      </c>
      <c r="E22" s="36">
        <v>7462394</v>
      </c>
    </row>
    <row r="23" spans="1:5" ht="27" customHeight="1" x14ac:dyDescent="0.55000000000000004">
      <c r="A23" s="33" t="s">
        <v>73</v>
      </c>
      <c r="B23" s="31">
        <v>3665</v>
      </c>
      <c r="C23" s="28">
        <v>200</v>
      </c>
      <c r="D23" s="28">
        <v>190</v>
      </c>
      <c r="E23" s="36">
        <v>7446495</v>
      </c>
    </row>
    <row r="24" spans="1:5" ht="27" customHeight="1" x14ac:dyDescent="0.55000000000000004">
      <c r="A24" s="33" t="s">
        <v>74</v>
      </c>
      <c r="B24" s="31">
        <v>3565</v>
      </c>
      <c r="C24" s="28">
        <v>210</v>
      </c>
      <c r="D24" s="28">
        <v>200</v>
      </c>
      <c r="E24" s="36">
        <v>11123859</v>
      </c>
    </row>
    <row r="25" spans="1:5" ht="27" customHeight="1" x14ac:dyDescent="0.55000000000000004">
      <c r="A25" s="33" t="s">
        <v>75</v>
      </c>
      <c r="B25" s="31">
        <v>29269</v>
      </c>
      <c r="C25" s="28">
        <v>220</v>
      </c>
      <c r="D25" s="28">
        <v>210</v>
      </c>
      <c r="E25" s="36">
        <v>2050273</v>
      </c>
    </row>
    <row r="26" spans="1:5" ht="27" customHeight="1" x14ac:dyDescent="0.55000000000000004">
      <c r="A26" s="33" t="s">
        <v>78</v>
      </c>
      <c r="B26" s="31">
        <v>3652</v>
      </c>
      <c r="C26" s="28">
        <v>231</v>
      </c>
      <c r="D26" s="28">
        <v>221</v>
      </c>
      <c r="E26" s="36">
        <v>54514004</v>
      </c>
    </row>
    <row r="27" spans="1:5" ht="27" customHeight="1" x14ac:dyDescent="0.55000000000000004">
      <c r="A27" s="33" t="s">
        <v>79</v>
      </c>
      <c r="B27" s="31">
        <v>11711</v>
      </c>
      <c r="C27" s="28">
        <v>240</v>
      </c>
      <c r="D27" s="28">
        <v>230</v>
      </c>
      <c r="E27" s="36">
        <v>7726043</v>
      </c>
    </row>
    <row r="28" spans="1:5" ht="27" customHeight="1" x14ac:dyDescent="0.55000000000000004">
      <c r="A28" s="33" t="s">
        <v>80</v>
      </c>
      <c r="B28" s="31">
        <v>12826</v>
      </c>
      <c r="C28" s="28">
        <v>250</v>
      </c>
      <c r="D28" s="28">
        <v>240</v>
      </c>
      <c r="E28" s="36">
        <v>10828344</v>
      </c>
    </row>
    <row r="29" spans="1:5" ht="27" customHeight="1" x14ac:dyDescent="0.55000000000000004">
      <c r="A29" s="33" t="s">
        <v>81</v>
      </c>
      <c r="B29" s="31">
        <v>13231</v>
      </c>
      <c r="C29" s="28">
        <v>260</v>
      </c>
      <c r="D29" s="28">
        <v>250</v>
      </c>
      <c r="E29" s="36">
        <v>3542817</v>
      </c>
    </row>
    <row r="30" spans="1:5" ht="27" customHeight="1" x14ac:dyDescent="0.55000000000000004">
      <c r="A30" s="33" t="s">
        <v>89</v>
      </c>
      <c r="B30" s="31">
        <v>3592</v>
      </c>
      <c r="C30" s="28">
        <v>340</v>
      </c>
      <c r="D30" s="28">
        <v>260</v>
      </c>
      <c r="E30" s="36">
        <v>4933200</v>
      </c>
    </row>
    <row r="31" spans="1:5" ht="27" customHeight="1" x14ac:dyDescent="0.55000000000000004">
      <c r="A31" s="33" t="s">
        <v>87</v>
      </c>
      <c r="B31" s="31">
        <v>3594</v>
      </c>
      <c r="C31" s="28">
        <v>330</v>
      </c>
      <c r="D31" s="28">
        <v>270</v>
      </c>
      <c r="E31" s="36">
        <v>37346563</v>
      </c>
    </row>
    <row r="32" spans="1:5" ht="27" customHeight="1" x14ac:dyDescent="0.55000000000000004">
      <c r="A32" s="33" t="s">
        <v>88</v>
      </c>
      <c r="B32" s="31">
        <v>42421</v>
      </c>
      <c r="C32" s="28">
        <v>333</v>
      </c>
      <c r="D32" s="28">
        <v>280</v>
      </c>
      <c r="E32" s="36">
        <v>3354441</v>
      </c>
    </row>
    <row r="33" spans="1:5" ht="27" customHeight="1" x14ac:dyDescent="0.55000000000000004">
      <c r="A33" s="33" t="s">
        <v>90</v>
      </c>
      <c r="B33" s="31">
        <v>3624</v>
      </c>
      <c r="C33" s="28">
        <v>350</v>
      </c>
      <c r="D33" s="28">
        <v>290</v>
      </c>
      <c r="E33" s="36">
        <v>11277793</v>
      </c>
    </row>
    <row r="34" spans="1:5" ht="27" customHeight="1" x14ac:dyDescent="0.55000000000000004">
      <c r="A34" s="33" t="s">
        <v>91</v>
      </c>
      <c r="B34" s="31">
        <v>3642</v>
      </c>
      <c r="C34" s="28">
        <v>360</v>
      </c>
      <c r="D34" s="28">
        <v>300</v>
      </c>
      <c r="E34" s="36">
        <v>11719335</v>
      </c>
    </row>
    <row r="35" spans="1:5" ht="27" customHeight="1" x14ac:dyDescent="0.55000000000000004">
      <c r="A35" s="33" t="s">
        <v>85</v>
      </c>
      <c r="B35" s="31">
        <v>3644</v>
      </c>
      <c r="C35" s="28">
        <v>310</v>
      </c>
      <c r="D35" s="28">
        <v>310</v>
      </c>
      <c r="E35" s="36">
        <v>49874746</v>
      </c>
    </row>
    <row r="36" spans="1:5" ht="27" customHeight="1" x14ac:dyDescent="0.55000000000000004">
      <c r="A36" s="33" t="s">
        <v>86</v>
      </c>
      <c r="B36" s="31">
        <v>3541</v>
      </c>
      <c r="C36" s="28">
        <v>320</v>
      </c>
      <c r="D36" s="28">
        <v>320</v>
      </c>
      <c r="E36" s="36">
        <v>6792999</v>
      </c>
    </row>
    <row r="37" spans="1:5" ht="27" customHeight="1" x14ac:dyDescent="0.55000000000000004">
      <c r="A37" s="33" t="s">
        <v>92</v>
      </c>
      <c r="B37" s="31">
        <v>3646</v>
      </c>
      <c r="C37" s="28">
        <v>370</v>
      </c>
      <c r="D37" s="28">
        <v>330</v>
      </c>
      <c r="E37" s="36">
        <v>14554133</v>
      </c>
    </row>
    <row r="38" spans="1:5" ht="27" customHeight="1" x14ac:dyDescent="0.55000000000000004">
      <c r="A38" s="33" t="s">
        <v>1417</v>
      </c>
      <c r="B38" s="31">
        <v>3581</v>
      </c>
      <c r="C38" s="28">
        <v>270</v>
      </c>
      <c r="D38" s="28">
        <v>340</v>
      </c>
      <c r="E38" s="36">
        <v>13141181</v>
      </c>
    </row>
    <row r="39" spans="1:5" ht="27" customHeight="1" x14ac:dyDescent="0.55000000000000004">
      <c r="A39" s="33" t="s">
        <v>82</v>
      </c>
      <c r="B39" s="31">
        <v>3606</v>
      </c>
      <c r="C39" s="28">
        <v>281</v>
      </c>
      <c r="D39" s="28">
        <v>351</v>
      </c>
      <c r="E39" s="36">
        <v>18236811</v>
      </c>
    </row>
    <row r="40" spans="1:5" ht="27" customHeight="1" x14ac:dyDescent="0.55000000000000004">
      <c r="A40" s="33" t="s">
        <v>83</v>
      </c>
      <c r="B40" s="31">
        <v>3615</v>
      </c>
      <c r="C40" s="28">
        <v>290</v>
      </c>
      <c r="D40" s="28">
        <v>360</v>
      </c>
      <c r="E40" s="36">
        <v>37606478</v>
      </c>
    </row>
    <row r="41" spans="1:5" ht="27" customHeight="1" x14ac:dyDescent="0.55000000000000004">
      <c r="A41" s="33" t="s">
        <v>84</v>
      </c>
      <c r="B41" s="31">
        <v>3625</v>
      </c>
      <c r="C41" s="28">
        <v>300</v>
      </c>
      <c r="D41" s="28">
        <v>370</v>
      </c>
      <c r="E41" s="36">
        <v>2624613</v>
      </c>
    </row>
    <row r="42" spans="1:5" ht="27" customHeight="1" x14ac:dyDescent="0.55000000000000004">
      <c r="A42" s="33" t="s">
        <v>52</v>
      </c>
      <c r="B42" s="31">
        <v>9225</v>
      </c>
      <c r="C42" s="28">
        <v>520</v>
      </c>
      <c r="D42" s="28">
        <v>390</v>
      </c>
      <c r="E42" s="36">
        <v>1827580</v>
      </c>
    </row>
    <row r="43" spans="1:5" ht="27" customHeight="1" x14ac:dyDescent="0.55000000000000004">
      <c r="A43" s="33" t="s">
        <v>53</v>
      </c>
      <c r="B43" s="31">
        <v>9932</v>
      </c>
      <c r="C43" s="28">
        <v>530</v>
      </c>
      <c r="D43" s="28">
        <v>400</v>
      </c>
      <c r="E43" s="36">
        <v>697595</v>
      </c>
    </row>
    <row r="44" spans="1:5" ht="27" customHeight="1" x14ac:dyDescent="0.55000000000000004">
      <c r="A44" s="33" t="s">
        <v>54</v>
      </c>
      <c r="B44" s="31">
        <v>33965</v>
      </c>
      <c r="C44" s="28">
        <v>540</v>
      </c>
      <c r="D44" s="28">
        <v>410</v>
      </c>
      <c r="E44" s="36">
        <v>310083</v>
      </c>
    </row>
    <row r="45" spans="1:5" ht="27" customHeight="1" x14ac:dyDescent="0.55000000000000004">
      <c r="A45" s="33" t="s">
        <v>55</v>
      </c>
      <c r="B45" s="31">
        <v>3634</v>
      </c>
      <c r="C45" s="28">
        <v>550</v>
      </c>
      <c r="D45" s="28">
        <v>420</v>
      </c>
      <c r="E45" s="36">
        <v>5235201</v>
      </c>
    </row>
    <row r="46" spans="1:5" ht="27" customHeight="1" x14ac:dyDescent="0.55000000000000004">
      <c r="A46" s="33" t="s">
        <v>49</v>
      </c>
      <c r="B46" s="31">
        <v>36273</v>
      </c>
      <c r="C46" s="28">
        <v>490</v>
      </c>
      <c r="D46" s="28">
        <v>430</v>
      </c>
      <c r="E46" s="36">
        <v>2553130</v>
      </c>
    </row>
    <row r="47" spans="1:5" ht="27" customHeight="1" x14ac:dyDescent="0.55000000000000004">
      <c r="A47" s="33" t="s">
        <v>56</v>
      </c>
      <c r="B47" s="31">
        <v>133965</v>
      </c>
      <c r="C47" s="28">
        <v>552</v>
      </c>
      <c r="D47" s="28">
        <v>430</v>
      </c>
      <c r="E47" s="36">
        <v>0</v>
      </c>
    </row>
    <row r="48" spans="1:5" ht="27" customHeight="1" x14ac:dyDescent="0.55000000000000004">
      <c r="A48" s="33" t="s">
        <v>50</v>
      </c>
      <c r="B48" s="31">
        <v>23582</v>
      </c>
      <c r="C48" s="28">
        <v>500</v>
      </c>
      <c r="D48" s="28">
        <v>440</v>
      </c>
      <c r="E48" s="36">
        <v>1488396</v>
      </c>
    </row>
    <row r="49" spans="1:5" ht="27" customHeight="1" x14ac:dyDescent="0.55000000000000004">
      <c r="A49" s="33" t="s">
        <v>57</v>
      </c>
      <c r="B49" s="31">
        <v>203634</v>
      </c>
      <c r="C49" s="28">
        <v>553</v>
      </c>
      <c r="D49" s="28">
        <v>440</v>
      </c>
      <c r="E49" s="36">
        <v>592040</v>
      </c>
    </row>
    <row r="50" spans="1:5" ht="27" customHeight="1" x14ac:dyDescent="0.55000000000000004">
      <c r="A50" s="33" t="s">
        <v>51</v>
      </c>
      <c r="B50" s="31">
        <v>23485</v>
      </c>
      <c r="C50" s="28">
        <v>510</v>
      </c>
      <c r="D50" s="28">
        <v>450</v>
      </c>
      <c r="E50" s="36">
        <v>2217102</v>
      </c>
    </row>
    <row r="51" spans="1:5" ht="27" customHeight="1" x14ac:dyDescent="0.55000000000000004">
      <c r="A51" s="33" t="s">
        <v>39</v>
      </c>
      <c r="B51" s="31">
        <v>30</v>
      </c>
      <c r="C51" s="28">
        <v>390</v>
      </c>
      <c r="D51" s="28"/>
      <c r="E51" s="36">
        <v>0</v>
      </c>
    </row>
    <row r="52" spans="1:5" ht="27" customHeight="1" x14ac:dyDescent="0.55000000000000004">
      <c r="A52" s="33" t="s">
        <v>40</v>
      </c>
      <c r="B52" s="31">
        <v>104952</v>
      </c>
      <c r="C52" s="28">
        <v>400</v>
      </c>
      <c r="D52" s="28"/>
      <c r="E52" s="36">
        <v>0</v>
      </c>
    </row>
    <row r="53" spans="1:5" ht="27" customHeight="1" x14ac:dyDescent="0.55000000000000004">
      <c r="A53" s="33" t="s">
        <v>41</v>
      </c>
      <c r="B53" s="31">
        <v>11618</v>
      </c>
      <c r="C53" s="28">
        <v>410</v>
      </c>
      <c r="D53" s="28"/>
      <c r="E53" s="36">
        <v>0</v>
      </c>
    </row>
    <row r="54" spans="1:5" ht="27" customHeight="1" x14ac:dyDescent="0.55000000000000004">
      <c r="A54" s="33" t="s">
        <v>42</v>
      </c>
      <c r="B54" s="31">
        <v>40</v>
      </c>
      <c r="C54" s="28">
        <v>420</v>
      </c>
      <c r="D54" s="28"/>
      <c r="E54" s="36">
        <v>0</v>
      </c>
    </row>
    <row r="55" spans="1:5" ht="27" customHeight="1" x14ac:dyDescent="0.55000000000000004">
      <c r="A55" s="33" t="s">
        <v>43</v>
      </c>
      <c r="B55" s="31">
        <v>25554</v>
      </c>
      <c r="C55" s="28">
        <v>430</v>
      </c>
      <c r="D55" s="28"/>
      <c r="E55" s="36">
        <v>0</v>
      </c>
    </row>
    <row r="56" spans="1:5" ht="27" customHeight="1" x14ac:dyDescent="0.55000000000000004">
      <c r="A56" s="33" t="s">
        <v>44</v>
      </c>
      <c r="B56" s="31">
        <v>42439</v>
      </c>
      <c r="C56" s="28">
        <v>440</v>
      </c>
      <c r="D56" s="28"/>
      <c r="E56" s="36">
        <v>0</v>
      </c>
    </row>
    <row r="57" spans="1:5" ht="27" customHeight="1" x14ac:dyDescent="0.55000000000000004">
      <c r="A57" s="33" t="s">
        <v>45</v>
      </c>
      <c r="B57" s="31">
        <v>89</v>
      </c>
      <c r="C57" s="28">
        <v>450</v>
      </c>
      <c r="D57" s="28"/>
      <c r="E57" s="36">
        <v>0</v>
      </c>
    </row>
    <row r="58" spans="1:5" ht="27" customHeight="1" x14ac:dyDescent="0.55000000000000004">
      <c r="A58" s="33" t="s">
        <v>46</v>
      </c>
      <c r="B58" s="31">
        <v>130</v>
      </c>
      <c r="C58" s="28">
        <v>461</v>
      </c>
      <c r="D58" s="28"/>
      <c r="E58" s="36">
        <v>15125502</v>
      </c>
    </row>
    <row r="59" spans="1:5" ht="27" customHeight="1" x14ac:dyDescent="0.55000000000000004">
      <c r="A59" s="33" t="s">
        <v>47</v>
      </c>
      <c r="B59" s="31">
        <v>412</v>
      </c>
      <c r="C59" s="28">
        <v>470</v>
      </c>
      <c r="D59" s="28"/>
      <c r="E59" s="36">
        <v>21652392</v>
      </c>
    </row>
    <row r="60" spans="1:5" ht="27" customHeight="1" x14ac:dyDescent="0.55000000000000004">
      <c r="A60" s="33" t="s">
        <v>48</v>
      </c>
      <c r="B60" s="31">
        <v>862</v>
      </c>
      <c r="C60" s="28">
        <v>480</v>
      </c>
      <c r="D60" s="28"/>
      <c r="E60" s="36">
        <v>5557572</v>
      </c>
    </row>
    <row r="61" spans="1:5" ht="27" customHeight="1" x14ac:dyDescent="0.55000000000000004">
      <c r="A61" s="33" t="s">
        <v>697</v>
      </c>
      <c r="B61" s="31">
        <v>203599</v>
      </c>
      <c r="C61" s="28">
        <v>500</v>
      </c>
      <c r="D61" s="28"/>
      <c r="E61" s="36">
        <v>0</v>
      </c>
    </row>
    <row r="62" spans="1:5" ht="27" customHeight="1" x14ac:dyDescent="0.55000000000000004">
      <c r="A62" s="33" t="s">
        <v>698</v>
      </c>
      <c r="B62" s="31">
        <v>203658</v>
      </c>
      <c r="C62" s="28">
        <v>510</v>
      </c>
      <c r="D62" s="28"/>
      <c r="E62" s="36">
        <v>0</v>
      </c>
    </row>
    <row r="63" spans="1:5" ht="27" customHeight="1" x14ac:dyDescent="0.55000000000000004">
      <c r="A63" s="33" t="s">
        <v>699</v>
      </c>
      <c r="B63" s="31">
        <v>203652</v>
      </c>
      <c r="C63" s="28">
        <v>520</v>
      </c>
      <c r="D63" s="28"/>
      <c r="E63" s="36">
        <v>0</v>
      </c>
    </row>
    <row r="64" spans="1:5" ht="27" customHeight="1" x14ac:dyDescent="0.55000000000000004">
      <c r="A64" s="33" t="s">
        <v>744</v>
      </c>
      <c r="B64" s="31">
        <v>103606</v>
      </c>
      <c r="C64" s="28">
        <v>530</v>
      </c>
      <c r="D64" s="28"/>
      <c r="E64" s="36">
        <v>0</v>
      </c>
    </row>
    <row r="65" spans="1:5" ht="27" customHeight="1" x14ac:dyDescent="0.55000000000000004">
      <c r="A65" s="33" t="s">
        <v>1621</v>
      </c>
      <c r="B65" s="31">
        <v>9642</v>
      </c>
      <c r="C65" s="28">
        <v>555</v>
      </c>
      <c r="D65" s="28"/>
      <c r="E65" s="36">
        <v>0</v>
      </c>
    </row>
    <row r="66" spans="1:5" ht="27" customHeight="1" x14ac:dyDescent="0.55000000000000004">
      <c r="A66" s="33" t="s">
        <v>700</v>
      </c>
      <c r="B66" s="31">
        <v>556</v>
      </c>
      <c r="C66" s="28">
        <v>600</v>
      </c>
      <c r="D66" s="28"/>
      <c r="E66" s="36">
        <v>0</v>
      </c>
    </row>
    <row r="67" spans="1:5" ht="27" customHeight="1" x14ac:dyDescent="0.55000000000000004">
      <c r="A67" s="33" t="s">
        <v>701</v>
      </c>
      <c r="B67" s="31">
        <v>555</v>
      </c>
      <c r="C67" s="28">
        <v>605</v>
      </c>
      <c r="D67" s="28"/>
      <c r="E67" s="36">
        <v>0</v>
      </c>
    </row>
    <row r="68" spans="1:5" ht="27" customHeight="1" x14ac:dyDescent="0.55000000000000004">
      <c r="A68" s="33" t="s">
        <v>702</v>
      </c>
      <c r="B68" s="31">
        <v>712</v>
      </c>
      <c r="C68" s="28">
        <v>610</v>
      </c>
      <c r="D68" s="28"/>
      <c r="E68" s="36">
        <v>0</v>
      </c>
    </row>
    <row r="69" spans="1:5" ht="27" customHeight="1" x14ac:dyDescent="0.55000000000000004">
      <c r="A69" s="33" t="s">
        <v>703</v>
      </c>
      <c r="B69" s="31">
        <v>716</v>
      </c>
      <c r="C69" s="28">
        <v>615</v>
      </c>
      <c r="D69" s="28"/>
      <c r="E69" s="36">
        <v>0</v>
      </c>
    </row>
    <row r="70" spans="1:5" ht="27" customHeight="1" x14ac:dyDescent="0.55000000000000004">
      <c r="A70" s="33" t="s">
        <v>704</v>
      </c>
      <c r="B70" s="31">
        <v>576</v>
      </c>
      <c r="C70" s="28">
        <v>620</v>
      </c>
      <c r="D70" s="28"/>
      <c r="E70" s="36">
        <v>0</v>
      </c>
    </row>
    <row r="71" spans="1:5" ht="27" customHeight="1" x14ac:dyDescent="0.55000000000000004">
      <c r="A71" s="33" t="s">
        <v>705</v>
      </c>
      <c r="B71" s="31">
        <v>727</v>
      </c>
      <c r="C71" s="28">
        <v>625</v>
      </c>
      <c r="D71" s="28"/>
      <c r="E71" s="36">
        <v>0</v>
      </c>
    </row>
    <row r="72" spans="1:5" ht="27" customHeight="1" x14ac:dyDescent="0.55000000000000004">
      <c r="A72" s="33" t="s">
        <v>706</v>
      </c>
      <c r="B72" s="31">
        <v>557</v>
      </c>
      <c r="C72" s="28">
        <v>630</v>
      </c>
      <c r="D72" s="28"/>
      <c r="E72" s="36">
        <v>0</v>
      </c>
    </row>
    <row r="73" spans="1:5" ht="27" customHeight="1" x14ac:dyDescent="0.55000000000000004">
      <c r="A73" s="33" t="s">
        <v>721</v>
      </c>
      <c r="B73" s="31">
        <v>518</v>
      </c>
      <c r="C73" s="28">
        <v>635</v>
      </c>
      <c r="D73" s="28"/>
      <c r="E73" s="36">
        <v>0</v>
      </c>
    </row>
    <row r="74" spans="1:5" ht="27" customHeight="1" x14ac:dyDescent="0.55000000000000004">
      <c r="A74" s="33" t="s">
        <v>722</v>
      </c>
      <c r="B74" s="31">
        <v>519</v>
      </c>
      <c r="C74" s="28">
        <v>637</v>
      </c>
      <c r="D74" s="28"/>
      <c r="E74" s="36">
        <v>0</v>
      </c>
    </row>
    <row r="75" spans="1:5" ht="27" customHeight="1" x14ac:dyDescent="0.55000000000000004">
      <c r="A75" s="33" t="s">
        <v>723</v>
      </c>
      <c r="B75" s="31">
        <v>707</v>
      </c>
      <c r="C75" s="28">
        <v>639</v>
      </c>
      <c r="D75" s="28"/>
      <c r="E75" s="36">
        <v>0</v>
      </c>
    </row>
    <row r="76" spans="1:5" ht="27" customHeight="1" x14ac:dyDescent="0.55000000000000004">
      <c r="A76" s="33" t="s">
        <v>707</v>
      </c>
      <c r="B76" s="31">
        <v>575</v>
      </c>
      <c r="C76" s="28">
        <v>640</v>
      </c>
      <c r="D76" s="28"/>
      <c r="E76" s="36">
        <v>0</v>
      </c>
    </row>
    <row r="77" spans="1:5" ht="27" customHeight="1" x14ac:dyDescent="0.55000000000000004">
      <c r="A77" s="33" t="s">
        <v>708</v>
      </c>
      <c r="B77" s="31">
        <v>708</v>
      </c>
      <c r="C77" s="28">
        <v>650</v>
      </c>
      <c r="D77" s="28"/>
      <c r="E77" s="36">
        <v>0</v>
      </c>
    </row>
    <row r="78" spans="1:5" ht="27" customHeight="1" x14ac:dyDescent="0.55000000000000004">
      <c r="A78" s="33" t="s">
        <v>711</v>
      </c>
      <c r="B78" s="31">
        <v>3629</v>
      </c>
      <c r="C78" s="28" t="s">
        <v>712</v>
      </c>
      <c r="D78" s="28"/>
      <c r="E78" s="36">
        <v>0</v>
      </c>
    </row>
    <row r="79" spans="1:5" ht="27" customHeight="1" x14ac:dyDescent="0.55000000000000004">
      <c r="A79" s="33" t="s">
        <v>709</v>
      </c>
      <c r="B79" s="31">
        <v>11721</v>
      </c>
      <c r="C79" s="28" t="s">
        <v>710</v>
      </c>
      <c r="D79" s="28"/>
      <c r="E79" s="36">
        <v>0</v>
      </c>
    </row>
    <row r="80" spans="1:5" ht="27" customHeight="1" x14ac:dyDescent="0.55000000000000004">
      <c r="A80" s="33" t="s">
        <v>715</v>
      </c>
      <c r="B80" s="31">
        <v>110</v>
      </c>
      <c r="C80" s="28" t="s">
        <v>716</v>
      </c>
      <c r="D80" s="28"/>
      <c r="E80" s="36">
        <v>0</v>
      </c>
    </row>
    <row r="81" spans="1:5" ht="27" customHeight="1" x14ac:dyDescent="0.55000000000000004">
      <c r="A81" s="33" t="s">
        <v>717</v>
      </c>
      <c r="B81" s="31">
        <v>439154</v>
      </c>
      <c r="C81" s="28" t="s">
        <v>718</v>
      </c>
      <c r="D81" s="28"/>
      <c r="E81" s="36">
        <v>0</v>
      </c>
    </row>
    <row r="82" spans="1:5" ht="27" customHeight="1" x14ac:dyDescent="0.55000000000000004">
      <c r="A82" s="33" t="s">
        <v>719</v>
      </c>
      <c r="B82" s="31">
        <v>103594</v>
      </c>
      <c r="C82" s="28" t="s">
        <v>720</v>
      </c>
      <c r="D82" s="28"/>
      <c r="E82" s="36">
        <v>0</v>
      </c>
    </row>
    <row r="83" spans="1:5" ht="27" customHeight="1" x14ac:dyDescent="0.55000000000000004">
      <c r="A83" s="33" t="s">
        <v>713</v>
      </c>
      <c r="B83" s="31">
        <v>3655</v>
      </c>
      <c r="C83" s="28" t="s">
        <v>714</v>
      </c>
      <c r="D83" s="28"/>
      <c r="E83" s="36">
        <v>0</v>
      </c>
    </row>
    <row r="84" spans="1:5" x14ac:dyDescent="0.55000000000000004">
      <c r="A84" s="33"/>
      <c r="B84" s="32"/>
      <c r="C84" s="22"/>
      <c r="D84" s="22"/>
      <c r="E84" s="22"/>
    </row>
    <row r="85" spans="1:5" x14ac:dyDescent="0.55000000000000004">
      <c r="B85" s="35"/>
    </row>
    <row r="86" spans="1:5" x14ac:dyDescent="0.55000000000000004">
      <c r="B86" s="35"/>
    </row>
    <row r="87" spans="1:5" x14ac:dyDescent="0.55000000000000004">
      <c r="B87" s="35"/>
    </row>
    <row r="88" spans="1:5" x14ac:dyDescent="0.55000000000000004">
      <c r="B88" s="35"/>
    </row>
    <row r="89" spans="1:5" x14ac:dyDescent="0.55000000000000004">
      <c r="B89" s="35"/>
    </row>
    <row r="90" spans="1:5" x14ac:dyDescent="0.55000000000000004">
      <c r="B90" s="35"/>
    </row>
    <row r="91" spans="1:5" x14ac:dyDescent="0.55000000000000004">
      <c r="B91" s="35"/>
    </row>
    <row r="92" spans="1:5" x14ac:dyDescent="0.55000000000000004">
      <c r="B92" s="35"/>
    </row>
    <row r="93" spans="1:5" x14ac:dyDescent="0.55000000000000004">
      <c r="B93" s="35"/>
    </row>
    <row r="94" spans="1:5" x14ac:dyDescent="0.55000000000000004">
      <c r="B94" s="35"/>
    </row>
    <row r="95" spans="1:5" x14ac:dyDescent="0.55000000000000004">
      <c r="B95" s="35"/>
    </row>
    <row r="96" spans="1:5" x14ac:dyDescent="0.55000000000000004">
      <c r="B96" s="35"/>
    </row>
    <row r="97" spans="2:2" x14ac:dyDescent="0.55000000000000004">
      <c r="B97" s="35"/>
    </row>
    <row r="98" spans="2:2" x14ac:dyDescent="0.55000000000000004">
      <c r="B98" s="35"/>
    </row>
    <row r="99" spans="2:2" x14ac:dyDescent="0.55000000000000004">
      <c r="B99" s="35"/>
    </row>
    <row r="100" spans="2:2" x14ac:dyDescent="0.55000000000000004">
      <c r="B100" s="35"/>
    </row>
    <row r="101" spans="2:2" x14ac:dyDescent="0.55000000000000004">
      <c r="B101" s="35"/>
    </row>
    <row r="102" spans="2:2" x14ac:dyDescent="0.55000000000000004">
      <c r="B102" s="35"/>
    </row>
    <row r="103" spans="2:2" x14ac:dyDescent="0.55000000000000004">
      <c r="B103" s="35"/>
    </row>
    <row r="104" spans="2:2" x14ac:dyDescent="0.55000000000000004">
      <c r="B104" s="35"/>
    </row>
    <row r="105" spans="2:2" x14ac:dyDescent="0.55000000000000004">
      <c r="B105" s="35"/>
    </row>
    <row r="106" spans="2:2" x14ac:dyDescent="0.55000000000000004">
      <c r="B106" s="35"/>
    </row>
    <row r="107" spans="2:2" x14ac:dyDescent="0.55000000000000004">
      <c r="B107" s="35"/>
    </row>
    <row r="108" spans="2:2" x14ac:dyDescent="0.55000000000000004">
      <c r="B108" s="35"/>
    </row>
    <row r="109" spans="2:2" x14ac:dyDescent="0.55000000000000004">
      <c r="B109" s="35"/>
    </row>
    <row r="110" spans="2:2" x14ac:dyDescent="0.55000000000000004">
      <c r="B110" s="35"/>
    </row>
    <row r="111" spans="2:2" x14ac:dyDescent="0.55000000000000004">
      <c r="B111" s="35"/>
    </row>
    <row r="112" spans="2:2" x14ac:dyDescent="0.55000000000000004">
      <c r="B112" s="35"/>
    </row>
    <row r="113" spans="2:2" x14ac:dyDescent="0.55000000000000004">
      <c r="B113" s="35"/>
    </row>
    <row r="114" spans="2:2" x14ac:dyDescent="0.55000000000000004">
      <c r="B114" s="35"/>
    </row>
    <row r="115" spans="2:2" x14ac:dyDescent="0.55000000000000004">
      <c r="B115" s="35"/>
    </row>
    <row r="116" spans="2:2" x14ac:dyDescent="0.55000000000000004">
      <c r="B116" s="35"/>
    </row>
    <row r="117" spans="2:2" x14ac:dyDescent="0.55000000000000004">
      <c r="B117" s="35"/>
    </row>
    <row r="118" spans="2:2" x14ac:dyDescent="0.55000000000000004">
      <c r="B118" s="35"/>
    </row>
    <row r="119" spans="2:2" x14ac:dyDescent="0.55000000000000004">
      <c r="B119" s="35"/>
    </row>
    <row r="120" spans="2:2" x14ac:dyDescent="0.55000000000000004">
      <c r="B120" s="35"/>
    </row>
    <row r="121" spans="2:2" x14ac:dyDescent="0.55000000000000004">
      <c r="B121" s="35"/>
    </row>
    <row r="122" spans="2:2" x14ac:dyDescent="0.55000000000000004">
      <c r="B122" s="35"/>
    </row>
    <row r="123" spans="2:2" x14ac:dyDescent="0.55000000000000004">
      <c r="B123" s="35"/>
    </row>
    <row r="124" spans="2:2" x14ac:dyDescent="0.55000000000000004">
      <c r="B124" s="35"/>
    </row>
    <row r="125" spans="2:2" x14ac:dyDescent="0.55000000000000004">
      <c r="B125" s="35"/>
    </row>
    <row r="126" spans="2:2" x14ac:dyDescent="0.55000000000000004">
      <c r="B126" s="35"/>
    </row>
    <row r="127" spans="2:2" x14ac:dyDescent="0.55000000000000004">
      <c r="B127" s="35"/>
    </row>
    <row r="128" spans="2:2" x14ac:dyDescent="0.55000000000000004">
      <c r="B128" s="35"/>
    </row>
    <row r="129" spans="2:2" x14ac:dyDescent="0.55000000000000004">
      <c r="B129" s="35"/>
    </row>
    <row r="130" spans="2:2" x14ac:dyDescent="0.55000000000000004">
      <c r="B130" s="35"/>
    </row>
    <row r="131" spans="2:2" x14ac:dyDescent="0.55000000000000004">
      <c r="B131" s="35"/>
    </row>
    <row r="132" spans="2:2" x14ac:dyDescent="0.55000000000000004">
      <c r="B132" s="35"/>
    </row>
    <row r="133" spans="2:2" x14ac:dyDescent="0.55000000000000004">
      <c r="B133" s="35"/>
    </row>
    <row r="134" spans="2:2" x14ac:dyDescent="0.55000000000000004">
      <c r="B134" s="35"/>
    </row>
    <row r="135" spans="2:2" x14ac:dyDescent="0.55000000000000004">
      <c r="B135" s="35"/>
    </row>
    <row r="136" spans="2:2" x14ac:dyDescent="0.55000000000000004">
      <c r="B136" s="35"/>
    </row>
    <row r="137" spans="2:2" x14ac:dyDescent="0.55000000000000004">
      <c r="B137" s="35"/>
    </row>
    <row r="138" spans="2:2" x14ac:dyDescent="0.55000000000000004">
      <c r="B138" s="35"/>
    </row>
    <row r="139" spans="2:2" x14ac:dyDescent="0.55000000000000004">
      <c r="B139" s="35"/>
    </row>
    <row r="140" spans="2:2" x14ac:dyDescent="0.55000000000000004">
      <c r="B140" s="35"/>
    </row>
    <row r="141" spans="2:2" x14ac:dyDescent="0.55000000000000004">
      <c r="B141" s="35"/>
    </row>
    <row r="142" spans="2:2" x14ac:dyDescent="0.55000000000000004">
      <c r="B142" s="35"/>
    </row>
    <row r="143" spans="2:2" x14ac:dyDescent="0.55000000000000004">
      <c r="B143" s="35"/>
    </row>
    <row r="144" spans="2:2" x14ac:dyDescent="0.55000000000000004">
      <c r="B144" s="35"/>
    </row>
    <row r="145" spans="2:2" x14ac:dyDescent="0.55000000000000004">
      <c r="B145" s="35"/>
    </row>
    <row r="146" spans="2:2" x14ac:dyDescent="0.55000000000000004">
      <c r="B146" s="35"/>
    </row>
    <row r="147" spans="2:2" x14ac:dyDescent="0.55000000000000004">
      <c r="B147" s="35"/>
    </row>
    <row r="148" spans="2:2" x14ac:dyDescent="0.55000000000000004">
      <c r="B148" s="35"/>
    </row>
    <row r="149" spans="2:2" x14ac:dyDescent="0.55000000000000004">
      <c r="B149" s="35"/>
    </row>
    <row r="150" spans="2:2" x14ac:dyDescent="0.55000000000000004">
      <c r="B150" s="35"/>
    </row>
    <row r="151" spans="2:2" x14ac:dyDescent="0.55000000000000004">
      <c r="B151" s="35"/>
    </row>
    <row r="152" spans="2:2" x14ac:dyDescent="0.55000000000000004">
      <c r="B152" s="35"/>
    </row>
    <row r="153" spans="2:2" x14ac:dyDescent="0.55000000000000004">
      <c r="B153" s="35"/>
    </row>
    <row r="154" spans="2:2" x14ac:dyDescent="0.55000000000000004">
      <c r="B154" s="35"/>
    </row>
    <row r="155" spans="2:2" x14ac:dyDescent="0.55000000000000004">
      <c r="B155" s="35"/>
    </row>
    <row r="156" spans="2:2" x14ac:dyDescent="0.55000000000000004">
      <c r="B156" s="35"/>
    </row>
    <row r="157" spans="2:2" x14ac:dyDescent="0.55000000000000004">
      <c r="B157" s="35"/>
    </row>
    <row r="158" spans="2:2" x14ac:dyDescent="0.55000000000000004">
      <c r="B158" s="35"/>
    </row>
    <row r="159" spans="2:2" x14ac:dyDescent="0.55000000000000004">
      <c r="B159" s="35"/>
    </row>
    <row r="160" spans="2:2" x14ac:dyDescent="0.55000000000000004">
      <c r="B160" s="35"/>
    </row>
    <row r="161" spans="2:2" x14ac:dyDescent="0.55000000000000004">
      <c r="B161" s="35"/>
    </row>
    <row r="162" spans="2:2" x14ac:dyDescent="0.55000000000000004">
      <c r="B162" s="35"/>
    </row>
    <row r="163" spans="2:2" x14ac:dyDescent="0.55000000000000004">
      <c r="B163" s="35"/>
    </row>
    <row r="164" spans="2:2" x14ac:dyDescent="0.55000000000000004">
      <c r="B164" s="35"/>
    </row>
    <row r="165" spans="2:2" x14ac:dyDescent="0.55000000000000004">
      <c r="B165" s="35"/>
    </row>
    <row r="166" spans="2:2" x14ac:dyDescent="0.55000000000000004">
      <c r="B166" s="35"/>
    </row>
    <row r="167" spans="2:2" x14ac:dyDescent="0.55000000000000004">
      <c r="B167" s="35"/>
    </row>
    <row r="168" spans="2:2" x14ac:dyDescent="0.55000000000000004">
      <c r="B168" s="35"/>
    </row>
    <row r="169" spans="2:2" x14ac:dyDescent="0.55000000000000004">
      <c r="B169" s="35"/>
    </row>
    <row r="170" spans="2:2" x14ac:dyDescent="0.55000000000000004">
      <c r="B170" s="35"/>
    </row>
    <row r="171" spans="2:2" x14ac:dyDescent="0.55000000000000004">
      <c r="B171" s="35"/>
    </row>
    <row r="172" spans="2:2" x14ac:dyDescent="0.55000000000000004">
      <c r="B172" s="35"/>
    </row>
    <row r="173" spans="2:2" x14ac:dyDescent="0.55000000000000004">
      <c r="B173" s="35"/>
    </row>
    <row r="174" spans="2:2" x14ac:dyDescent="0.55000000000000004">
      <c r="B174" s="35"/>
    </row>
    <row r="175" spans="2:2" x14ac:dyDescent="0.55000000000000004">
      <c r="B175" s="35"/>
    </row>
    <row r="176" spans="2:2" x14ac:dyDescent="0.55000000000000004">
      <c r="B176" s="35"/>
    </row>
    <row r="177" spans="2:2" x14ac:dyDescent="0.55000000000000004">
      <c r="B177" s="35"/>
    </row>
    <row r="178" spans="2:2" x14ac:dyDescent="0.55000000000000004">
      <c r="B178" s="35"/>
    </row>
    <row r="179" spans="2:2" x14ac:dyDescent="0.55000000000000004">
      <c r="B179" s="35"/>
    </row>
    <row r="180" spans="2:2" x14ac:dyDescent="0.55000000000000004">
      <c r="B180" s="35"/>
    </row>
    <row r="181" spans="2:2" x14ac:dyDescent="0.55000000000000004">
      <c r="B181" s="35"/>
    </row>
    <row r="182" spans="2:2" x14ac:dyDescent="0.55000000000000004">
      <c r="B182" s="35"/>
    </row>
    <row r="183" spans="2:2" x14ac:dyDescent="0.55000000000000004">
      <c r="B183" s="35"/>
    </row>
    <row r="184" spans="2:2" x14ac:dyDescent="0.55000000000000004">
      <c r="B184" s="35"/>
    </row>
    <row r="185" spans="2:2" x14ac:dyDescent="0.55000000000000004">
      <c r="B185" s="35"/>
    </row>
    <row r="186" spans="2:2" x14ac:dyDescent="0.55000000000000004">
      <c r="B186" s="35"/>
    </row>
    <row r="187" spans="2:2" x14ac:dyDescent="0.55000000000000004">
      <c r="B187" s="35"/>
    </row>
    <row r="188" spans="2:2" x14ac:dyDescent="0.55000000000000004">
      <c r="B188" s="35"/>
    </row>
    <row r="189" spans="2:2" x14ac:dyDescent="0.55000000000000004">
      <c r="B189" s="35"/>
    </row>
    <row r="190" spans="2:2" x14ac:dyDescent="0.55000000000000004">
      <c r="B190" s="35"/>
    </row>
    <row r="191" spans="2:2" x14ac:dyDescent="0.55000000000000004">
      <c r="B191" s="35"/>
    </row>
    <row r="192" spans="2:2" x14ac:dyDescent="0.55000000000000004">
      <c r="B192" s="35"/>
    </row>
    <row r="193" spans="2:2" x14ac:dyDescent="0.55000000000000004">
      <c r="B193" s="35"/>
    </row>
    <row r="194" spans="2:2" x14ac:dyDescent="0.55000000000000004">
      <c r="B194" s="35"/>
    </row>
    <row r="195" spans="2:2" x14ac:dyDescent="0.55000000000000004">
      <c r="B195" s="35"/>
    </row>
    <row r="196" spans="2:2" x14ac:dyDescent="0.55000000000000004">
      <c r="B196" s="35"/>
    </row>
    <row r="197" spans="2:2" x14ac:dyDescent="0.55000000000000004">
      <c r="B197" s="35"/>
    </row>
    <row r="198" spans="2:2" x14ac:dyDescent="0.55000000000000004">
      <c r="B198" s="35"/>
    </row>
    <row r="199" spans="2:2" x14ac:dyDescent="0.55000000000000004">
      <c r="B199" s="35"/>
    </row>
    <row r="200" spans="2:2" x14ac:dyDescent="0.55000000000000004">
      <c r="B200" s="35"/>
    </row>
    <row r="201" spans="2:2" x14ac:dyDescent="0.55000000000000004">
      <c r="B201" s="35"/>
    </row>
    <row r="202" spans="2:2" x14ac:dyDescent="0.55000000000000004">
      <c r="B202" s="35"/>
    </row>
    <row r="203" spans="2:2" x14ac:dyDescent="0.55000000000000004">
      <c r="B203" s="35"/>
    </row>
    <row r="204" spans="2:2" x14ac:dyDescent="0.55000000000000004">
      <c r="B204" s="35"/>
    </row>
    <row r="205" spans="2:2" x14ac:dyDescent="0.55000000000000004">
      <c r="B205" s="35"/>
    </row>
    <row r="206" spans="2:2" x14ac:dyDescent="0.55000000000000004">
      <c r="B206" s="35"/>
    </row>
    <row r="207" spans="2:2" x14ac:dyDescent="0.55000000000000004">
      <c r="B207" s="35"/>
    </row>
    <row r="208" spans="2:2" x14ac:dyDescent="0.55000000000000004">
      <c r="B208" s="35"/>
    </row>
    <row r="209" spans="2:2" x14ac:dyDescent="0.55000000000000004">
      <c r="B209" s="35"/>
    </row>
    <row r="210" spans="2:2" x14ac:dyDescent="0.55000000000000004">
      <c r="B210" s="35"/>
    </row>
    <row r="211" spans="2:2" x14ac:dyDescent="0.55000000000000004">
      <c r="B211" s="35"/>
    </row>
    <row r="212" spans="2:2" x14ac:dyDescent="0.55000000000000004">
      <c r="B212" s="35"/>
    </row>
    <row r="213" spans="2:2" x14ac:dyDescent="0.55000000000000004">
      <c r="B213" s="35"/>
    </row>
    <row r="214" spans="2:2" x14ac:dyDescent="0.55000000000000004">
      <c r="B214" s="35"/>
    </row>
    <row r="215" spans="2:2" x14ac:dyDescent="0.55000000000000004">
      <c r="B215" s="35"/>
    </row>
    <row r="216" spans="2:2" x14ac:dyDescent="0.55000000000000004">
      <c r="B216" s="35"/>
    </row>
    <row r="217" spans="2:2" x14ac:dyDescent="0.55000000000000004">
      <c r="B217" s="35"/>
    </row>
    <row r="218" spans="2:2" x14ac:dyDescent="0.55000000000000004">
      <c r="B218" s="35"/>
    </row>
    <row r="219" spans="2:2" x14ac:dyDescent="0.55000000000000004">
      <c r="B219" s="35"/>
    </row>
    <row r="220" spans="2:2" x14ac:dyDescent="0.55000000000000004">
      <c r="B220" s="35"/>
    </row>
    <row r="221" spans="2:2" x14ac:dyDescent="0.55000000000000004">
      <c r="B221" s="35"/>
    </row>
    <row r="222" spans="2:2" x14ac:dyDescent="0.55000000000000004">
      <c r="B222" s="35"/>
    </row>
    <row r="223" spans="2:2" x14ac:dyDescent="0.55000000000000004">
      <c r="B223" s="35"/>
    </row>
    <row r="224" spans="2:2" x14ac:dyDescent="0.55000000000000004">
      <c r="B224" s="35"/>
    </row>
    <row r="225" spans="2:2" x14ac:dyDescent="0.55000000000000004">
      <c r="B225" s="35"/>
    </row>
    <row r="226" spans="2:2" x14ac:dyDescent="0.55000000000000004">
      <c r="B226" s="35"/>
    </row>
    <row r="227" spans="2:2" x14ac:dyDescent="0.55000000000000004">
      <c r="B227" s="35"/>
    </row>
    <row r="228" spans="2:2" x14ac:dyDescent="0.55000000000000004">
      <c r="B228" s="35"/>
    </row>
    <row r="229" spans="2:2" x14ac:dyDescent="0.55000000000000004">
      <c r="B229" s="35"/>
    </row>
    <row r="230" spans="2:2" x14ac:dyDescent="0.55000000000000004">
      <c r="B230" s="35"/>
    </row>
    <row r="231" spans="2:2" x14ac:dyDescent="0.55000000000000004">
      <c r="B231" s="35"/>
    </row>
    <row r="232" spans="2:2" x14ac:dyDescent="0.55000000000000004">
      <c r="B232" s="35"/>
    </row>
    <row r="233" spans="2:2" x14ac:dyDescent="0.55000000000000004">
      <c r="B233" s="35"/>
    </row>
    <row r="234" spans="2:2" x14ac:dyDescent="0.55000000000000004">
      <c r="B234" s="35"/>
    </row>
    <row r="235" spans="2:2" x14ac:dyDescent="0.55000000000000004">
      <c r="B235" s="35"/>
    </row>
    <row r="236" spans="2:2" x14ac:dyDescent="0.55000000000000004">
      <c r="B236" s="35"/>
    </row>
    <row r="237" spans="2:2" x14ac:dyDescent="0.55000000000000004">
      <c r="B237" s="35"/>
    </row>
    <row r="238" spans="2:2" x14ac:dyDescent="0.55000000000000004">
      <c r="B238" s="35"/>
    </row>
    <row r="239" spans="2:2" x14ac:dyDescent="0.55000000000000004">
      <c r="B239" s="35"/>
    </row>
    <row r="240" spans="2:2" x14ac:dyDescent="0.55000000000000004">
      <c r="B240" s="35"/>
    </row>
    <row r="241" spans="2:2" x14ac:dyDescent="0.55000000000000004">
      <c r="B241" s="35"/>
    </row>
    <row r="242" spans="2:2" x14ac:dyDescent="0.55000000000000004">
      <c r="B242" s="35"/>
    </row>
    <row r="243" spans="2:2" x14ac:dyDescent="0.55000000000000004">
      <c r="B243" s="35"/>
    </row>
    <row r="244" spans="2:2" x14ac:dyDescent="0.55000000000000004">
      <c r="B244" s="35"/>
    </row>
    <row r="245" spans="2:2" x14ac:dyDescent="0.55000000000000004">
      <c r="B245" s="35"/>
    </row>
    <row r="246" spans="2:2" x14ac:dyDescent="0.55000000000000004">
      <c r="B246" s="35"/>
    </row>
    <row r="247" spans="2:2" x14ac:dyDescent="0.55000000000000004">
      <c r="B247" s="35"/>
    </row>
    <row r="248" spans="2:2" x14ac:dyDescent="0.55000000000000004">
      <c r="B248" s="35"/>
    </row>
    <row r="249" spans="2:2" x14ac:dyDescent="0.55000000000000004">
      <c r="B249" s="35"/>
    </row>
    <row r="250" spans="2:2" x14ac:dyDescent="0.55000000000000004">
      <c r="B250" s="35"/>
    </row>
    <row r="251" spans="2:2" x14ac:dyDescent="0.55000000000000004">
      <c r="B251" s="35"/>
    </row>
    <row r="252" spans="2:2" x14ac:dyDescent="0.55000000000000004">
      <c r="B252" s="35"/>
    </row>
    <row r="253" spans="2:2" x14ac:dyDescent="0.55000000000000004">
      <c r="B253" s="35"/>
    </row>
    <row r="254" spans="2:2" x14ac:dyDescent="0.55000000000000004">
      <c r="B254" s="35"/>
    </row>
    <row r="255" spans="2:2" x14ac:dyDescent="0.55000000000000004">
      <c r="B255" s="35"/>
    </row>
    <row r="256" spans="2:2" x14ac:dyDescent="0.55000000000000004">
      <c r="B256" s="35"/>
    </row>
    <row r="257" spans="2:2" x14ac:dyDescent="0.55000000000000004">
      <c r="B257" s="35"/>
    </row>
    <row r="258" spans="2:2" x14ac:dyDescent="0.55000000000000004">
      <c r="B258" s="35"/>
    </row>
    <row r="259" spans="2:2" x14ac:dyDescent="0.55000000000000004">
      <c r="B259" s="35"/>
    </row>
    <row r="260" spans="2:2" x14ac:dyDescent="0.55000000000000004">
      <c r="B260" s="35"/>
    </row>
    <row r="261" spans="2:2" x14ac:dyDescent="0.55000000000000004">
      <c r="B261" s="35"/>
    </row>
    <row r="262" spans="2:2" x14ac:dyDescent="0.55000000000000004">
      <c r="B262" s="35"/>
    </row>
    <row r="263" spans="2:2" x14ac:dyDescent="0.55000000000000004">
      <c r="B263" s="35"/>
    </row>
    <row r="264" spans="2:2" x14ac:dyDescent="0.55000000000000004">
      <c r="B264" s="35"/>
    </row>
    <row r="265" spans="2:2" x14ac:dyDescent="0.55000000000000004">
      <c r="B265" s="35"/>
    </row>
    <row r="266" spans="2:2" x14ac:dyDescent="0.55000000000000004">
      <c r="B266" s="35"/>
    </row>
    <row r="267" spans="2:2" x14ac:dyDescent="0.55000000000000004">
      <c r="B267" s="35"/>
    </row>
    <row r="268" spans="2:2" x14ac:dyDescent="0.55000000000000004">
      <c r="B268" s="35"/>
    </row>
    <row r="269" spans="2:2" x14ac:dyDescent="0.55000000000000004">
      <c r="B269" s="35"/>
    </row>
    <row r="270" spans="2:2" x14ac:dyDescent="0.55000000000000004">
      <c r="B270" s="35"/>
    </row>
    <row r="271" spans="2:2" x14ac:dyDescent="0.55000000000000004">
      <c r="B271" s="35"/>
    </row>
    <row r="272" spans="2:2" x14ac:dyDescent="0.55000000000000004">
      <c r="B272" s="35"/>
    </row>
    <row r="273" spans="2:2" x14ac:dyDescent="0.55000000000000004">
      <c r="B273" s="35"/>
    </row>
    <row r="274" spans="2:2" x14ac:dyDescent="0.55000000000000004">
      <c r="B274" s="35"/>
    </row>
    <row r="275" spans="2:2" x14ac:dyDescent="0.55000000000000004">
      <c r="B275" s="35"/>
    </row>
    <row r="276" spans="2:2" x14ac:dyDescent="0.55000000000000004">
      <c r="B276" s="35"/>
    </row>
    <row r="277" spans="2:2" x14ac:dyDescent="0.55000000000000004">
      <c r="B277" s="35"/>
    </row>
    <row r="278" spans="2:2" x14ac:dyDescent="0.55000000000000004">
      <c r="B278" s="35"/>
    </row>
    <row r="279" spans="2:2" x14ac:dyDescent="0.55000000000000004">
      <c r="B279" s="35"/>
    </row>
    <row r="280" spans="2:2" x14ac:dyDescent="0.55000000000000004">
      <c r="B280" s="35"/>
    </row>
    <row r="281" spans="2:2" x14ac:dyDescent="0.55000000000000004">
      <c r="B281" s="35"/>
    </row>
    <row r="282" spans="2:2" x14ac:dyDescent="0.55000000000000004">
      <c r="B282" s="35"/>
    </row>
    <row r="283" spans="2:2" x14ac:dyDescent="0.55000000000000004">
      <c r="B283" s="35"/>
    </row>
    <row r="284" spans="2:2" x14ac:dyDescent="0.55000000000000004">
      <c r="B284" s="35"/>
    </row>
    <row r="285" spans="2:2" x14ac:dyDescent="0.55000000000000004">
      <c r="B285" s="35"/>
    </row>
    <row r="286" spans="2:2" x14ac:dyDescent="0.55000000000000004">
      <c r="B286" s="35"/>
    </row>
    <row r="287" spans="2:2" x14ac:dyDescent="0.55000000000000004">
      <c r="B287" s="35"/>
    </row>
    <row r="288" spans="2:2" x14ac:dyDescent="0.55000000000000004">
      <c r="B288" s="35"/>
    </row>
    <row r="289" spans="2:2" x14ac:dyDescent="0.55000000000000004">
      <c r="B289" s="35"/>
    </row>
    <row r="290" spans="2:2" x14ac:dyDescent="0.55000000000000004">
      <c r="B290" s="35"/>
    </row>
    <row r="291" spans="2:2" x14ac:dyDescent="0.55000000000000004">
      <c r="B291" s="35"/>
    </row>
    <row r="292" spans="2:2" x14ac:dyDescent="0.55000000000000004">
      <c r="B292" s="35"/>
    </row>
    <row r="293" spans="2:2" x14ac:dyDescent="0.55000000000000004">
      <c r="B293" s="35"/>
    </row>
    <row r="294" spans="2:2" x14ac:dyDescent="0.55000000000000004">
      <c r="B294" s="35"/>
    </row>
    <row r="295" spans="2:2" x14ac:dyDescent="0.55000000000000004">
      <c r="B295" s="35"/>
    </row>
    <row r="296" spans="2:2" x14ac:dyDescent="0.55000000000000004">
      <c r="B296" s="35"/>
    </row>
    <row r="297" spans="2:2" x14ac:dyDescent="0.55000000000000004">
      <c r="B297" s="35"/>
    </row>
    <row r="298" spans="2:2" x14ac:dyDescent="0.55000000000000004">
      <c r="B298" s="35"/>
    </row>
    <row r="299" spans="2:2" x14ac:dyDescent="0.55000000000000004">
      <c r="B299" s="35"/>
    </row>
    <row r="300" spans="2:2" x14ac:dyDescent="0.55000000000000004">
      <c r="B300" s="35"/>
    </row>
    <row r="301" spans="2:2" x14ac:dyDescent="0.55000000000000004">
      <c r="B301" s="35"/>
    </row>
    <row r="302" spans="2:2" x14ac:dyDescent="0.55000000000000004">
      <c r="B302" s="35"/>
    </row>
    <row r="303" spans="2:2" x14ac:dyDescent="0.55000000000000004">
      <c r="B303" s="35"/>
    </row>
    <row r="304" spans="2:2" x14ac:dyDescent="0.55000000000000004">
      <c r="B304" s="35"/>
    </row>
    <row r="305" spans="2:2" x14ac:dyDescent="0.55000000000000004">
      <c r="B305" s="35"/>
    </row>
    <row r="306" spans="2:2" x14ac:dyDescent="0.55000000000000004">
      <c r="B306" s="35"/>
    </row>
    <row r="307" spans="2:2" x14ac:dyDescent="0.55000000000000004">
      <c r="B307" s="35"/>
    </row>
    <row r="308" spans="2:2" x14ac:dyDescent="0.55000000000000004">
      <c r="B308" s="35"/>
    </row>
    <row r="309" spans="2:2" x14ac:dyDescent="0.55000000000000004">
      <c r="B309" s="35"/>
    </row>
    <row r="310" spans="2:2" x14ac:dyDescent="0.55000000000000004">
      <c r="B310" s="35"/>
    </row>
    <row r="311" spans="2:2" x14ac:dyDescent="0.55000000000000004">
      <c r="B311" s="35"/>
    </row>
    <row r="312" spans="2:2" x14ac:dyDescent="0.55000000000000004">
      <c r="B312" s="35"/>
    </row>
    <row r="313" spans="2:2" x14ac:dyDescent="0.55000000000000004">
      <c r="B313" s="35"/>
    </row>
    <row r="314" spans="2:2" x14ac:dyDescent="0.55000000000000004">
      <c r="B314" s="35"/>
    </row>
    <row r="315" spans="2:2" x14ac:dyDescent="0.55000000000000004">
      <c r="B315" s="35"/>
    </row>
    <row r="316" spans="2:2" x14ac:dyDescent="0.55000000000000004">
      <c r="B316" s="35"/>
    </row>
    <row r="317" spans="2:2" x14ac:dyDescent="0.55000000000000004">
      <c r="B317" s="35"/>
    </row>
    <row r="318" spans="2:2" x14ac:dyDescent="0.55000000000000004">
      <c r="B318" s="35"/>
    </row>
    <row r="319" spans="2:2" x14ac:dyDescent="0.55000000000000004">
      <c r="B319" s="35"/>
    </row>
    <row r="320" spans="2:2" x14ac:dyDescent="0.55000000000000004">
      <c r="B320" s="35"/>
    </row>
    <row r="321" spans="2:2" x14ac:dyDescent="0.55000000000000004">
      <c r="B321" s="35"/>
    </row>
    <row r="322" spans="2:2" x14ac:dyDescent="0.55000000000000004">
      <c r="B322" s="35"/>
    </row>
    <row r="323" spans="2:2" x14ac:dyDescent="0.55000000000000004">
      <c r="B323" s="35"/>
    </row>
    <row r="324" spans="2:2" x14ac:dyDescent="0.55000000000000004">
      <c r="B324" s="35"/>
    </row>
    <row r="325" spans="2:2" x14ac:dyDescent="0.55000000000000004">
      <c r="B325" s="35"/>
    </row>
    <row r="326" spans="2:2" x14ac:dyDescent="0.55000000000000004">
      <c r="B326" s="35"/>
    </row>
    <row r="327" spans="2:2" x14ac:dyDescent="0.55000000000000004">
      <c r="B327" s="35"/>
    </row>
    <row r="328" spans="2:2" x14ac:dyDescent="0.55000000000000004">
      <c r="B328" s="35"/>
    </row>
    <row r="329" spans="2:2" x14ac:dyDescent="0.55000000000000004">
      <c r="B329" s="35"/>
    </row>
    <row r="330" spans="2:2" x14ac:dyDescent="0.55000000000000004">
      <c r="B330" s="35"/>
    </row>
    <row r="331" spans="2:2" x14ac:dyDescent="0.55000000000000004">
      <c r="B331" s="35"/>
    </row>
    <row r="332" spans="2:2" x14ac:dyDescent="0.55000000000000004">
      <c r="B332" s="35"/>
    </row>
    <row r="333" spans="2:2" x14ac:dyDescent="0.55000000000000004">
      <c r="B333" s="35"/>
    </row>
    <row r="334" spans="2:2" x14ac:dyDescent="0.55000000000000004">
      <c r="B334" s="35"/>
    </row>
    <row r="335" spans="2:2" x14ac:dyDescent="0.55000000000000004">
      <c r="B335" s="35"/>
    </row>
    <row r="336" spans="2:2" x14ac:dyDescent="0.55000000000000004">
      <c r="B336" s="35"/>
    </row>
    <row r="337" spans="2:2" x14ac:dyDescent="0.55000000000000004">
      <c r="B337" s="35"/>
    </row>
    <row r="338" spans="2:2" x14ac:dyDescent="0.55000000000000004">
      <c r="B338" s="35"/>
    </row>
    <row r="339" spans="2:2" x14ac:dyDescent="0.55000000000000004">
      <c r="B339" s="35"/>
    </row>
    <row r="340" spans="2:2" x14ac:dyDescent="0.55000000000000004">
      <c r="B340" s="35"/>
    </row>
    <row r="341" spans="2:2" x14ac:dyDescent="0.55000000000000004">
      <c r="B341" s="35"/>
    </row>
    <row r="342" spans="2:2" x14ac:dyDescent="0.55000000000000004">
      <c r="B342" s="35"/>
    </row>
    <row r="343" spans="2:2" x14ac:dyDescent="0.55000000000000004">
      <c r="B343" s="35"/>
    </row>
    <row r="344" spans="2:2" x14ac:dyDescent="0.55000000000000004">
      <c r="B344" s="35"/>
    </row>
    <row r="345" spans="2:2" x14ac:dyDescent="0.55000000000000004">
      <c r="B345" s="35"/>
    </row>
    <row r="346" spans="2:2" x14ac:dyDescent="0.55000000000000004">
      <c r="B346" s="35"/>
    </row>
    <row r="347" spans="2:2" x14ac:dyDescent="0.55000000000000004">
      <c r="B347" s="35"/>
    </row>
    <row r="348" spans="2:2" x14ac:dyDescent="0.55000000000000004">
      <c r="B348" s="35"/>
    </row>
    <row r="349" spans="2:2" x14ac:dyDescent="0.55000000000000004">
      <c r="B349" s="35"/>
    </row>
    <row r="350" spans="2:2" x14ac:dyDescent="0.55000000000000004">
      <c r="B350" s="35"/>
    </row>
    <row r="351" spans="2:2" x14ac:dyDescent="0.55000000000000004">
      <c r="B351" s="35"/>
    </row>
    <row r="352" spans="2:2" x14ac:dyDescent="0.55000000000000004">
      <c r="B352" s="35"/>
    </row>
    <row r="353" spans="2:2" x14ac:dyDescent="0.55000000000000004">
      <c r="B353" s="35"/>
    </row>
    <row r="354" spans="2:2" x14ac:dyDescent="0.55000000000000004">
      <c r="B354" s="35"/>
    </row>
    <row r="355" spans="2:2" x14ac:dyDescent="0.55000000000000004">
      <c r="B355" s="35"/>
    </row>
    <row r="356" spans="2:2" x14ac:dyDescent="0.55000000000000004">
      <c r="B356" s="35"/>
    </row>
    <row r="357" spans="2:2" x14ac:dyDescent="0.55000000000000004">
      <c r="B357" s="35"/>
    </row>
    <row r="358" spans="2:2" x14ac:dyDescent="0.55000000000000004">
      <c r="B358" s="35"/>
    </row>
    <row r="359" spans="2:2" x14ac:dyDescent="0.55000000000000004">
      <c r="B359" s="35"/>
    </row>
    <row r="360" spans="2:2" x14ac:dyDescent="0.55000000000000004">
      <c r="B360" s="35"/>
    </row>
    <row r="361" spans="2:2" x14ac:dyDescent="0.55000000000000004">
      <c r="B361" s="35"/>
    </row>
  </sheetData>
  <sheetProtection algorithmName="SHA-512" hashValue="kJqTWpqNbIi9J2L9AsC3lXbzOm3e0gqRLImYYj+JLjO0Mp9jMI477Zx5++vTinsZVHw6UBtO3PqfGptxJ01osA==" saltValue="mtIrAtCQ/STY5z5av2vEjQ==" spinCount="100000" sheet="1" objects="1" scenarios="1" formatColumns="0" formatRows="0"/>
  <mergeCells count="2">
    <mergeCell ref="A2:E2"/>
    <mergeCell ref="A1:E1"/>
  </mergeCells>
  <pageMargins left="0.7" right="0.7" top="0.75" bottom="0.75" header="0.3" footer="0.3"/>
  <pageSetup scale="67" fitToHeight="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CB5BD-E973-4E57-86CD-370744619E09}">
  <sheetPr codeName="Sheet13">
    <tabColor theme="8"/>
    <pageSetUpPr fitToPage="1"/>
  </sheetPr>
  <dimension ref="A1:AD142"/>
  <sheetViews>
    <sheetView zoomScale="70" zoomScaleNormal="70" workbookViewId="0">
      <selection sqref="A1:J1"/>
    </sheetView>
  </sheetViews>
  <sheetFormatPr defaultColWidth="8.83203125" defaultRowHeight="19.2" x14ac:dyDescent="0.55000000000000004"/>
  <cols>
    <col min="1" max="1" width="56" style="24" customWidth="1"/>
    <col min="2" max="2" width="9.83203125" style="25" customWidth="1"/>
    <col min="3" max="3" width="16.08203125" style="24" bestFit="1" customWidth="1"/>
    <col min="4" max="4" width="11.9140625" style="24" bestFit="1" customWidth="1"/>
    <col min="5" max="5" width="11.1640625" style="24" bestFit="1" customWidth="1"/>
    <col min="6" max="6" width="15.6640625" style="24" bestFit="1" customWidth="1"/>
    <col min="7" max="7" width="25" style="24" bestFit="1" customWidth="1"/>
    <col min="8" max="8" width="18.5" style="24" bestFit="1" customWidth="1"/>
    <col min="9" max="9" width="14.6640625" style="24" bestFit="1" customWidth="1"/>
    <col min="10" max="10" width="15.58203125" style="24" customWidth="1"/>
    <col min="11" max="11" width="7.58203125" style="24" customWidth="1"/>
    <col min="12" max="14" width="8.83203125" style="24"/>
    <col min="15" max="15" width="10.9140625" style="24" customWidth="1"/>
    <col min="16" max="16384" width="8.83203125" style="24"/>
  </cols>
  <sheetData>
    <row r="1" spans="1:30" ht="55.2" customHeight="1" x14ac:dyDescent="1.1000000000000001">
      <c r="A1" s="888" t="s">
        <v>174</v>
      </c>
      <c r="B1" s="888"/>
      <c r="C1" s="888"/>
      <c r="D1" s="888"/>
      <c r="E1" s="888"/>
      <c r="F1" s="888"/>
      <c r="G1" s="888"/>
      <c r="H1" s="888"/>
      <c r="I1" s="888"/>
      <c r="J1" s="888"/>
      <c r="K1" s="22"/>
    </row>
    <row r="2" spans="1:30" s="196" customFormat="1" ht="34.950000000000003" customHeight="1" x14ac:dyDescent="0.55000000000000004">
      <c r="A2" s="892" t="s">
        <v>1840</v>
      </c>
      <c r="B2" s="892"/>
      <c r="C2" s="892"/>
      <c r="D2" s="892"/>
      <c r="E2" s="892"/>
      <c r="F2" s="892"/>
      <c r="G2" s="892"/>
      <c r="H2" s="892"/>
      <c r="I2" s="892"/>
      <c r="J2" s="892"/>
      <c r="K2" s="194"/>
      <c r="L2" s="195"/>
      <c r="M2" s="195"/>
      <c r="N2" s="195"/>
      <c r="O2" s="195"/>
      <c r="P2" s="195"/>
      <c r="Q2" s="195"/>
      <c r="R2" s="195"/>
      <c r="S2" s="195"/>
      <c r="T2" s="195"/>
      <c r="U2" s="195"/>
      <c r="V2" s="195"/>
      <c r="W2" s="195"/>
      <c r="X2" s="195"/>
      <c r="Y2" s="195"/>
      <c r="Z2" s="195"/>
      <c r="AA2" s="195"/>
      <c r="AB2" s="195"/>
      <c r="AC2" s="195"/>
      <c r="AD2" s="195"/>
    </row>
    <row r="3" spans="1:30" ht="27" customHeight="1" x14ac:dyDescent="0.55000000000000004">
      <c r="A3" s="893" t="str">
        <f>"Report as of "&amp;TEXT(Hidden!$A$4,"MMMM D, YYYY")</f>
        <v>Report as of April 22, 2025</v>
      </c>
      <c r="B3" s="893"/>
      <c r="C3" s="893"/>
      <c r="D3" s="893"/>
      <c r="E3" s="893"/>
      <c r="F3" s="893"/>
      <c r="G3" s="893"/>
      <c r="H3" s="893"/>
      <c r="I3" s="893"/>
      <c r="J3" s="893"/>
      <c r="K3" s="22"/>
    </row>
    <row r="4" spans="1:30" ht="27" customHeight="1" x14ac:dyDescent="0.7">
      <c r="A4" s="71"/>
      <c r="B4" s="71"/>
      <c r="C4" s="71"/>
      <c r="D4" s="71"/>
      <c r="E4" s="71"/>
      <c r="F4" s="71"/>
      <c r="G4" s="71"/>
      <c r="H4" s="71"/>
      <c r="I4" s="71"/>
      <c r="J4" s="71"/>
      <c r="K4" s="22"/>
    </row>
    <row r="5" spans="1:30" ht="27" customHeight="1" x14ac:dyDescent="0.55000000000000004">
      <c r="A5" s="889" t="s">
        <v>15</v>
      </c>
      <c r="B5" s="890"/>
      <c r="C5" s="890"/>
      <c r="D5" s="890"/>
      <c r="E5" s="890"/>
      <c r="F5" s="890"/>
      <c r="G5" s="890"/>
      <c r="H5" s="890"/>
      <c r="I5" s="890"/>
      <c r="J5" s="891"/>
      <c r="K5" s="22"/>
    </row>
    <row r="6" spans="1:30" s="8" customFormat="1" ht="54" customHeight="1" thickBot="1" x14ac:dyDescent="0.65">
      <c r="A6" s="175" t="s">
        <v>752</v>
      </c>
      <c r="B6" s="180" t="s">
        <v>33</v>
      </c>
      <c r="C6" s="176" t="s">
        <v>753</v>
      </c>
      <c r="D6" s="176" t="s">
        <v>754</v>
      </c>
      <c r="E6" s="176" t="s">
        <v>755</v>
      </c>
      <c r="F6" s="176" t="s">
        <v>96</v>
      </c>
      <c r="G6" s="177" t="s">
        <v>788</v>
      </c>
      <c r="H6" s="177" t="s">
        <v>789</v>
      </c>
      <c r="I6" s="177" t="s">
        <v>790</v>
      </c>
      <c r="J6" s="177" t="s">
        <v>791</v>
      </c>
      <c r="K6" s="7"/>
    </row>
    <row r="7" spans="1:30" s="72" customFormat="1" ht="27" customHeight="1" x14ac:dyDescent="0.55000000000000004">
      <c r="A7" s="157" t="s">
        <v>39</v>
      </c>
      <c r="B7" s="158">
        <v>30</v>
      </c>
      <c r="C7" s="159">
        <f>SUBTOTAL(9,C8:C11)</f>
        <v>0</v>
      </c>
      <c r="D7" s="159">
        <f t="shared" ref="D7:I7" si="0">SUBTOTAL(9,D8:D11)</f>
        <v>18239</v>
      </c>
      <c r="E7" s="159">
        <f t="shared" si="0"/>
        <v>14585</v>
      </c>
      <c r="F7" s="159">
        <f t="shared" si="0"/>
        <v>32824</v>
      </c>
      <c r="G7" s="159">
        <f t="shared" si="0"/>
        <v>943</v>
      </c>
      <c r="H7" s="160">
        <f t="shared" si="0"/>
        <v>2513.2399999999998</v>
      </c>
      <c r="I7" s="160">
        <f t="shared" si="0"/>
        <v>2513.2399999999998</v>
      </c>
      <c r="J7" s="159">
        <v>700</v>
      </c>
      <c r="K7" s="146"/>
    </row>
    <row r="8" spans="1:30" s="72" customFormat="1" ht="27" customHeight="1" x14ac:dyDescent="0.55000000000000004">
      <c r="A8" s="86" t="s">
        <v>756</v>
      </c>
      <c r="B8" s="73">
        <v>101</v>
      </c>
      <c r="C8" s="74">
        <v>0</v>
      </c>
      <c r="D8" s="74">
        <v>4611</v>
      </c>
      <c r="E8" s="74">
        <v>14253</v>
      </c>
      <c r="F8" s="74">
        <v>18864</v>
      </c>
      <c r="G8" s="74">
        <v>0</v>
      </c>
      <c r="H8" s="75">
        <v>983.96</v>
      </c>
      <c r="I8" s="78">
        <v>983.96</v>
      </c>
      <c r="J8" s="76"/>
      <c r="K8" s="146"/>
    </row>
    <row r="9" spans="1:30" s="72" customFormat="1" ht="27" customHeight="1" x14ac:dyDescent="0.55000000000000004">
      <c r="A9" s="136" t="s">
        <v>759</v>
      </c>
      <c r="B9" s="137">
        <v>892</v>
      </c>
      <c r="C9" s="138">
        <v>0</v>
      </c>
      <c r="D9" s="138">
        <v>1302</v>
      </c>
      <c r="E9" s="138">
        <v>0</v>
      </c>
      <c r="F9" s="138">
        <v>1302</v>
      </c>
      <c r="G9" s="138">
        <v>0</v>
      </c>
      <c r="H9" s="139">
        <v>54.25</v>
      </c>
      <c r="I9" s="140">
        <v>54.25</v>
      </c>
      <c r="J9" s="141"/>
      <c r="K9" s="146"/>
    </row>
    <row r="10" spans="1:30" s="72" customFormat="1" ht="27" customHeight="1" x14ac:dyDescent="0.55000000000000004">
      <c r="A10" s="86" t="s">
        <v>758</v>
      </c>
      <c r="B10" s="73">
        <v>3660</v>
      </c>
      <c r="C10" s="74">
        <v>0</v>
      </c>
      <c r="D10" s="74">
        <v>0</v>
      </c>
      <c r="E10" s="74">
        <v>0</v>
      </c>
      <c r="F10" s="74">
        <v>0</v>
      </c>
      <c r="G10" s="74">
        <v>943</v>
      </c>
      <c r="H10" s="75">
        <v>943</v>
      </c>
      <c r="I10" s="78">
        <v>943</v>
      </c>
      <c r="J10" s="76"/>
      <c r="K10" s="146"/>
    </row>
    <row r="11" spans="1:30" s="72" customFormat="1" ht="27" customHeight="1" x14ac:dyDescent="0.55000000000000004">
      <c r="A11" s="136" t="s">
        <v>757</v>
      </c>
      <c r="B11" s="137">
        <v>10019</v>
      </c>
      <c r="C11" s="138">
        <v>0</v>
      </c>
      <c r="D11" s="138">
        <v>12326</v>
      </c>
      <c r="E11" s="138">
        <v>332</v>
      </c>
      <c r="F11" s="138">
        <v>12658</v>
      </c>
      <c r="G11" s="138">
        <v>0</v>
      </c>
      <c r="H11" s="139">
        <v>532.03</v>
      </c>
      <c r="I11" s="140">
        <v>532.03</v>
      </c>
      <c r="J11" s="141"/>
      <c r="K11" s="146"/>
    </row>
    <row r="12" spans="1:30" s="72" customFormat="1" ht="27" customHeight="1" x14ac:dyDescent="0.55000000000000004">
      <c r="A12" s="157" t="s">
        <v>40</v>
      </c>
      <c r="B12" s="158">
        <v>104952</v>
      </c>
      <c r="C12" s="159">
        <f>SUBTOTAL(9,C13:C17)</f>
        <v>21193</v>
      </c>
      <c r="D12" s="159">
        <f t="shared" ref="D12:I12" si="1">SUBTOTAL(9,D13:D17)</f>
        <v>31290</v>
      </c>
      <c r="E12" s="159">
        <f t="shared" si="1"/>
        <v>14104</v>
      </c>
      <c r="F12" s="159">
        <f t="shared" si="1"/>
        <v>66587</v>
      </c>
      <c r="G12" s="159">
        <f t="shared" si="1"/>
        <v>945</v>
      </c>
      <c r="H12" s="160">
        <f t="shared" si="1"/>
        <v>3738.74</v>
      </c>
      <c r="I12" s="160">
        <f t="shared" si="1"/>
        <v>3726.2599999999998</v>
      </c>
      <c r="J12" s="159">
        <v>224</v>
      </c>
      <c r="K12" s="146"/>
    </row>
    <row r="13" spans="1:30" s="72" customFormat="1" ht="27" customHeight="1" x14ac:dyDescent="0.55000000000000004">
      <c r="A13" s="136" t="s">
        <v>756</v>
      </c>
      <c r="B13" s="137">
        <v>401</v>
      </c>
      <c r="C13" s="138">
        <v>0</v>
      </c>
      <c r="D13" s="138">
        <v>1115</v>
      </c>
      <c r="E13" s="138">
        <v>4235</v>
      </c>
      <c r="F13" s="138">
        <v>5350</v>
      </c>
      <c r="G13" s="138">
        <v>0</v>
      </c>
      <c r="H13" s="139">
        <v>281.74</v>
      </c>
      <c r="I13" s="140">
        <v>272.39999999999998</v>
      </c>
      <c r="J13" s="141"/>
      <c r="K13" s="146"/>
    </row>
    <row r="14" spans="1:30" s="72" customFormat="1" ht="27" customHeight="1" x14ac:dyDescent="0.55000000000000004">
      <c r="A14" s="86" t="s">
        <v>761</v>
      </c>
      <c r="B14" s="73">
        <v>402</v>
      </c>
      <c r="C14" s="74">
        <v>19893</v>
      </c>
      <c r="D14" s="74">
        <v>5861</v>
      </c>
      <c r="E14" s="74">
        <v>2219</v>
      </c>
      <c r="F14" s="74">
        <v>27973</v>
      </c>
      <c r="G14" s="74">
        <v>0</v>
      </c>
      <c r="H14" s="75">
        <v>1030.5899999999999</v>
      </c>
      <c r="I14" s="78">
        <v>1029.0899999999999</v>
      </c>
      <c r="J14" s="76"/>
      <c r="K14" s="146"/>
    </row>
    <row r="15" spans="1:30" s="72" customFormat="1" ht="27" customHeight="1" x14ac:dyDescent="0.55000000000000004">
      <c r="A15" s="136" t="s">
        <v>757</v>
      </c>
      <c r="B15" s="137">
        <v>403</v>
      </c>
      <c r="C15" s="138">
        <v>1300</v>
      </c>
      <c r="D15" s="138">
        <v>23058</v>
      </c>
      <c r="E15" s="138">
        <v>7193</v>
      </c>
      <c r="F15" s="138">
        <v>31551</v>
      </c>
      <c r="G15" s="138">
        <v>0</v>
      </c>
      <c r="H15" s="139">
        <v>1403.69</v>
      </c>
      <c r="I15" s="140">
        <v>1402.49</v>
      </c>
      <c r="J15" s="141"/>
      <c r="K15" s="146"/>
    </row>
    <row r="16" spans="1:30" s="72" customFormat="1" ht="27" customHeight="1" x14ac:dyDescent="0.55000000000000004">
      <c r="A16" s="86" t="s">
        <v>762</v>
      </c>
      <c r="B16" s="73">
        <v>425</v>
      </c>
      <c r="C16" s="74">
        <v>0</v>
      </c>
      <c r="D16" s="74">
        <v>1256</v>
      </c>
      <c r="E16" s="74">
        <v>457</v>
      </c>
      <c r="F16" s="74">
        <v>1713</v>
      </c>
      <c r="G16" s="74">
        <v>0</v>
      </c>
      <c r="H16" s="75">
        <v>77.72</v>
      </c>
      <c r="I16" s="78">
        <v>77.28</v>
      </c>
      <c r="J16" s="76"/>
      <c r="K16" s="146"/>
    </row>
    <row r="17" spans="1:11" s="72" customFormat="1" ht="27" customHeight="1" x14ac:dyDescent="0.55000000000000004">
      <c r="A17" s="136" t="s">
        <v>760</v>
      </c>
      <c r="B17" s="137">
        <v>4952</v>
      </c>
      <c r="C17" s="138">
        <v>0</v>
      </c>
      <c r="D17" s="138">
        <v>0</v>
      </c>
      <c r="E17" s="138">
        <v>0</v>
      </c>
      <c r="F17" s="138">
        <v>0</v>
      </c>
      <c r="G17" s="138">
        <v>945</v>
      </c>
      <c r="H17" s="139">
        <v>945</v>
      </c>
      <c r="I17" s="140">
        <v>945</v>
      </c>
      <c r="J17" s="141"/>
      <c r="K17" s="146"/>
    </row>
    <row r="18" spans="1:11" s="72" customFormat="1" ht="27" customHeight="1" x14ac:dyDescent="0.55000000000000004">
      <c r="A18" s="157" t="s">
        <v>41</v>
      </c>
      <c r="B18" s="158">
        <v>11618</v>
      </c>
      <c r="C18" s="159">
        <f>SUBTOTAL(9,C19:C27)</f>
        <v>19042</v>
      </c>
      <c r="D18" s="159">
        <f t="shared" ref="D18:I18" si="2">SUBTOTAL(9,D19:D27)</f>
        <v>27508</v>
      </c>
      <c r="E18" s="159">
        <f t="shared" si="2"/>
        <v>27022</v>
      </c>
      <c r="F18" s="159">
        <f t="shared" si="2"/>
        <v>73572</v>
      </c>
      <c r="G18" s="159">
        <f t="shared" si="2"/>
        <v>1479</v>
      </c>
      <c r="H18" s="160">
        <f t="shared" si="2"/>
        <v>4761.1399999999994</v>
      </c>
      <c r="I18" s="160">
        <f t="shared" si="2"/>
        <v>4722.68</v>
      </c>
      <c r="J18" s="159">
        <v>345</v>
      </c>
      <c r="K18" s="146"/>
    </row>
    <row r="19" spans="1:11" s="72" customFormat="1" ht="27" customHeight="1" x14ac:dyDescent="0.55000000000000004">
      <c r="A19" s="136" t="s">
        <v>761</v>
      </c>
      <c r="B19" s="137">
        <v>201</v>
      </c>
      <c r="C19" s="138">
        <v>17178</v>
      </c>
      <c r="D19" s="138">
        <v>4099</v>
      </c>
      <c r="E19" s="138">
        <v>9126</v>
      </c>
      <c r="F19" s="138">
        <v>30403</v>
      </c>
      <c r="G19" s="138">
        <v>0</v>
      </c>
      <c r="H19" s="139">
        <v>1250.3900000000001</v>
      </c>
      <c r="I19" s="140">
        <v>1249.83</v>
      </c>
      <c r="J19" s="141"/>
      <c r="K19" s="146"/>
    </row>
    <row r="20" spans="1:11" s="72" customFormat="1" ht="27" customHeight="1" x14ac:dyDescent="0.55000000000000004">
      <c r="A20" s="87" t="s">
        <v>767</v>
      </c>
      <c r="B20" s="73">
        <v>203</v>
      </c>
      <c r="C20" s="74">
        <v>0</v>
      </c>
      <c r="D20" s="74">
        <v>4283</v>
      </c>
      <c r="E20" s="74">
        <v>858</v>
      </c>
      <c r="F20" s="74">
        <v>5141</v>
      </c>
      <c r="G20" s="74">
        <v>0</v>
      </c>
      <c r="H20" s="75">
        <v>226.13</v>
      </c>
      <c r="I20" s="78">
        <v>226.13</v>
      </c>
      <c r="J20" s="76"/>
      <c r="K20" s="146"/>
    </row>
    <row r="21" spans="1:11" s="72" customFormat="1" ht="27" customHeight="1" x14ac:dyDescent="0.55000000000000004">
      <c r="A21" s="136" t="s">
        <v>763</v>
      </c>
      <c r="B21" s="137">
        <v>410</v>
      </c>
      <c r="C21" s="138">
        <v>1864</v>
      </c>
      <c r="D21" s="138">
        <v>69</v>
      </c>
      <c r="E21" s="138">
        <v>0</v>
      </c>
      <c r="F21" s="138">
        <v>1933</v>
      </c>
      <c r="G21" s="138">
        <v>0</v>
      </c>
      <c r="H21" s="139">
        <v>65.010000000000005</v>
      </c>
      <c r="I21" s="140">
        <v>64.78</v>
      </c>
      <c r="J21" s="141"/>
      <c r="K21" s="146"/>
    </row>
    <row r="22" spans="1:11" s="72" customFormat="1" ht="27" customHeight="1" x14ac:dyDescent="0.55000000000000004">
      <c r="A22" s="87" t="s">
        <v>764</v>
      </c>
      <c r="B22" s="73">
        <v>411</v>
      </c>
      <c r="C22" s="74">
        <v>0</v>
      </c>
      <c r="D22" s="74">
        <v>0</v>
      </c>
      <c r="E22" s="74">
        <v>0</v>
      </c>
      <c r="F22" s="74">
        <v>0</v>
      </c>
      <c r="G22" s="74">
        <v>91</v>
      </c>
      <c r="H22" s="75">
        <v>91</v>
      </c>
      <c r="I22" s="78">
        <v>91</v>
      </c>
      <c r="J22" s="76"/>
      <c r="K22" s="146"/>
    </row>
    <row r="23" spans="1:11" s="72" customFormat="1" ht="27" customHeight="1" x14ac:dyDescent="0.55000000000000004">
      <c r="A23" s="136" t="s">
        <v>765</v>
      </c>
      <c r="B23" s="137">
        <v>4951</v>
      </c>
      <c r="C23" s="138">
        <v>0</v>
      </c>
      <c r="D23" s="138">
        <v>0</v>
      </c>
      <c r="E23" s="138">
        <v>0</v>
      </c>
      <c r="F23" s="138">
        <v>0</v>
      </c>
      <c r="G23" s="138">
        <v>422</v>
      </c>
      <c r="H23" s="139">
        <v>422</v>
      </c>
      <c r="I23" s="140">
        <v>422</v>
      </c>
      <c r="J23" s="141"/>
      <c r="K23" s="146"/>
    </row>
    <row r="24" spans="1:11" s="72" customFormat="1" ht="27" customHeight="1" x14ac:dyDescent="0.55000000000000004">
      <c r="A24" s="87" t="s">
        <v>756</v>
      </c>
      <c r="B24" s="73">
        <v>4954</v>
      </c>
      <c r="C24" s="74">
        <v>0</v>
      </c>
      <c r="D24" s="74">
        <v>1941</v>
      </c>
      <c r="E24" s="74">
        <v>9180</v>
      </c>
      <c r="F24" s="74">
        <v>11121</v>
      </c>
      <c r="G24" s="74">
        <v>0</v>
      </c>
      <c r="H24" s="75">
        <v>590.88</v>
      </c>
      <c r="I24" s="78">
        <v>555.38</v>
      </c>
      <c r="J24" s="76"/>
      <c r="K24" s="146"/>
    </row>
    <row r="25" spans="1:11" s="72" customFormat="1" ht="27" customHeight="1" x14ac:dyDescent="0.55000000000000004">
      <c r="A25" s="136" t="s">
        <v>762</v>
      </c>
      <c r="B25" s="137">
        <v>6956</v>
      </c>
      <c r="C25" s="138">
        <v>0</v>
      </c>
      <c r="D25" s="138">
        <v>16164</v>
      </c>
      <c r="E25" s="138">
        <v>7858</v>
      </c>
      <c r="F25" s="138">
        <v>24022</v>
      </c>
      <c r="G25" s="138">
        <v>0</v>
      </c>
      <c r="H25" s="139">
        <v>1110.06</v>
      </c>
      <c r="I25" s="140">
        <v>1107.8900000000001</v>
      </c>
      <c r="J25" s="141"/>
      <c r="K25" s="146"/>
    </row>
    <row r="26" spans="1:11" s="72" customFormat="1" ht="27" customHeight="1" x14ac:dyDescent="0.55000000000000004">
      <c r="A26" s="87" t="s">
        <v>760</v>
      </c>
      <c r="B26" s="73">
        <v>9348</v>
      </c>
      <c r="C26" s="74">
        <v>0</v>
      </c>
      <c r="D26" s="74">
        <v>0</v>
      </c>
      <c r="E26" s="74">
        <v>0</v>
      </c>
      <c r="F26" s="74">
        <v>0</v>
      </c>
      <c r="G26" s="74">
        <v>966</v>
      </c>
      <c r="H26" s="75">
        <v>966</v>
      </c>
      <c r="I26" s="78">
        <v>966</v>
      </c>
      <c r="J26" s="76"/>
      <c r="K26" s="146"/>
    </row>
    <row r="27" spans="1:11" s="72" customFormat="1" ht="27" customHeight="1" x14ac:dyDescent="0.55000000000000004">
      <c r="A27" s="136" t="s">
        <v>766</v>
      </c>
      <c r="B27" s="137">
        <v>109348</v>
      </c>
      <c r="C27" s="138">
        <v>0</v>
      </c>
      <c r="D27" s="138">
        <v>952</v>
      </c>
      <c r="E27" s="138">
        <v>0</v>
      </c>
      <c r="F27" s="138">
        <v>952</v>
      </c>
      <c r="G27" s="138">
        <v>0</v>
      </c>
      <c r="H27" s="139">
        <v>39.67</v>
      </c>
      <c r="I27" s="140">
        <v>39.67</v>
      </c>
      <c r="J27" s="141"/>
      <c r="K27" s="146"/>
    </row>
    <row r="28" spans="1:11" s="72" customFormat="1" ht="27" customHeight="1" x14ac:dyDescent="0.55000000000000004">
      <c r="A28" s="157" t="s">
        <v>42</v>
      </c>
      <c r="B28" s="158">
        <v>40</v>
      </c>
      <c r="C28" s="159">
        <f>SUBTOTAL(9,C29:C36)</f>
        <v>28056</v>
      </c>
      <c r="D28" s="159">
        <f t="shared" ref="D28:I28" si="3">SUBTOTAL(9,D29:D36)</f>
        <v>23560</v>
      </c>
      <c r="E28" s="159">
        <f t="shared" si="3"/>
        <v>14989</v>
      </c>
      <c r="F28" s="159">
        <f t="shared" si="3"/>
        <v>66605</v>
      </c>
      <c r="G28" s="159">
        <f t="shared" si="3"/>
        <v>1420</v>
      </c>
      <c r="H28" s="160">
        <f t="shared" si="3"/>
        <v>4169.59</v>
      </c>
      <c r="I28" s="160">
        <f t="shared" si="3"/>
        <v>4142.6399999999994</v>
      </c>
      <c r="J28" s="159">
        <v>352</v>
      </c>
      <c r="K28" s="146"/>
    </row>
    <row r="29" spans="1:11" s="72" customFormat="1" ht="27" customHeight="1" x14ac:dyDescent="0.55000000000000004">
      <c r="A29" s="136" t="s">
        <v>756</v>
      </c>
      <c r="B29" s="137">
        <v>301</v>
      </c>
      <c r="C29" s="138">
        <v>0</v>
      </c>
      <c r="D29" s="138">
        <v>1611</v>
      </c>
      <c r="E29" s="138">
        <v>4830</v>
      </c>
      <c r="F29" s="138">
        <v>6441</v>
      </c>
      <c r="G29" s="138">
        <v>0</v>
      </c>
      <c r="H29" s="139">
        <v>335.46</v>
      </c>
      <c r="I29" s="140">
        <v>322.57</v>
      </c>
      <c r="J29" s="141"/>
      <c r="K29" s="146"/>
    </row>
    <row r="30" spans="1:11" s="72" customFormat="1" ht="27" customHeight="1" x14ac:dyDescent="0.55000000000000004">
      <c r="A30" s="86" t="s">
        <v>761</v>
      </c>
      <c r="B30" s="73">
        <v>302</v>
      </c>
      <c r="C30" s="74">
        <v>21016</v>
      </c>
      <c r="D30" s="74">
        <v>96</v>
      </c>
      <c r="E30" s="74">
        <v>4156</v>
      </c>
      <c r="F30" s="74">
        <v>25268</v>
      </c>
      <c r="G30" s="74">
        <v>0</v>
      </c>
      <c r="H30" s="75">
        <v>935.42</v>
      </c>
      <c r="I30" s="78">
        <v>929.19</v>
      </c>
      <c r="J30" s="76"/>
      <c r="K30" s="146"/>
    </row>
    <row r="31" spans="1:11" s="72" customFormat="1" ht="27" customHeight="1" x14ac:dyDescent="0.55000000000000004">
      <c r="A31" s="136" t="s">
        <v>757</v>
      </c>
      <c r="B31" s="137">
        <v>303</v>
      </c>
      <c r="C31" s="138">
        <v>5564</v>
      </c>
      <c r="D31" s="138">
        <v>21518</v>
      </c>
      <c r="E31" s="138">
        <v>6003</v>
      </c>
      <c r="F31" s="138">
        <v>33085</v>
      </c>
      <c r="G31" s="138">
        <v>0</v>
      </c>
      <c r="H31" s="139">
        <v>1415.55</v>
      </c>
      <c r="I31" s="140">
        <v>1407.72</v>
      </c>
      <c r="J31" s="141"/>
      <c r="K31" s="146"/>
    </row>
    <row r="32" spans="1:11" s="72" customFormat="1" ht="27" customHeight="1" x14ac:dyDescent="0.55000000000000004">
      <c r="A32" s="86" t="s">
        <v>769</v>
      </c>
      <c r="B32" s="73">
        <v>304</v>
      </c>
      <c r="C32" s="74">
        <v>0</v>
      </c>
      <c r="D32" s="74">
        <v>0</v>
      </c>
      <c r="E32" s="74">
        <v>0</v>
      </c>
      <c r="F32" s="74">
        <v>0</v>
      </c>
      <c r="G32" s="74">
        <v>102</v>
      </c>
      <c r="H32" s="75">
        <v>102</v>
      </c>
      <c r="I32" s="78">
        <v>102</v>
      </c>
      <c r="J32" s="76"/>
      <c r="K32" s="146"/>
    </row>
    <row r="33" spans="1:11" s="72" customFormat="1" ht="27" customHeight="1" x14ac:dyDescent="0.55000000000000004">
      <c r="A33" s="136" t="s">
        <v>766</v>
      </c>
      <c r="B33" s="137">
        <v>305</v>
      </c>
      <c r="C33" s="138">
        <v>0</v>
      </c>
      <c r="D33" s="138">
        <v>335</v>
      </c>
      <c r="E33" s="138">
        <v>0</v>
      </c>
      <c r="F33" s="138">
        <v>335</v>
      </c>
      <c r="G33" s="138">
        <v>0</v>
      </c>
      <c r="H33" s="139">
        <v>13.96</v>
      </c>
      <c r="I33" s="140">
        <v>13.96</v>
      </c>
      <c r="J33" s="141"/>
      <c r="K33" s="146"/>
    </row>
    <row r="34" spans="1:11" s="72" customFormat="1" ht="27" customHeight="1" x14ac:dyDescent="0.55000000000000004">
      <c r="A34" s="86" t="s">
        <v>768</v>
      </c>
      <c r="B34" s="73">
        <v>311</v>
      </c>
      <c r="C34" s="74">
        <v>1476</v>
      </c>
      <c r="D34" s="74">
        <v>0</v>
      </c>
      <c r="E34" s="74">
        <v>0</v>
      </c>
      <c r="F34" s="74">
        <v>1476</v>
      </c>
      <c r="G34" s="74">
        <v>0</v>
      </c>
      <c r="H34" s="75">
        <v>49.2</v>
      </c>
      <c r="I34" s="78">
        <v>49.2</v>
      </c>
      <c r="J34" s="76"/>
      <c r="K34" s="146"/>
    </row>
    <row r="35" spans="1:11" s="72" customFormat="1" ht="27" customHeight="1" x14ac:dyDescent="0.55000000000000004">
      <c r="A35" s="136" t="s">
        <v>760</v>
      </c>
      <c r="B35" s="137">
        <v>3659</v>
      </c>
      <c r="C35" s="138">
        <v>0</v>
      </c>
      <c r="D35" s="138">
        <v>0</v>
      </c>
      <c r="E35" s="138">
        <v>0</v>
      </c>
      <c r="F35" s="138">
        <v>0</v>
      </c>
      <c r="G35" s="138">
        <v>896</v>
      </c>
      <c r="H35" s="139">
        <v>896</v>
      </c>
      <c r="I35" s="140">
        <v>896</v>
      </c>
      <c r="J35" s="141"/>
      <c r="K35" s="146"/>
    </row>
    <row r="36" spans="1:11" s="72" customFormat="1" ht="27" customHeight="1" x14ac:dyDescent="0.55000000000000004">
      <c r="A36" s="86" t="s">
        <v>765</v>
      </c>
      <c r="B36" s="73">
        <v>9799</v>
      </c>
      <c r="C36" s="74">
        <v>0</v>
      </c>
      <c r="D36" s="74">
        <v>0</v>
      </c>
      <c r="E36" s="74">
        <v>0</v>
      </c>
      <c r="F36" s="74">
        <v>0</v>
      </c>
      <c r="G36" s="74">
        <v>422</v>
      </c>
      <c r="H36" s="75">
        <v>422</v>
      </c>
      <c r="I36" s="78">
        <v>422</v>
      </c>
      <c r="J36" s="76"/>
      <c r="K36" s="146"/>
    </row>
    <row r="37" spans="1:11" s="72" customFormat="1" ht="27" customHeight="1" x14ac:dyDescent="0.55000000000000004">
      <c r="A37" s="157" t="s">
        <v>43</v>
      </c>
      <c r="B37" s="158">
        <v>25554</v>
      </c>
      <c r="C37" s="159">
        <v>10698</v>
      </c>
      <c r="D37" s="159">
        <v>758</v>
      </c>
      <c r="E37" s="159">
        <v>0</v>
      </c>
      <c r="F37" s="159">
        <v>11456</v>
      </c>
      <c r="G37" s="159">
        <v>0</v>
      </c>
      <c r="H37" s="160">
        <v>388.18</v>
      </c>
      <c r="I37" s="160">
        <v>382.82</v>
      </c>
      <c r="J37" s="161">
        <v>873</v>
      </c>
      <c r="K37" s="146"/>
    </row>
    <row r="38" spans="1:11" s="72" customFormat="1" ht="27" customHeight="1" x14ac:dyDescent="0.55000000000000004">
      <c r="A38" s="157" t="s">
        <v>44</v>
      </c>
      <c r="B38" s="158">
        <v>42439</v>
      </c>
      <c r="C38" s="159">
        <f>SUBTOTAL(9,C39:C41)</f>
        <v>0</v>
      </c>
      <c r="D38" s="159">
        <f t="shared" ref="D38:I38" si="4">SUBTOTAL(9,D39:D41)</f>
        <v>1587</v>
      </c>
      <c r="E38" s="159">
        <f t="shared" si="4"/>
        <v>0</v>
      </c>
      <c r="F38" s="159">
        <f t="shared" si="4"/>
        <v>1587</v>
      </c>
      <c r="G38" s="159">
        <f t="shared" si="4"/>
        <v>80</v>
      </c>
      <c r="H38" s="160">
        <f t="shared" si="4"/>
        <v>146.13</v>
      </c>
      <c r="I38" s="160">
        <f t="shared" si="4"/>
        <v>146.13</v>
      </c>
      <c r="J38" s="159">
        <v>10</v>
      </c>
      <c r="K38" s="146"/>
    </row>
    <row r="39" spans="1:11" s="72" customFormat="1" ht="27" customHeight="1" x14ac:dyDescent="0.55000000000000004">
      <c r="A39" s="136" t="s">
        <v>1789</v>
      </c>
      <c r="B39" s="137">
        <v>429</v>
      </c>
      <c r="C39" s="138">
        <v>0</v>
      </c>
      <c r="D39" s="138">
        <v>1083</v>
      </c>
      <c r="E39" s="138">
        <v>0</v>
      </c>
      <c r="F39" s="138">
        <v>1083</v>
      </c>
      <c r="G39" s="138">
        <v>0</v>
      </c>
      <c r="H39" s="139">
        <v>45.13</v>
      </c>
      <c r="I39" s="140">
        <v>45.13</v>
      </c>
      <c r="J39" s="141"/>
      <c r="K39" s="146"/>
    </row>
    <row r="40" spans="1:11" s="72" customFormat="1" ht="27" customHeight="1" x14ac:dyDescent="0.55000000000000004">
      <c r="A40" s="86" t="s">
        <v>1790</v>
      </c>
      <c r="B40" s="73">
        <v>430</v>
      </c>
      <c r="C40" s="74">
        <v>0</v>
      </c>
      <c r="D40" s="74">
        <v>0</v>
      </c>
      <c r="E40" s="74">
        <v>0</v>
      </c>
      <c r="F40" s="74">
        <v>0</v>
      </c>
      <c r="G40" s="74">
        <v>80</v>
      </c>
      <c r="H40" s="75">
        <v>80</v>
      </c>
      <c r="I40" s="78">
        <v>80</v>
      </c>
      <c r="J40" s="76"/>
      <c r="K40" s="146"/>
    </row>
    <row r="41" spans="1:11" s="72" customFormat="1" ht="27" customHeight="1" x14ac:dyDescent="0.55000000000000004">
      <c r="A41" s="136" t="s">
        <v>770</v>
      </c>
      <c r="B41" s="137">
        <v>431</v>
      </c>
      <c r="C41" s="138">
        <v>0</v>
      </c>
      <c r="D41" s="138">
        <v>504</v>
      </c>
      <c r="E41" s="138">
        <v>0</v>
      </c>
      <c r="F41" s="138">
        <v>504</v>
      </c>
      <c r="G41" s="138">
        <v>0</v>
      </c>
      <c r="H41" s="139">
        <v>21</v>
      </c>
      <c r="I41" s="140">
        <v>21</v>
      </c>
      <c r="J41" s="141"/>
      <c r="K41" s="146"/>
    </row>
    <row r="42" spans="1:11" s="72" customFormat="1" ht="27" customHeight="1" x14ac:dyDescent="0.55000000000000004">
      <c r="A42" s="157" t="s">
        <v>45</v>
      </c>
      <c r="B42" s="158">
        <v>89</v>
      </c>
      <c r="C42" s="159">
        <f>SUBTOTAL(9,C43:C50)</f>
        <v>37302</v>
      </c>
      <c r="D42" s="159">
        <f t="shared" ref="D42:I42" si="5">SUBTOTAL(9,D43:D50)</f>
        <v>27181</v>
      </c>
      <c r="E42" s="159">
        <f t="shared" si="5"/>
        <v>4095</v>
      </c>
      <c r="F42" s="159">
        <f t="shared" si="5"/>
        <v>68578</v>
      </c>
      <c r="G42" s="159">
        <f t="shared" si="5"/>
        <v>1320</v>
      </c>
      <c r="H42" s="160">
        <f t="shared" si="5"/>
        <v>3923.44</v>
      </c>
      <c r="I42" s="160">
        <f t="shared" si="5"/>
        <v>3915.51</v>
      </c>
      <c r="J42" s="159">
        <v>274</v>
      </c>
      <c r="K42" s="146"/>
    </row>
    <row r="43" spans="1:11" s="72" customFormat="1" ht="27" customHeight="1" x14ac:dyDescent="0.55000000000000004">
      <c r="A43" s="136" t="s">
        <v>776</v>
      </c>
      <c r="B43" s="137">
        <v>79</v>
      </c>
      <c r="C43" s="138">
        <v>15150</v>
      </c>
      <c r="D43" s="138">
        <v>2144</v>
      </c>
      <c r="E43" s="138">
        <v>489</v>
      </c>
      <c r="F43" s="138">
        <v>17783</v>
      </c>
      <c r="G43" s="138">
        <v>0</v>
      </c>
      <c r="H43" s="139">
        <v>621.5</v>
      </c>
      <c r="I43" s="140">
        <v>614.07000000000005</v>
      </c>
      <c r="J43" s="141"/>
      <c r="K43" s="146"/>
    </row>
    <row r="44" spans="1:11" s="72" customFormat="1" ht="27" customHeight="1" x14ac:dyDescent="0.55000000000000004">
      <c r="A44" s="86" t="s">
        <v>774</v>
      </c>
      <c r="B44" s="73">
        <v>80</v>
      </c>
      <c r="C44" s="74">
        <v>0</v>
      </c>
      <c r="D44" s="74">
        <v>0</v>
      </c>
      <c r="E44" s="74">
        <v>0</v>
      </c>
      <c r="F44" s="74">
        <v>0</v>
      </c>
      <c r="G44" s="74">
        <v>807</v>
      </c>
      <c r="H44" s="75">
        <v>807</v>
      </c>
      <c r="I44" s="78">
        <v>807</v>
      </c>
      <c r="J44" s="76"/>
      <c r="K44" s="146"/>
    </row>
    <row r="45" spans="1:11" s="72" customFormat="1" ht="27" customHeight="1" x14ac:dyDescent="0.55000000000000004">
      <c r="A45" s="136" t="s">
        <v>778</v>
      </c>
      <c r="B45" s="137">
        <v>87</v>
      </c>
      <c r="C45" s="138">
        <v>20018</v>
      </c>
      <c r="D45" s="138">
        <v>6822</v>
      </c>
      <c r="E45" s="138">
        <v>1135</v>
      </c>
      <c r="F45" s="138">
        <v>27975</v>
      </c>
      <c r="G45" s="138">
        <v>0</v>
      </c>
      <c r="H45" s="139">
        <v>1014.57</v>
      </c>
      <c r="I45" s="140">
        <v>1014.07</v>
      </c>
      <c r="J45" s="141"/>
      <c r="K45" s="146"/>
    </row>
    <row r="46" spans="1:11" s="72" customFormat="1" ht="27" customHeight="1" x14ac:dyDescent="0.55000000000000004">
      <c r="A46" s="86" t="s">
        <v>777</v>
      </c>
      <c r="B46" s="73">
        <v>88</v>
      </c>
      <c r="C46" s="74">
        <v>0</v>
      </c>
      <c r="D46" s="74">
        <v>16469</v>
      </c>
      <c r="E46" s="74">
        <v>621</v>
      </c>
      <c r="F46" s="74">
        <v>17090</v>
      </c>
      <c r="G46" s="74">
        <v>0</v>
      </c>
      <c r="H46" s="75">
        <v>720.71</v>
      </c>
      <c r="I46" s="78">
        <v>720.71</v>
      </c>
      <c r="J46" s="76"/>
      <c r="K46" s="146"/>
    </row>
    <row r="47" spans="1:11" s="72" customFormat="1" ht="27" customHeight="1" x14ac:dyDescent="0.55000000000000004">
      <c r="A47" s="136" t="s">
        <v>775</v>
      </c>
      <c r="B47" s="137">
        <v>180</v>
      </c>
      <c r="C47" s="138">
        <v>216</v>
      </c>
      <c r="D47" s="138">
        <v>1633</v>
      </c>
      <c r="E47" s="138">
        <v>1695</v>
      </c>
      <c r="F47" s="138">
        <v>3544</v>
      </c>
      <c r="G47" s="138">
        <v>0</v>
      </c>
      <c r="H47" s="139">
        <v>169.41</v>
      </c>
      <c r="I47" s="140">
        <v>169.41</v>
      </c>
      <c r="J47" s="141"/>
      <c r="K47" s="146"/>
    </row>
    <row r="48" spans="1:11" s="72" customFormat="1" ht="27" customHeight="1" x14ac:dyDescent="0.55000000000000004">
      <c r="A48" s="86" t="s">
        <v>773</v>
      </c>
      <c r="B48" s="73">
        <v>405</v>
      </c>
      <c r="C48" s="74">
        <v>1918</v>
      </c>
      <c r="D48" s="74">
        <v>0</v>
      </c>
      <c r="E48" s="74">
        <v>0</v>
      </c>
      <c r="F48" s="74">
        <v>1918</v>
      </c>
      <c r="G48" s="74">
        <v>0</v>
      </c>
      <c r="H48" s="75">
        <v>63.93</v>
      </c>
      <c r="I48" s="78">
        <v>63.93</v>
      </c>
      <c r="J48" s="76"/>
      <c r="K48" s="146"/>
    </row>
    <row r="49" spans="1:11" s="72" customFormat="1" ht="27" customHeight="1" x14ac:dyDescent="0.55000000000000004">
      <c r="A49" s="136" t="s">
        <v>771</v>
      </c>
      <c r="B49" s="137">
        <v>406</v>
      </c>
      <c r="C49" s="138">
        <v>0</v>
      </c>
      <c r="D49" s="138">
        <v>113</v>
      </c>
      <c r="E49" s="138">
        <v>155</v>
      </c>
      <c r="F49" s="138">
        <v>268</v>
      </c>
      <c r="G49" s="138">
        <v>99</v>
      </c>
      <c r="H49" s="139">
        <v>112.32</v>
      </c>
      <c r="I49" s="140">
        <v>112.32</v>
      </c>
      <c r="J49" s="141"/>
      <c r="K49" s="146"/>
    </row>
    <row r="50" spans="1:11" s="72" customFormat="1" ht="27" customHeight="1" x14ac:dyDescent="0.55000000000000004">
      <c r="A50" s="86" t="s">
        <v>772</v>
      </c>
      <c r="B50" s="73">
        <v>4948</v>
      </c>
      <c r="C50" s="74">
        <v>0</v>
      </c>
      <c r="D50" s="74">
        <v>0</v>
      </c>
      <c r="E50" s="74">
        <v>0</v>
      </c>
      <c r="F50" s="74">
        <v>0</v>
      </c>
      <c r="G50" s="74">
        <v>414</v>
      </c>
      <c r="H50" s="75">
        <v>414</v>
      </c>
      <c r="I50" s="78">
        <v>414</v>
      </c>
      <c r="J50" s="76"/>
      <c r="K50" s="146"/>
    </row>
    <row r="51" spans="1:11" s="72" customFormat="1" ht="27" customHeight="1" x14ac:dyDescent="0.55000000000000004">
      <c r="A51" s="157" t="s">
        <v>46</v>
      </c>
      <c r="B51" s="158">
        <v>130</v>
      </c>
      <c r="C51" s="159">
        <f>SUBTOTAL(9,C52:C56)</f>
        <v>343</v>
      </c>
      <c r="D51" s="159">
        <f t="shared" ref="D51:I51" si="6">SUBTOTAL(9,D52:D56)</f>
        <v>39582</v>
      </c>
      <c r="E51" s="159">
        <f t="shared" si="6"/>
        <v>2046</v>
      </c>
      <c r="F51" s="159">
        <f t="shared" si="6"/>
        <v>41971</v>
      </c>
      <c r="G51" s="159">
        <f t="shared" si="6"/>
        <v>935</v>
      </c>
      <c r="H51" s="160">
        <f t="shared" si="6"/>
        <v>2709.3559999999998</v>
      </c>
      <c r="I51" s="160">
        <f t="shared" si="6"/>
        <v>2709.36</v>
      </c>
      <c r="J51" s="159">
        <v>81</v>
      </c>
      <c r="K51" s="146"/>
    </row>
    <row r="52" spans="1:11" s="72" customFormat="1" ht="27" customHeight="1" x14ac:dyDescent="0.55000000000000004">
      <c r="A52" s="86" t="s">
        <v>756</v>
      </c>
      <c r="B52" s="73">
        <v>131</v>
      </c>
      <c r="C52" s="74">
        <v>343</v>
      </c>
      <c r="D52" s="74">
        <v>11378</v>
      </c>
      <c r="E52" s="74">
        <v>1800</v>
      </c>
      <c r="F52" s="74">
        <v>13521</v>
      </c>
      <c r="G52" s="74">
        <v>0</v>
      </c>
      <c r="H52" s="75">
        <v>585.52</v>
      </c>
      <c r="I52" s="78">
        <v>585.52</v>
      </c>
      <c r="J52" s="76"/>
      <c r="K52" s="146"/>
    </row>
    <row r="53" spans="1:11" s="72" customFormat="1" ht="27" customHeight="1" x14ac:dyDescent="0.55000000000000004">
      <c r="A53" s="136" t="s">
        <v>757</v>
      </c>
      <c r="B53" s="137">
        <v>133</v>
      </c>
      <c r="C53" s="138">
        <v>0</v>
      </c>
      <c r="D53" s="138">
        <v>13383</v>
      </c>
      <c r="E53" s="138">
        <v>0</v>
      </c>
      <c r="F53" s="138">
        <v>13383</v>
      </c>
      <c r="G53" s="138">
        <v>0</v>
      </c>
      <c r="H53" s="139">
        <v>557.63</v>
      </c>
      <c r="I53" s="140">
        <v>557.63</v>
      </c>
      <c r="J53" s="141"/>
      <c r="K53" s="146"/>
    </row>
    <row r="54" spans="1:11" s="72" customFormat="1" ht="27" customHeight="1" x14ac:dyDescent="0.55000000000000004">
      <c r="A54" s="86" t="s">
        <v>762</v>
      </c>
      <c r="B54" s="73">
        <v>134</v>
      </c>
      <c r="C54" s="74">
        <v>0</v>
      </c>
      <c r="D54" s="74">
        <v>3067</v>
      </c>
      <c r="E54" s="74">
        <v>246</v>
      </c>
      <c r="F54" s="74">
        <v>3313</v>
      </c>
      <c r="G54" s="74">
        <v>0</v>
      </c>
      <c r="H54" s="75">
        <v>141.45599999999999</v>
      </c>
      <c r="I54" s="78">
        <v>141.46</v>
      </c>
      <c r="J54" s="76"/>
      <c r="K54" s="146"/>
    </row>
    <row r="55" spans="1:11" s="72" customFormat="1" ht="27" customHeight="1" x14ac:dyDescent="0.55000000000000004">
      <c r="A55" s="136" t="s">
        <v>779</v>
      </c>
      <c r="B55" s="137">
        <v>136</v>
      </c>
      <c r="C55" s="138">
        <v>0</v>
      </c>
      <c r="D55" s="138">
        <v>11754</v>
      </c>
      <c r="E55" s="138">
        <v>0</v>
      </c>
      <c r="F55" s="138">
        <v>11754</v>
      </c>
      <c r="G55" s="138">
        <v>0</v>
      </c>
      <c r="H55" s="139">
        <v>489.75</v>
      </c>
      <c r="I55" s="140">
        <v>489.75</v>
      </c>
      <c r="J55" s="141"/>
      <c r="K55" s="146"/>
    </row>
    <row r="56" spans="1:11" s="72" customFormat="1" ht="27" customHeight="1" x14ac:dyDescent="0.55000000000000004">
      <c r="A56" s="86" t="s">
        <v>780</v>
      </c>
      <c r="B56" s="73">
        <v>9768</v>
      </c>
      <c r="C56" s="74">
        <v>0</v>
      </c>
      <c r="D56" s="74">
        <v>0</v>
      </c>
      <c r="E56" s="74">
        <v>0</v>
      </c>
      <c r="F56" s="74">
        <v>0</v>
      </c>
      <c r="G56" s="74">
        <v>935</v>
      </c>
      <c r="H56" s="75">
        <v>935</v>
      </c>
      <c r="I56" s="78">
        <v>935</v>
      </c>
      <c r="J56" s="76"/>
      <c r="K56" s="146"/>
    </row>
    <row r="57" spans="1:11" s="72" customFormat="1" ht="27" customHeight="1" x14ac:dyDescent="0.55000000000000004">
      <c r="A57" s="157" t="s">
        <v>47</v>
      </c>
      <c r="B57" s="158">
        <v>412</v>
      </c>
      <c r="C57" s="159">
        <f>SUBTOTAL(9,C58:C63)</f>
        <v>55904</v>
      </c>
      <c r="D57" s="159">
        <f t="shared" ref="D57:I57" si="7">SUBTOTAL(9,D58:D63)</f>
        <v>59962</v>
      </c>
      <c r="E57" s="159">
        <f t="shared" si="7"/>
        <v>10285</v>
      </c>
      <c r="F57" s="159">
        <f t="shared" si="7"/>
        <v>126151</v>
      </c>
      <c r="G57" s="159">
        <f t="shared" si="7"/>
        <v>716</v>
      </c>
      <c r="H57" s="160">
        <f t="shared" si="7"/>
        <v>5649.28</v>
      </c>
      <c r="I57" s="160">
        <f t="shared" si="7"/>
        <v>5628.68</v>
      </c>
      <c r="J57" s="159">
        <v>73</v>
      </c>
      <c r="K57" s="146"/>
    </row>
    <row r="58" spans="1:11" s="72" customFormat="1" ht="27" customHeight="1" x14ac:dyDescent="0.55000000000000004">
      <c r="A58" s="88" t="s">
        <v>782</v>
      </c>
      <c r="B58" s="77">
        <v>413</v>
      </c>
      <c r="C58" s="74">
        <v>7380</v>
      </c>
      <c r="D58" s="74">
        <v>31379</v>
      </c>
      <c r="E58" s="74">
        <v>6224</v>
      </c>
      <c r="F58" s="74">
        <v>44983</v>
      </c>
      <c r="G58" s="74">
        <v>0</v>
      </c>
      <c r="H58" s="75">
        <v>1899.24</v>
      </c>
      <c r="I58" s="78">
        <v>1892.34</v>
      </c>
      <c r="J58" s="76"/>
      <c r="K58" s="146"/>
    </row>
    <row r="59" spans="1:11" s="72" customFormat="1" ht="27" customHeight="1" x14ac:dyDescent="0.55000000000000004">
      <c r="A59" s="142" t="s">
        <v>779</v>
      </c>
      <c r="B59" s="143">
        <v>416</v>
      </c>
      <c r="C59" s="138">
        <v>0</v>
      </c>
      <c r="D59" s="138">
        <v>15769</v>
      </c>
      <c r="E59" s="138">
        <v>0</v>
      </c>
      <c r="F59" s="138">
        <v>15769</v>
      </c>
      <c r="G59" s="138">
        <v>0</v>
      </c>
      <c r="H59" s="139">
        <v>657.04</v>
      </c>
      <c r="I59" s="140">
        <v>657.04</v>
      </c>
      <c r="J59" s="141"/>
      <c r="K59" s="146"/>
    </row>
    <row r="60" spans="1:11" s="72" customFormat="1" ht="27" customHeight="1" x14ac:dyDescent="0.55000000000000004">
      <c r="A60" s="88" t="s">
        <v>781</v>
      </c>
      <c r="B60" s="77">
        <v>419</v>
      </c>
      <c r="C60" s="74">
        <v>0</v>
      </c>
      <c r="D60" s="74">
        <v>2553</v>
      </c>
      <c r="E60" s="74">
        <v>0</v>
      </c>
      <c r="F60" s="74">
        <v>2553</v>
      </c>
      <c r="G60" s="74">
        <v>0</v>
      </c>
      <c r="H60" s="75">
        <v>106.38</v>
      </c>
      <c r="I60" s="78">
        <v>106.38</v>
      </c>
      <c r="J60" s="76"/>
      <c r="K60" s="146"/>
    </row>
    <row r="61" spans="1:11" s="72" customFormat="1" ht="27" customHeight="1" x14ac:dyDescent="0.55000000000000004">
      <c r="A61" s="142" t="s">
        <v>783</v>
      </c>
      <c r="B61" s="143">
        <v>10674</v>
      </c>
      <c r="C61" s="138">
        <v>0</v>
      </c>
      <c r="D61" s="138">
        <v>0</v>
      </c>
      <c r="E61" s="138">
        <v>0</v>
      </c>
      <c r="F61" s="138">
        <v>0</v>
      </c>
      <c r="G61" s="138">
        <v>716</v>
      </c>
      <c r="H61" s="139">
        <v>716</v>
      </c>
      <c r="I61" s="140">
        <v>716</v>
      </c>
      <c r="J61" s="141"/>
      <c r="K61" s="146"/>
    </row>
    <row r="62" spans="1:11" s="72" customFormat="1" ht="27" customHeight="1" x14ac:dyDescent="0.55000000000000004">
      <c r="A62" s="88" t="s">
        <v>761</v>
      </c>
      <c r="B62" s="77">
        <v>110674</v>
      </c>
      <c r="C62" s="74">
        <v>48524</v>
      </c>
      <c r="D62" s="74">
        <v>9088</v>
      </c>
      <c r="E62" s="74">
        <v>2111</v>
      </c>
      <c r="F62" s="74">
        <v>59723</v>
      </c>
      <c r="G62" s="74">
        <v>0</v>
      </c>
      <c r="H62" s="75">
        <v>2113.41</v>
      </c>
      <c r="I62" s="78">
        <v>2102.54</v>
      </c>
      <c r="J62" s="76"/>
      <c r="K62" s="146"/>
    </row>
    <row r="63" spans="1:11" s="72" customFormat="1" ht="27" customHeight="1" x14ac:dyDescent="0.55000000000000004">
      <c r="A63" s="142" t="s">
        <v>756</v>
      </c>
      <c r="B63" s="143">
        <v>210674</v>
      </c>
      <c r="C63" s="138">
        <v>0</v>
      </c>
      <c r="D63" s="138">
        <v>1173</v>
      </c>
      <c r="E63" s="138">
        <v>1950</v>
      </c>
      <c r="F63" s="138">
        <v>3123</v>
      </c>
      <c r="G63" s="138">
        <v>0</v>
      </c>
      <c r="H63" s="139">
        <v>157.21</v>
      </c>
      <c r="I63" s="140">
        <v>154.38</v>
      </c>
      <c r="J63" s="141"/>
      <c r="K63" s="146"/>
    </row>
    <row r="64" spans="1:11" s="72" customFormat="1" ht="27" customHeight="1" x14ac:dyDescent="0.55000000000000004">
      <c r="A64" s="157" t="s">
        <v>48</v>
      </c>
      <c r="B64" s="158">
        <v>862</v>
      </c>
      <c r="C64" s="159">
        <f>SUBTOTAL(9,C65:C68)</f>
        <v>10134</v>
      </c>
      <c r="D64" s="159">
        <f t="shared" ref="D64:I64" si="8">SUBTOTAL(9,D65:D68)</f>
        <v>984</v>
      </c>
      <c r="E64" s="159">
        <f t="shared" si="8"/>
        <v>0</v>
      </c>
      <c r="F64" s="159">
        <f t="shared" si="8"/>
        <v>11118</v>
      </c>
      <c r="G64" s="159">
        <f t="shared" si="8"/>
        <v>635</v>
      </c>
      <c r="H64" s="160">
        <f t="shared" si="8"/>
        <v>1013.8100000000001</v>
      </c>
      <c r="I64" s="160">
        <f t="shared" si="8"/>
        <v>1006.77</v>
      </c>
      <c r="J64" s="159">
        <v>20</v>
      </c>
      <c r="K64" s="146"/>
    </row>
    <row r="65" spans="1:23" s="72" customFormat="1" ht="27" customHeight="1" x14ac:dyDescent="0.55000000000000004">
      <c r="A65" s="136" t="s">
        <v>785</v>
      </c>
      <c r="B65" s="137">
        <v>418</v>
      </c>
      <c r="C65" s="138">
        <v>0</v>
      </c>
      <c r="D65" s="138">
        <v>0</v>
      </c>
      <c r="E65" s="138">
        <v>0</v>
      </c>
      <c r="F65" s="138">
        <v>0</v>
      </c>
      <c r="G65" s="138">
        <v>474</v>
      </c>
      <c r="H65" s="139">
        <v>474</v>
      </c>
      <c r="I65" s="140">
        <v>474</v>
      </c>
      <c r="J65" s="141"/>
      <c r="K65" s="146"/>
    </row>
    <row r="66" spans="1:23" s="72" customFormat="1" ht="27" customHeight="1" x14ac:dyDescent="0.55000000000000004">
      <c r="A66" s="86" t="s">
        <v>786</v>
      </c>
      <c r="B66" s="73">
        <v>421</v>
      </c>
      <c r="C66" s="74">
        <v>0</v>
      </c>
      <c r="D66" s="74">
        <v>0</v>
      </c>
      <c r="E66" s="74">
        <v>0</v>
      </c>
      <c r="F66" s="74">
        <v>0</v>
      </c>
      <c r="G66" s="74">
        <v>161</v>
      </c>
      <c r="H66" s="75">
        <v>161</v>
      </c>
      <c r="I66" s="78">
        <v>161</v>
      </c>
      <c r="J66" s="76"/>
      <c r="K66" s="146"/>
    </row>
    <row r="67" spans="1:23" s="72" customFormat="1" ht="27" customHeight="1" x14ac:dyDescent="0.55000000000000004">
      <c r="A67" s="142" t="s">
        <v>784</v>
      </c>
      <c r="B67" s="143">
        <v>420</v>
      </c>
      <c r="C67" s="138">
        <v>10134</v>
      </c>
      <c r="D67" s="138">
        <v>129</v>
      </c>
      <c r="E67" s="138">
        <v>0</v>
      </c>
      <c r="F67" s="138">
        <v>10263</v>
      </c>
      <c r="G67" s="138">
        <v>0</v>
      </c>
      <c r="H67" s="139">
        <v>343.18</v>
      </c>
      <c r="I67" s="140">
        <v>336.14</v>
      </c>
      <c r="J67" s="141"/>
      <c r="K67" s="146"/>
    </row>
    <row r="68" spans="1:23" s="72" customFormat="1" ht="27" customHeight="1" x14ac:dyDescent="0.55000000000000004">
      <c r="A68" s="88" t="s">
        <v>756</v>
      </c>
      <c r="B68" s="77">
        <v>422</v>
      </c>
      <c r="C68" s="74">
        <v>0</v>
      </c>
      <c r="D68" s="74">
        <v>855</v>
      </c>
      <c r="E68" s="74">
        <v>0</v>
      </c>
      <c r="F68" s="74">
        <v>855</v>
      </c>
      <c r="G68" s="74">
        <v>0</v>
      </c>
      <c r="H68" s="75">
        <v>35.630000000000003</v>
      </c>
      <c r="I68" s="78">
        <v>35.630000000000003</v>
      </c>
      <c r="J68" s="76"/>
      <c r="K68" s="146"/>
    </row>
    <row r="69" spans="1:23" s="72" customFormat="1" ht="27" customHeight="1" x14ac:dyDescent="0.55000000000000004">
      <c r="A69" s="157" t="s">
        <v>743</v>
      </c>
      <c r="B69" s="158">
        <v>203599</v>
      </c>
      <c r="C69" s="159">
        <f>SUBTOTAL(9,C70:C71)</f>
        <v>0</v>
      </c>
      <c r="D69" s="159">
        <f t="shared" ref="D69:I69" si="9">SUBTOTAL(9,D70:D71)</f>
        <v>0</v>
      </c>
      <c r="E69" s="159">
        <f t="shared" si="9"/>
        <v>0</v>
      </c>
      <c r="F69" s="159">
        <f t="shared" si="9"/>
        <v>0</v>
      </c>
      <c r="G69" s="159">
        <f t="shared" si="9"/>
        <v>287</v>
      </c>
      <c r="H69" s="160">
        <f t="shared" si="9"/>
        <v>287</v>
      </c>
      <c r="I69" s="160">
        <f t="shared" si="9"/>
        <v>287</v>
      </c>
      <c r="J69" s="159">
        <v>33</v>
      </c>
      <c r="K69" s="146"/>
    </row>
    <row r="70" spans="1:23" s="72" customFormat="1" ht="27" customHeight="1" x14ac:dyDescent="0.55000000000000004">
      <c r="A70" s="86" t="s">
        <v>783</v>
      </c>
      <c r="B70" s="73">
        <v>203599</v>
      </c>
      <c r="C70" s="74">
        <v>0</v>
      </c>
      <c r="D70" s="74">
        <v>0</v>
      </c>
      <c r="E70" s="74">
        <v>0</v>
      </c>
      <c r="F70" s="74">
        <v>0</v>
      </c>
      <c r="G70" s="74">
        <v>225</v>
      </c>
      <c r="H70" s="75">
        <v>225</v>
      </c>
      <c r="I70" s="78">
        <v>225</v>
      </c>
      <c r="J70" s="76"/>
      <c r="K70" s="146"/>
    </row>
    <row r="71" spans="1:23" s="72" customFormat="1" ht="27" customHeight="1" x14ac:dyDescent="0.55000000000000004">
      <c r="A71" s="136" t="s">
        <v>787</v>
      </c>
      <c r="B71" s="137">
        <v>303599</v>
      </c>
      <c r="C71" s="138">
        <v>0</v>
      </c>
      <c r="D71" s="138">
        <v>0</v>
      </c>
      <c r="E71" s="138">
        <v>0</v>
      </c>
      <c r="F71" s="138">
        <v>0</v>
      </c>
      <c r="G71" s="138">
        <v>62</v>
      </c>
      <c r="H71" s="139">
        <v>62</v>
      </c>
      <c r="I71" s="140">
        <v>62</v>
      </c>
      <c r="J71" s="141"/>
      <c r="K71" s="146"/>
    </row>
    <row r="72" spans="1:23" s="72" customFormat="1" ht="27" customHeight="1" x14ac:dyDescent="0.55000000000000004">
      <c r="A72" s="157" t="s">
        <v>742</v>
      </c>
      <c r="B72" s="158">
        <v>203658</v>
      </c>
      <c r="C72" s="159">
        <v>0</v>
      </c>
      <c r="D72" s="159">
        <v>0</v>
      </c>
      <c r="E72" s="159">
        <v>0</v>
      </c>
      <c r="F72" s="159">
        <v>0</v>
      </c>
      <c r="G72" s="159">
        <v>199</v>
      </c>
      <c r="H72" s="160">
        <v>199</v>
      </c>
      <c r="I72" s="160">
        <v>199</v>
      </c>
      <c r="J72" s="161">
        <v>38</v>
      </c>
      <c r="K72" s="146"/>
    </row>
    <row r="73" spans="1:23" s="72" customFormat="1" ht="27" customHeight="1" x14ac:dyDescent="0.55000000000000004">
      <c r="A73" s="162" t="s">
        <v>745</v>
      </c>
      <c r="B73" s="158">
        <v>203652</v>
      </c>
      <c r="C73" s="159">
        <v>0</v>
      </c>
      <c r="D73" s="159">
        <v>0</v>
      </c>
      <c r="E73" s="159">
        <v>0</v>
      </c>
      <c r="F73" s="159">
        <v>0</v>
      </c>
      <c r="G73" s="159">
        <v>171</v>
      </c>
      <c r="H73" s="160">
        <v>171</v>
      </c>
      <c r="I73" s="160">
        <v>171</v>
      </c>
      <c r="J73" s="161">
        <v>0</v>
      </c>
      <c r="K73" s="146"/>
    </row>
    <row r="74" spans="1:23" s="72" customFormat="1" ht="27" customHeight="1" thickBot="1" x14ac:dyDescent="0.6">
      <c r="A74" s="157" t="s">
        <v>744</v>
      </c>
      <c r="B74" s="158">
        <v>103606</v>
      </c>
      <c r="C74" s="159">
        <v>0</v>
      </c>
      <c r="D74" s="159">
        <v>0</v>
      </c>
      <c r="E74" s="159">
        <v>0</v>
      </c>
      <c r="F74" s="159">
        <v>0</v>
      </c>
      <c r="G74" s="159">
        <v>484</v>
      </c>
      <c r="H74" s="160">
        <v>484</v>
      </c>
      <c r="I74" s="160">
        <v>484</v>
      </c>
      <c r="J74" s="161">
        <v>6</v>
      </c>
      <c r="K74" s="146"/>
    </row>
    <row r="75" spans="1:23" s="72" customFormat="1" ht="27" customHeight="1" x14ac:dyDescent="0.55000000000000004">
      <c r="A75" s="178"/>
      <c r="B75" s="178"/>
      <c r="C75" s="166">
        <f>SUBTOTAL(109,FTSEHRI[Undergraduate])</f>
        <v>182672</v>
      </c>
      <c r="D75" s="166">
        <f>SUBTOTAL(109,FTSEHRI[Master''s¹])</f>
        <v>230651</v>
      </c>
      <c r="E75" s="166">
        <f>SUBTOTAL(109,FTSEHRI[Doctoral])</f>
        <v>87126</v>
      </c>
      <c r="F75" s="166">
        <f>SUBTOTAL(109,FTSEHRI[Total])</f>
        <v>500449</v>
      </c>
      <c r="G75" s="166">
        <f>SUBTOTAL(109,FTSEHRI[Prof &amp; Special-Prof Headcount])</f>
        <v>9614</v>
      </c>
      <c r="H75" s="167">
        <f>SUBTOTAL(109,FTSEHRI[Full-Time Student
Equivalents²])</f>
        <v>30153.905999999999</v>
      </c>
      <c r="I75" s="167">
        <f>SUBTOTAL(109,FTSEHRI[State Funded 
FTSE³])</f>
        <v>30035.09</v>
      </c>
      <c r="J75" s="179">
        <f>SUBTOTAL(109,FTSEHRI[T/TT Fall
Faculty FTE⁴])</f>
        <v>3029</v>
      </c>
      <c r="K75" s="146"/>
      <c r="M75" s="148"/>
      <c r="N75" s="148"/>
      <c r="O75" s="148"/>
      <c r="P75" s="148"/>
      <c r="Q75" s="148"/>
      <c r="R75" s="148"/>
      <c r="S75" s="148"/>
      <c r="T75" s="148"/>
      <c r="U75" s="148"/>
      <c r="V75" s="148"/>
      <c r="W75" s="148"/>
    </row>
    <row r="76" spans="1:23" s="8" customFormat="1" ht="27" customHeight="1" x14ac:dyDescent="0.55000000000000004">
      <c r="A76" s="884" t="s">
        <v>1798</v>
      </c>
      <c r="B76" s="884"/>
      <c r="C76" s="884"/>
      <c r="D76" s="884"/>
      <c r="E76" s="884"/>
      <c r="F76" s="884"/>
      <c r="G76" s="884"/>
      <c r="H76" s="884"/>
      <c r="I76" s="884"/>
      <c r="J76" s="884"/>
      <c r="K76" s="7"/>
      <c r="M76" s="6"/>
      <c r="N76" s="6"/>
      <c r="O76" s="6"/>
      <c r="P76" s="6"/>
      <c r="Q76" s="6"/>
      <c r="R76" s="6"/>
      <c r="S76" s="6"/>
      <c r="T76" s="6"/>
      <c r="U76" s="6"/>
      <c r="V76" s="6"/>
      <c r="W76" s="6"/>
    </row>
    <row r="77" spans="1:23" s="8" customFormat="1" ht="27" customHeight="1" x14ac:dyDescent="0.55000000000000004">
      <c r="A77" s="883" t="s">
        <v>1801</v>
      </c>
      <c r="B77" s="883"/>
      <c r="C77" s="883"/>
      <c r="D77" s="883"/>
      <c r="E77" s="883"/>
      <c r="F77" s="883"/>
      <c r="G77" s="883"/>
      <c r="H77" s="883"/>
      <c r="I77" s="883"/>
      <c r="J77" s="883"/>
      <c r="K77" s="7"/>
      <c r="M77" s="6"/>
      <c r="N77" s="6"/>
      <c r="O77" s="6"/>
      <c r="P77" s="6"/>
      <c r="Q77" s="6"/>
      <c r="R77" s="6"/>
      <c r="S77" s="6"/>
      <c r="T77" s="6"/>
      <c r="U77" s="6"/>
      <c r="V77" s="6"/>
      <c r="W77" s="6"/>
    </row>
    <row r="78" spans="1:23" s="8" customFormat="1" ht="27" customHeight="1" x14ac:dyDescent="0.55000000000000004">
      <c r="A78" s="163" t="s">
        <v>1799</v>
      </c>
      <c r="B78" s="135"/>
      <c r="C78" s="135"/>
      <c r="D78" s="135"/>
      <c r="E78" s="135"/>
      <c r="F78" s="135"/>
      <c r="G78" s="135"/>
      <c r="H78" s="135"/>
      <c r="I78" s="135"/>
      <c r="J78" s="135"/>
      <c r="K78" s="7"/>
      <c r="M78" s="6"/>
      <c r="N78" s="6"/>
      <c r="O78" s="6"/>
      <c r="P78" s="6"/>
      <c r="Q78" s="6"/>
      <c r="R78" s="6"/>
      <c r="S78" s="6"/>
      <c r="T78" s="6"/>
      <c r="U78" s="6"/>
      <c r="V78" s="6"/>
      <c r="W78" s="6"/>
    </row>
    <row r="79" spans="1:23" s="8" customFormat="1" ht="27" customHeight="1" x14ac:dyDescent="0.55000000000000004">
      <c r="A79" s="163" t="s">
        <v>1800</v>
      </c>
      <c r="B79" s="135"/>
      <c r="C79" s="135"/>
      <c r="D79" s="135"/>
      <c r="E79" s="135"/>
      <c r="F79" s="135"/>
      <c r="G79" s="135"/>
      <c r="H79" s="135"/>
      <c r="I79" s="135"/>
      <c r="J79" s="135"/>
      <c r="K79" s="7"/>
      <c r="M79" s="6"/>
      <c r="N79" s="6"/>
      <c r="O79" s="6"/>
      <c r="P79" s="6"/>
      <c r="Q79" s="6"/>
      <c r="R79" s="6"/>
      <c r="S79" s="6"/>
      <c r="T79" s="6"/>
      <c r="U79" s="6"/>
      <c r="V79" s="6"/>
      <c r="W79" s="6"/>
    </row>
    <row r="80" spans="1:23" s="8" customFormat="1" ht="27" customHeight="1" x14ac:dyDescent="0.55000000000000004">
      <c r="A80" s="883" t="s">
        <v>1802</v>
      </c>
      <c r="B80" s="883"/>
      <c r="C80" s="883"/>
      <c r="D80" s="883"/>
      <c r="E80" s="883"/>
      <c r="F80" s="883"/>
      <c r="G80" s="883"/>
      <c r="H80" s="883"/>
      <c r="I80" s="883"/>
      <c r="J80" s="883"/>
      <c r="K80" s="7"/>
      <c r="M80" s="6"/>
      <c r="N80" s="6"/>
      <c r="O80" s="6"/>
      <c r="P80" s="6"/>
      <c r="Q80" s="6"/>
      <c r="R80" s="6"/>
      <c r="S80" s="6"/>
      <c r="T80" s="6"/>
      <c r="U80" s="6"/>
      <c r="V80" s="6"/>
      <c r="W80" s="6"/>
    </row>
    <row r="81" spans="1:23" s="8" customFormat="1" ht="27" customHeight="1" x14ac:dyDescent="0.55000000000000004">
      <c r="A81" s="883" t="s">
        <v>1803</v>
      </c>
      <c r="B81" s="883"/>
      <c r="C81" s="883"/>
      <c r="D81" s="883"/>
      <c r="E81" s="883"/>
      <c r="F81" s="883"/>
      <c r="G81" s="883"/>
      <c r="H81" s="883"/>
      <c r="I81" s="883"/>
      <c r="J81" s="883"/>
      <c r="K81" s="7"/>
      <c r="M81" s="6"/>
      <c r="N81" s="6"/>
      <c r="O81" s="6"/>
      <c r="P81" s="6"/>
      <c r="Q81" s="6"/>
      <c r="R81" s="6"/>
      <c r="S81" s="6"/>
      <c r="T81" s="6"/>
      <c r="U81" s="6"/>
      <c r="V81" s="6"/>
      <c r="W81" s="6"/>
    </row>
    <row r="82" spans="1:23" s="8" customFormat="1" ht="27" customHeight="1" x14ac:dyDescent="0.55000000000000004">
      <c r="A82" s="7"/>
      <c r="B82" s="7"/>
      <c r="C82" s="7"/>
      <c r="D82" s="7"/>
      <c r="E82" s="7"/>
      <c r="F82" s="7"/>
      <c r="G82" s="7"/>
      <c r="H82" s="7"/>
      <c r="I82" s="7"/>
      <c r="J82" s="7"/>
      <c r="K82" s="7"/>
      <c r="M82" s="6"/>
      <c r="N82" s="6"/>
      <c r="O82" s="6"/>
      <c r="P82" s="6"/>
      <c r="Q82" s="6"/>
      <c r="R82" s="6"/>
      <c r="S82" s="6"/>
      <c r="T82" s="6"/>
      <c r="U82" s="6"/>
      <c r="V82" s="6"/>
      <c r="W82" s="6"/>
    </row>
    <row r="83" spans="1:23" ht="27" customHeight="1" x14ac:dyDescent="0.55000000000000004">
      <c r="A83" s="889" t="s">
        <v>820</v>
      </c>
      <c r="B83" s="890"/>
      <c r="C83" s="890"/>
      <c r="D83" s="890"/>
      <c r="E83" s="890"/>
      <c r="F83" s="890"/>
      <c r="G83" s="890"/>
      <c r="H83" s="890"/>
      <c r="I83" s="890"/>
      <c r="J83" s="7"/>
      <c r="K83" s="22"/>
    </row>
    <row r="84" spans="1:23" s="8" customFormat="1" ht="54" customHeight="1" thickBot="1" x14ac:dyDescent="0.65">
      <c r="A84" s="175" t="s">
        <v>752</v>
      </c>
      <c r="B84" s="176" t="s">
        <v>33</v>
      </c>
      <c r="C84" s="177" t="s">
        <v>792</v>
      </c>
      <c r="D84" s="177" t="s">
        <v>793</v>
      </c>
      <c r="E84" s="176" t="s">
        <v>794</v>
      </c>
      <c r="F84" s="177" t="s">
        <v>795</v>
      </c>
      <c r="G84" s="177" t="s">
        <v>798</v>
      </c>
      <c r="H84" s="177" t="s">
        <v>796</v>
      </c>
      <c r="I84" s="177" t="s">
        <v>797</v>
      </c>
      <c r="J84" s="7"/>
      <c r="K84" s="7"/>
    </row>
    <row r="85" spans="1:23" s="8" customFormat="1" ht="27" customHeight="1" x14ac:dyDescent="0.55000000000000004">
      <c r="A85" s="8" t="s">
        <v>49</v>
      </c>
      <c r="B85" s="80">
        <v>36273</v>
      </c>
      <c r="C85" s="70">
        <v>49579</v>
      </c>
      <c r="D85" s="70">
        <v>38367</v>
      </c>
      <c r="E85" s="70">
        <v>0</v>
      </c>
      <c r="F85" s="70">
        <v>286402</v>
      </c>
      <c r="G85" s="79">
        <v>3249.76</v>
      </c>
      <c r="H85" s="79">
        <v>3209.86</v>
      </c>
      <c r="I85" s="70">
        <v>133</v>
      </c>
      <c r="J85" s="7"/>
      <c r="K85" s="7"/>
    </row>
    <row r="86" spans="1:23" s="8" customFormat="1" ht="27" customHeight="1" x14ac:dyDescent="0.55000000000000004">
      <c r="A86" s="8" t="s">
        <v>50</v>
      </c>
      <c r="B86" s="80">
        <v>23582</v>
      </c>
      <c r="C86" s="70">
        <v>31196</v>
      </c>
      <c r="D86" s="70">
        <v>22404</v>
      </c>
      <c r="E86" s="70">
        <v>0</v>
      </c>
      <c r="F86" s="70">
        <v>46575</v>
      </c>
      <c r="G86" s="79">
        <v>1838.42</v>
      </c>
      <c r="H86" s="79">
        <v>1819.28</v>
      </c>
      <c r="I86" s="70">
        <v>80</v>
      </c>
      <c r="J86" s="7"/>
      <c r="K86" s="7"/>
    </row>
    <row r="87" spans="1:23" s="8" customFormat="1" ht="27" customHeight="1" x14ac:dyDescent="0.55000000000000004">
      <c r="A87" s="8" t="s">
        <v>51</v>
      </c>
      <c r="B87" s="80">
        <v>23485</v>
      </c>
      <c r="C87" s="70">
        <v>33462</v>
      </c>
      <c r="D87" s="70">
        <v>27819</v>
      </c>
      <c r="E87" s="70">
        <v>0</v>
      </c>
      <c r="F87" s="70">
        <v>235717</v>
      </c>
      <c r="G87" s="79">
        <v>2304.61</v>
      </c>
      <c r="H87" s="79">
        <v>2285.77</v>
      </c>
      <c r="I87" s="70">
        <v>111</v>
      </c>
      <c r="J87" s="7"/>
      <c r="K87" s="7"/>
    </row>
    <row r="88" spans="1:23" s="8" customFormat="1" ht="27" customHeight="1" x14ac:dyDescent="0.55000000000000004">
      <c r="A88" s="8" t="s">
        <v>57</v>
      </c>
      <c r="B88" s="80">
        <v>203634</v>
      </c>
      <c r="C88" s="70">
        <v>146</v>
      </c>
      <c r="D88" s="70">
        <v>19982</v>
      </c>
      <c r="E88" s="70">
        <v>0</v>
      </c>
      <c r="F88" s="70">
        <v>11444</v>
      </c>
      <c r="G88" s="79">
        <v>683.65</v>
      </c>
      <c r="H88" s="79">
        <v>674.78</v>
      </c>
      <c r="I88" s="70">
        <v>30</v>
      </c>
      <c r="J88" s="7"/>
      <c r="K88" s="7"/>
    </row>
    <row r="89" spans="1:23" s="8" customFormat="1" ht="27" customHeight="1" x14ac:dyDescent="0.55000000000000004">
      <c r="A89" s="8" t="s">
        <v>52</v>
      </c>
      <c r="B89" s="80">
        <v>9225</v>
      </c>
      <c r="C89" s="70">
        <v>35387</v>
      </c>
      <c r="D89" s="70">
        <v>37746</v>
      </c>
      <c r="E89" s="70">
        <v>0</v>
      </c>
      <c r="F89" s="70">
        <v>18900</v>
      </c>
      <c r="G89" s="79">
        <v>2458.7600000000002</v>
      </c>
      <c r="H89" s="79">
        <v>2417.59</v>
      </c>
      <c r="I89" s="70">
        <v>122</v>
      </c>
      <c r="J89" s="7"/>
      <c r="K89" s="7"/>
    </row>
    <row r="90" spans="1:23" s="8" customFormat="1" ht="27" customHeight="1" x14ac:dyDescent="0.55000000000000004">
      <c r="A90" s="8" t="s">
        <v>54</v>
      </c>
      <c r="B90" s="80">
        <v>33965</v>
      </c>
      <c r="C90" s="70">
        <v>2895</v>
      </c>
      <c r="D90" s="70">
        <v>12586</v>
      </c>
      <c r="E90" s="70">
        <v>0</v>
      </c>
      <c r="F90" s="70">
        <v>8874</v>
      </c>
      <c r="G90" s="79">
        <v>525.89</v>
      </c>
      <c r="H90" s="79">
        <v>521.96</v>
      </c>
      <c r="I90" s="70">
        <v>33</v>
      </c>
      <c r="J90" s="7"/>
      <c r="K90" s="7"/>
    </row>
    <row r="91" spans="1:23" s="8" customFormat="1" ht="27" customHeight="1" x14ac:dyDescent="0.55000000000000004">
      <c r="A91" s="8" t="s">
        <v>56</v>
      </c>
      <c r="B91" s="80">
        <v>133965</v>
      </c>
      <c r="C91" s="70">
        <v>116</v>
      </c>
      <c r="D91" s="70">
        <v>7813</v>
      </c>
      <c r="E91" s="70">
        <v>0</v>
      </c>
      <c r="F91" s="70">
        <v>30</v>
      </c>
      <c r="G91" s="79">
        <v>264.33</v>
      </c>
      <c r="H91" s="79">
        <v>262.23</v>
      </c>
      <c r="I91" s="70">
        <v>25</v>
      </c>
      <c r="J91" s="7"/>
      <c r="K91" s="7"/>
    </row>
    <row r="92" spans="1:23" s="8" customFormat="1" ht="27" customHeight="1" x14ac:dyDescent="0.55000000000000004">
      <c r="A92" s="133" t="s">
        <v>55</v>
      </c>
      <c r="B92" s="80">
        <v>3634</v>
      </c>
      <c r="C92" s="70">
        <v>16484</v>
      </c>
      <c r="D92" s="70">
        <v>117131</v>
      </c>
      <c r="E92" s="70">
        <v>0</v>
      </c>
      <c r="F92" s="70">
        <v>1168</v>
      </c>
      <c r="G92" s="79">
        <v>4455.1099999999997</v>
      </c>
      <c r="H92" s="79">
        <v>4359.9799999999996</v>
      </c>
      <c r="I92" s="70">
        <v>236</v>
      </c>
      <c r="J92" s="7"/>
      <c r="K92" s="7"/>
    </row>
    <row r="93" spans="1:23" s="8" customFormat="1" ht="27" customHeight="1" thickBot="1" x14ac:dyDescent="0.6">
      <c r="A93" s="8" t="s">
        <v>53</v>
      </c>
      <c r="B93" s="80">
        <v>9932</v>
      </c>
      <c r="C93" s="70">
        <v>9209</v>
      </c>
      <c r="D93" s="70">
        <v>19649</v>
      </c>
      <c r="E93" s="70">
        <v>0</v>
      </c>
      <c r="F93" s="70">
        <v>15396</v>
      </c>
      <c r="G93" s="79">
        <v>979.02</v>
      </c>
      <c r="H93" s="79">
        <v>970.76</v>
      </c>
      <c r="I93" s="70">
        <v>56</v>
      </c>
      <c r="J93" s="7"/>
      <c r="K93" s="7"/>
    </row>
    <row r="94" spans="1:23" s="8" customFormat="1" ht="27" customHeight="1" x14ac:dyDescent="0.6">
      <c r="A94" s="171"/>
      <c r="B94" s="172"/>
      <c r="C94" s="173">
        <f>SUBTOTAL(109,FTSETSTC[Academic
 SCH])</f>
        <v>178474</v>
      </c>
      <c r="D94" s="173">
        <f>SUBTOTAL(109,FTSETSTC[Technical
 SCH])</f>
        <v>303497</v>
      </c>
      <c r="E94" s="173">
        <f>SUBTOTAL(109,FTSETSTC[BAT SCH])</f>
        <v>0</v>
      </c>
      <c r="F94" s="173">
        <f>SUBTOTAL(109,FTSETSTC[Continuing Ed. SCH])</f>
        <v>624506</v>
      </c>
      <c r="G94" s="174">
        <f>SUBTOTAL(109,FTSETSTC[Full-Time Student
Equivalents1])</f>
        <v>16759.55</v>
      </c>
      <c r="H94" s="174" t="s">
        <v>1793</v>
      </c>
      <c r="I94" s="173">
        <f>SUBTOTAL(109,FTSETSTC[Fall 
Faculty FTE])</f>
        <v>826</v>
      </c>
      <c r="J94" s="7"/>
      <c r="K94" s="7"/>
    </row>
    <row r="95" spans="1:23" s="8" customFormat="1" ht="27" customHeight="1" x14ac:dyDescent="0.55000000000000004">
      <c r="A95" s="884" t="s">
        <v>815</v>
      </c>
      <c r="B95" s="884"/>
      <c r="C95" s="884"/>
      <c r="D95" s="884"/>
      <c r="E95" s="884"/>
      <c r="F95" s="884"/>
      <c r="G95" s="884"/>
      <c r="H95" s="884"/>
      <c r="I95" s="884"/>
      <c r="J95" s="7"/>
      <c r="K95" s="7"/>
    </row>
    <row r="96" spans="1:23" s="8" customFormat="1" ht="27" customHeight="1" x14ac:dyDescent="0.55000000000000004">
      <c r="A96" s="883" t="s">
        <v>816</v>
      </c>
      <c r="B96" s="883"/>
      <c r="C96" s="883"/>
      <c r="D96" s="883"/>
      <c r="E96" s="883"/>
      <c r="F96" s="883"/>
      <c r="G96" s="883"/>
      <c r="H96" s="883"/>
      <c r="I96" s="883"/>
      <c r="J96" s="7"/>
      <c r="K96" s="7"/>
    </row>
    <row r="97" spans="1:16" s="8" customFormat="1" ht="27" customHeight="1" x14ac:dyDescent="0.55000000000000004">
      <c r="A97" s="883" t="s">
        <v>1794</v>
      </c>
      <c r="B97" s="883"/>
      <c r="C97" s="883"/>
      <c r="D97" s="883"/>
      <c r="E97" s="883"/>
      <c r="F97" s="883"/>
      <c r="G97" s="883"/>
      <c r="H97" s="883"/>
      <c r="I97" s="883"/>
      <c r="J97" s="7"/>
      <c r="K97" s="7"/>
    </row>
    <row r="98" spans="1:16" s="8" customFormat="1" ht="27" customHeight="1" x14ac:dyDescent="0.55000000000000004">
      <c r="A98" s="7"/>
      <c r="B98" s="7"/>
      <c r="C98" s="7"/>
      <c r="D98" s="7"/>
      <c r="E98" s="7"/>
      <c r="F98" s="7"/>
      <c r="G98" s="7"/>
      <c r="H98" s="7"/>
      <c r="I98" s="7"/>
      <c r="J98" s="7"/>
      <c r="K98" s="7"/>
    </row>
    <row r="99" spans="1:16" ht="27" customHeight="1" x14ac:dyDescent="0.55000000000000004">
      <c r="A99" s="886" t="s">
        <v>22</v>
      </c>
      <c r="B99" s="887"/>
      <c r="C99" s="887"/>
      <c r="D99" s="887"/>
      <c r="E99" s="887"/>
      <c r="F99" s="887"/>
      <c r="G99" s="887"/>
      <c r="H99" s="887"/>
      <c r="I99" s="887"/>
      <c r="J99" s="887"/>
      <c r="K99" s="22"/>
      <c r="M99" s="6"/>
      <c r="N99" s="8"/>
      <c r="O99" s="8"/>
    </row>
    <row r="100" spans="1:16" s="8" customFormat="1" ht="54" customHeight="1" thickBot="1" x14ac:dyDescent="0.65">
      <c r="A100" s="168" t="s">
        <v>752</v>
      </c>
      <c r="B100" s="169" t="s">
        <v>33</v>
      </c>
      <c r="C100" s="169" t="s">
        <v>753</v>
      </c>
      <c r="D100" s="169" t="s">
        <v>799</v>
      </c>
      <c r="E100" s="169" t="s">
        <v>755</v>
      </c>
      <c r="F100" s="170" t="s">
        <v>800</v>
      </c>
      <c r="G100" s="169" t="s">
        <v>801</v>
      </c>
      <c r="H100" s="170" t="s">
        <v>1804</v>
      </c>
      <c r="I100" s="170" t="s">
        <v>1805</v>
      </c>
      <c r="J100" s="170" t="s">
        <v>1806</v>
      </c>
      <c r="K100" s="7"/>
    </row>
    <row r="101" spans="1:16" s="8" customFormat="1" ht="27" customHeight="1" x14ac:dyDescent="0.55000000000000004">
      <c r="A101" s="85" t="s">
        <v>58</v>
      </c>
      <c r="B101" s="30">
        <v>3656</v>
      </c>
      <c r="C101" s="82">
        <v>777094</v>
      </c>
      <c r="D101" s="82">
        <v>196013</v>
      </c>
      <c r="E101" s="82">
        <v>16555</v>
      </c>
      <c r="F101" s="82">
        <v>0</v>
      </c>
      <c r="G101" s="83">
        <v>0</v>
      </c>
      <c r="H101" s="82">
        <v>34990</v>
      </c>
      <c r="I101" s="83">
        <v>33010.629999999997</v>
      </c>
      <c r="J101" s="84">
        <v>470</v>
      </c>
      <c r="K101" s="7"/>
      <c r="P101" s="81"/>
    </row>
    <row r="102" spans="1:16" s="8" customFormat="1" ht="27" customHeight="1" x14ac:dyDescent="0.55000000000000004">
      <c r="A102" s="134" t="s">
        <v>59</v>
      </c>
      <c r="B102" s="30">
        <v>3658</v>
      </c>
      <c r="C102" s="82">
        <v>1185817</v>
      </c>
      <c r="D102" s="82">
        <v>97757</v>
      </c>
      <c r="E102" s="82">
        <v>80551</v>
      </c>
      <c r="F102" s="82">
        <v>45070</v>
      </c>
      <c r="G102" s="83">
        <v>0</v>
      </c>
      <c r="H102" s="82">
        <v>49953</v>
      </c>
      <c r="I102" s="83">
        <v>49666.81</v>
      </c>
      <c r="J102" s="84">
        <v>1639</v>
      </c>
      <c r="K102" s="7"/>
      <c r="P102" s="81"/>
    </row>
    <row r="103" spans="1:16" s="8" customFormat="1" ht="27" customHeight="1" x14ac:dyDescent="0.55000000000000004">
      <c r="A103" s="85" t="s">
        <v>60</v>
      </c>
      <c r="B103" s="30">
        <v>9741</v>
      </c>
      <c r="C103" s="82">
        <v>575433</v>
      </c>
      <c r="D103" s="82">
        <v>147009</v>
      </c>
      <c r="E103" s="82">
        <v>28810</v>
      </c>
      <c r="F103" s="82">
        <v>984</v>
      </c>
      <c r="G103" s="83">
        <v>0</v>
      </c>
      <c r="H103" s="82">
        <v>26948</v>
      </c>
      <c r="I103" s="83">
        <v>26080.89</v>
      </c>
      <c r="J103" s="84">
        <v>544</v>
      </c>
      <c r="K103" s="7"/>
      <c r="P103" s="81"/>
    </row>
    <row r="104" spans="1:16" s="8" customFormat="1" ht="27" customHeight="1" x14ac:dyDescent="0.55000000000000004">
      <c r="A104" s="85" t="s">
        <v>61</v>
      </c>
      <c r="B104" s="30">
        <v>3661</v>
      </c>
      <c r="C104" s="82">
        <v>509716</v>
      </c>
      <c r="D104" s="82">
        <v>46490</v>
      </c>
      <c r="E104" s="82">
        <v>13129</v>
      </c>
      <c r="F104" s="82">
        <v>11436</v>
      </c>
      <c r="G104" s="83">
        <v>0</v>
      </c>
      <c r="H104" s="82">
        <v>20133</v>
      </c>
      <c r="I104" s="83">
        <v>19593.310000000001</v>
      </c>
      <c r="J104" s="84">
        <v>305</v>
      </c>
      <c r="K104" s="7"/>
      <c r="P104" s="81"/>
    </row>
    <row r="105" spans="1:16" s="8" customFormat="1" ht="27" customHeight="1" x14ac:dyDescent="0.55000000000000004">
      <c r="A105" s="134" t="s">
        <v>62</v>
      </c>
      <c r="B105" s="30">
        <v>3599</v>
      </c>
      <c r="C105" s="82">
        <v>725451</v>
      </c>
      <c r="D105" s="82">
        <v>76633</v>
      </c>
      <c r="E105" s="82">
        <v>8462</v>
      </c>
      <c r="F105" s="82">
        <v>0</v>
      </c>
      <c r="G105" s="83">
        <v>0</v>
      </c>
      <c r="H105" s="82">
        <v>27845</v>
      </c>
      <c r="I105" s="83">
        <v>27185.39</v>
      </c>
      <c r="J105" s="84">
        <v>341</v>
      </c>
      <c r="K105" s="7"/>
      <c r="P105" s="81"/>
    </row>
    <row r="106" spans="1:16" s="8" customFormat="1" ht="27" customHeight="1" x14ac:dyDescent="0.55000000000000004">
      <c r="A106" s="85" t="s">
        <v>63</v>
      </c>
      <c r="B106" s="30">
        <v>9930</v>
      </c>
      <c r="C106" s="82">
        <v>107031</v>
      </c>
      <c r="D106" s="82">
        <v>16314</v>
      </c>
      <c r="E106" s="82">
        <v>0</v>
      </c>
      <c r="F106" s="82">
        <v>0</v>
      </c>
      <c r="G106" s="83">
        <v>0</v>
      </c>
      <c r="H106" s="82">
        <v>4247</v>
      </c>
      <c r="I106" s="83">
        <v>3956.21</v>
      </c>
      <c r="J106" s="84">
        <v>98</v>
      </c>
      <c r="K106" s="7"/>
      <c r="P106" s="81"/>
    </row>
    <row r="107" spans="1:16" s="8" customFormat="1" ht="27" customHeight="1" x14ac:dyDescent="0.55000000000000004">
      <c r="A107" s="85" t="s">
        <v>64</v>
      </c>
      <c r="B107" s="30">
        <v>10115</v>
      </c>
      <c r="C107" s="82">
        <v>792590</v>
      </c>
      <c r="D107" s="82">
        <v>59391</v>
      </c>
      <c r="E107" s="82">
        <v>14592</v>
      </c>
      <c r="F107" s="82">
        <v>0</v>
      </c>
      <c r="G107" s="83">
        <v>0</v>
      </c>
      <c r="H107" s="82">
        <v>29705</v>
      </c>
      <c r="I107" s="83">
        <v>28223.53</v>
      </c>
      <c r="J107" s="84">
        <v>581</v>
      </c>
      <c r="K107" s="7"/>
      <c r="P107" s="81"/>
    </row>
    <row r="108" spans="1:16" s="8" customFormat="1" ht="27" customHeight="1" x14ac:dyDescent="0.55000000000000004">
      <c r="A108" s="85" t="s">
        <v>65</v>
      </c>
      <c r="B108" s="30">
        <v>11163</v>
      </c>
      <c r="C108" s="82">
        <v>193144</v>
      </c>
      <c r="D108" s="82">
        <v>37327</v>
      </c>
      <c r="E108" s="82">
        <v>2632</v>
      </c>
      <c r="F108" s="82">
        <v>3771</v>
      </c>
      <c r="G108" s="83">
        <v>0</v>
      </c>
      <c r="H108" s="82">
        <v>8297</v>
      </c>
      <c r="I108" s="83">
        <v>8111.83</v>
      </c>
      <c r="J108" s="84">
        <v>141</v>
      </c>
      <c r="K108" s="7"/>
      <c r="P108" s="81"/>
    </row>
    <row r="109" spans="1:16" s="8" customFormat="1" ht="27" customHeight="1" x14ac:dyDescent="0.55000000000000004">
      <c r="A109" s="85" t="s">
        <v>90</v>
      </c>
      <c r="B109" s="30">
        <v>3624</v>
      </c>
      <c r="C109" s="82">
        <v>250398</v>
      </c>
      <c r="D109" s="82">
        <v>21659</v>
      </c>
      <c r="E109" s="82">
        <v>1952</v>
      </c>
      <c r="F109" s="82">
        <v>0</v>
      </c>
      <c r="G109" s="83">
        <v>0</v>
      </c>
      <c r="H109" s="82">
        <v>9358</v>
      </c>
      <c r="I109" s="83">
        <v>8897.17</v>
      </c>
      <c r="J109" s="84">
        <v>347</v>
      </c>
      <c r="K109" s="7"/>
      <c r="P109" s="81"/>
    </row>
    <row r="110" spans="1:16" s="8" customFormat="1" ht="27" customHeight="1" x14ac:dyDescent="0.55000000000000004">
      <c r="A110" s="85" t="s">
        <v>66</v>
      </c>
      <c r="B110" s="30">
        <v>3632</v>
      </c>
      <c r="C110" s="82">
        <v>1511621</v>
      </c>
      <c r="D110" s="82">
        <v>140593</v>
      </c>
      <c r="E110" s="82">
        <v>83451</v>
      </c>
      <c r="F110" s="82">
        <v>43453</v>
      </c>
      <c r="G110" s="83">
        <v>0</v>
      </c>
      <c r="H110" s="82">
        <v>62692</v>
      </c>
      <c r="I110" s="83">
        <v>61626.03</v>
      </c>
      <c r="J110" s="84">
        <v>1444</v>
      </c>
      <c r="K110" s="7"/>
      <c r="P110" s="81"/>
    </row>
    <row r="111" spans="1:16" s="8" customFormat="1" ht="27" customHeight="1" x14ac:dyDescent="0.55000000000000004">
      <c r="A111" s="85" t="s">
        <v>67</v>
      </c>
      <c r="B111" s="30">
        <v>10298</v>
      </c>
      <c r="C111" s="82">
        <v>53299</v>
      </c>
      <c r="D111" s="82">
        <v>1843</v>
      </c>
      <c r="E111" s="82">
        <v>1166</v>
      </c>
      <c r="F111" s="82">
        <v>0</v>
      </c>
      <c r="G111" s="83">
        <v>0</v>
      </c>
      <c r="H111" s="82">
        <v>1918</v>
      </c>
      <c r="I111" s="83">
        <v>1871.76</v>
      </c>
      <c r="J111" s="84">
        <v>46</v>
      </c>
      <c r="K111" s="7"/>
      <c r="P111" s="81"/>
    </row>
    <row r="112" spans="1:16" s="8" customFormat="1" ht="27" customHeight="1" x14ac:dyDescent="0.55000000000000004">
      <c r="A112" s="85" t="s">
        <v>68</v>
      </c>
      <c r="B112" s="30">
        <v>3630</v>
      </c>
      <c r="C112" s="82">
        <v>241509</v>
      </c>
      <c r="D112" s="82">
        <v>14913</v>
      </c>
      <c r="E112" s="82">
        <v>1900</v>
      </c>
      <c r="F112" s="82">
        <v>0</v>
      </c>
      <c r="G112" s="83">
        <v>0</v>
      </c>
      <c r="H112" s="82">
        <v>8777</v>
      </c>
      <c r="I112" s="83">
        <v>8505.59</v>
      </c>
      <c r="J112" s="84">
        <v>213</v>
      </c>
      <c r="K112" s="7"/>
      <c r="P112" s="81"/>
    </row>
    <row r="113" spans="1:16" s="8" customFormat="1" ht="27" customHeight="1" x14ac:dyDescent="0.55000000000000004">
      <c r="A113" s="85" t="s">
        <v>69</v>
      </c>
      <c r="B113" s="30">
        <v>3631</v>
      </c>
      <c r="C113" s="82">
        <v>348766</v>
      </c>
      <c r="D113" s="82">
        <v>34281</v>
      </c>
      <c r="E113" s="82">
        <v>2451</v>
      </c>
      <c r="F113" s="82">
        <v>0</v>
      </c>
      <c r="G113" s="83">
        <v>0</v>
      </c>
      <c r="H113" s="82">
        <v>13190</v>
      </c>
      <c r="I113" s="83">
        <v>12684.8</v>
      </c>
      <c r="J113" s="84">
        <v>195</v>
      </c>
      <c r="K113" s="7"/>
      <c r="P113" s="81"/>
    </row>
    <row r="114" spans="1:16" s="8" customFormat="1" ht="27" customHeight="1" x14ac:dyDescent="0.55000000000000004">
      <c r="A114" s="85" t="s">
        <v>70</v>
      </c>
      <c r="B114" s="30">
        <v>11161</v>
      </c>
      <c r="C114" s="82">
        <v>214315</v>
      </c>
      <c r="D114" s="82">
        <v>54862</v>
      </c>
      <c r="E114" s="82">
        <v>4722</v>
      </c>
      <c r="F114" s="82">
        <v>0</v>
      </c>
      <c r="G114" s="83">
        <v>0</v>
      </c>
      <c r="H114" s="82">
        <v>9692</v>
      </c>
      <c r="I114" s="83">
        <v>8942.9599999999991</v>
      </c>
      <c r="J114" s="84">
        <v>192</v>
      </c>
      <c r="K114" s="7"/>
      <c r="P114" s="81"/>
    </row>
    <row r="115" spans="1:16" s="8" customFormat="1" ht="27" customHeight="1" x14ac:dyDescent="0.55000000000000004">
      <c r="A115" s="85" t="s">
        <v>71</v>
      </c>
      <c r="B115" s="30">
        <v>3639</v>
      </c>
      <c r="C115" s="82">
        <v>132238</v>
      </c>
      <c r="D115" s="82">
        <v>23682</v>
      </c>
      <c r="E115" s="82">
        <v>3014</v>
      </c>
      <c r="F115" s="82">
        <v>0</v>
      </c>
      <c r="G115" s="83">
        <v>0</v>
      </c>
      <c r="H115" s="82">
        <v>5562</v>
      </c>
      <c r="I115" s="83">
        <v>5361.74</v>
      </c>
      <c r="J115" s="84">
        <v>211</v>
      </c>
      <c r="K115" s="7"/>
      <c r="P115" s="81"/>
    </row>
    <row r="116" spans="1:16" s="8" customFormat="1" ht="27" customHeight="1" x14ac:dyDescent="0.55000000000000004">
      <c r="A116" s="85" t="s">
        <v>72</v>
      </c>
      <c r="B116" s="30">
        <v>9651</v>
      </c>
      <c r="C116" s="82">
        <v>177715</v>
      </c>
      <c r="D116" s="82">
        <v>28814</v>
      </c>
      <c r="E116" s="82">
        <v>438</v>
      </c>
      <c r="F116" s="82">
        <v>0</v>
      </c>
      <c r="G116" s="83">
        <v>0</v>
      </c>
      <c r="H116" s="82">
        <v>7149</v>
      </c>
      <c r="I116" s="83">
        <v>7118.52</v>
      </c>
      <c r="J116" s="84">
        <v>99</v>
      </c>
      <c r="K116" s="7"/>
      <c r="P116" s="81"/>
    </row>
    <row r="117" spans="1:16" s="8" customFormat="1" ht="27" customHeight="1" x14ac:dyDescent="0.55000000000000004">
      <c r="A117" s="85" t="s">
        <v>73</v>
      </c>
      <c r="B117" s="30">
        <v>3665</v>
      </c>
      <c r="C117" s="82">
        <v>180246</v>
      </c>
      <c r="D117" s="82">
        <v>30666</v>
      </c>
      <c r="E117" s="82">
        <v>1708</v>
      </c>
      <c r="F117" s="82">
        <v>0</v>
      </c>
      <c r="G117" s="83">
        <v>0</v>
      </c>
      <c r="H117" s="82">
        <v>7381</v>
      </c>
      <c r="I117" s="83">
        <v>7276.21</v>
      </c>
      <c r="J117" s="84">
        <v>164</v>
      </c>
      <c r="K117" s="7"/>
      <c r="P117" s="81"/>
    </row>
    <row r="118" spans="1:16" s="8" customFormat="1" ht="27" customHeight="1" x14ac:dyDescent="0.55000000000000004">
      <c r="A118" s="85" t="s">
        <v>1788</v>
      </c>
      <c r="B118" s="30">
        <v>3565</v>
      </c>
      <c r="C118" s="82">
        <v>208670</v>
      </c>
      <c r="D118" s="82">
        <v>55263</v>
      </c>
      <c r="E118" s="82">
        <v>4530</v>
      </c>
      <c r="F118" s="82">
        <v>0</v>
      </c>
      <c r="G118" s="83">
        <v>0</v>
      </c>
      <c r="H118" s="82">
        <v>9510</v>
      </c>
      <c r="I118" s="83">
        <v>9052.2199999999993</v>
      </c>
      <c r="J118" s="84">
        <v>185</v>
      </c>
      <c r="K118" s="7"/>
      <c r="P118" s="81"/>
    </row>
    <row r="119" spans="1:16" s="8" customFormat="1" ht="27" customHeight="1" x14ac:dyDescent="0.55000000000000004">
      <c r="A119" s="85" t="s">
        <v>75</v>
      </c>
      <c r="B119" s="30">
        <v>29269</v>
      </c>
      <c r="C119" s="82">
        <v>43660</v>
      </c>
      <c r="D119" s="82">
        <v>4621</v>
      </c>
      <c r="E119" s="82">
        <v>728</v>
      </c>
      <c r="F119" s="82">
        <v>0</v>
      </c>
      <c r="G119" s="83">
        <v>0</v>
      </c>
      <c r="H119" s="82">
        <v>1688</v>
      </c>
      <c r="I119" s="83">
        <v>1615.92</v>
      </c>
      <c r="J119" s="84">
        <v>77</v>
      </c>
      <c r="K119" s="7"/>
      <c r="P119" s="81"/>
    </row>
    <row r="120" spans="1:16" s="8" customFormat="1" ht="27" customHeight="1" x14ac:dyDescent="0.55000000000000004">
      <c r="A120" s="85" t="s">
        <v>76</v>
      </c>
      <c r="B120" s="30">
        <v>42295</v>
      </c>
      <c r="C120" s="82">
        <v>39290</v>
      </c>
      <c r="D120" s="82">
        <v>11426</v>
      </c>
      <c r="E120" s="82">
        <v>0</v>
      </c>
      <c r="F120" s="82">
        <v>0</v>
      </c>
      <c r="G120" s="83">
        <v>0</v>
      </c>
      <c r="H120" s="82">
        <v>1786</v>
      </c>
      <c r="I120" s="83">
        <v>1689.82</v>
      </c>
      <c r="J120" s="84">
        <v>63</v>
      </c>
      <c r="K120" s="7"/>
      <c r="P120" s="81"/>
    </row>
    <row r="121" spans="1:16" s="8" customFormat="1" ht="27" customHeight="1" x14ac:dyDescent="0.55000000000000004">
      <c r="A121" s="85" t="s">
        <v>77</v>
      </c>
      <c r="B121" s="30">
        <v>42485</v>
      </c>
      <c r="C121" s="82">
        <v>146918</v>
      </c>
      <c r="D121" s="82">
        <v>12961</v>
      </c>
      <c r="E121" s="82">
        <v>0</v>
      </c>
      <c r="F121" s="82">
        <v>0</v>
      </c>
      <c r="G121" s="83">
        <v>0</v>
      </c>
      <c r="H121" s="82">
        <v>5437</v>
      </c>
      <c r="I121" s="83">
        <v>5196.08</v>
      </c>
      <c r="J121" s="84">
        <v>72</v>
      </c>
      <c r="K121" s="7"/>
      <c r="P121" s="81"/>
    </row>
    <row r="122" spans="1:16" s="8" customFormat="1" ht="27" customHeight="1" x14ac:dyDescent="0.55000000000000004">
      <c r="A122" s="134" t="s">
        <v>78</v>
      </c>
      <c r="B122" s="30">
        <v>3652</v>
      </c>
      <c r="C122" s="82">
        <v>962730</v>
      </c>
      <c r="D122" s="82">
        <v>91973</v>
      </c>
      <c r="E122" s="82">
        <v>31131</v>
      </c>
      <c r="F122" s="82">
        <v>39820</v>
      </c>
      <c r="G122" s="83">
        <v>15568</v>
      </c>
      <c r="H122" s="82">
        <v>39770</v>
      </c>
      <c r="I122" s="83">
        <v>39204.69</v>
      </c>
      <c r="J122" s="84">
        <v>939</v>
      </c>
      <c r="K122" s="7"/>
      <c r="P122" s="81"/>
    </row>
    <row r="123" spans="1:16" s="8" customFormat="1" ht="27" customHeight="1" x14ac:dyDescent="0.55000000000000004">
      <c r="A123" s="85" t="s">
        <v>79</v>
      </c>
      <c r="B123" s="30">
        <v>11711</v>
      </c>
      <c r="C123" s="82">
        <v>141584</v>
      </c>
      <c r="D123" s="82">
        <v>31492</v>
      </c>
      <c r="E123" s="82">
        <v>2091</v>
      </c>
      <c r="F123" s="82">
        <v>0</v>
      </c>
      <c r="G123" s="83">
        <v>0</v>
      </c>
      <c r="H123" s="82">
        <v>6148</v>
      </c>
      <c r="I123" s="83">
        <v>5934.41</v>
      </c>
      <c r="J123" s="84">
        <v>243</v>
      </c>
      <c r="K123" s="7"/>
      <c r="P123" s="81"/>
    </row>
    <row r="124" spans="1:16" s="8" customFormat="1" ht="27" customHeight="1" x14ac:dyDescent="0.55000000000000004">
      <c r="A124" s="85" t="s">
        <v>80</v>
      </c>
      <c r="B124" s="30">
        <v>12826</v>
      </c>
      <c r="C124" s="82">
        <v>298377</v>
      </c>
      <c r="D124" s="82">
        <v>20365</v>
      </c>
      <c r="E124" s="82">
        <v>0</v>
      </c>
      <c r="F124" s="82">
        <v>0</v>
      </c>
      <c r="G124" s="83">
        <v>0</v>
      </c>
      <c r="H124" s="82">
        <v>10794</v>
      </c>
      <c r="I124" s="83">
        <v>10302.99</v>
      </c>
      <c r="J124" s="84">
        <v>258</v>
      </c>
      <c r="K124" s="7"/>
      <c r="P124" s="81"/>
    </row>
    <row r="125" spans="1:16" s="8" customFormat="1" ht="27" customHeight="1" x14ac:dyDescent="0.55000000000000004">
      <c r="A125" s="85" t="s">
        <v>81</v>
      </c>
      <c r="B125" s="30">
        <v>13231</v>
      </c>
      <c r="C125" s="82">
        <v>63026</v>
      </c>
      <c r="D125" s="82">
        <v>18624</v>
      </c>
      <c r="E125" s="82">
        <v>0</v>
      </c>
      <c r="F125" s="82">
        <v>0</v>
      </c>
      <c r="G125" s="83">
        <v>0</v>
      </c>
      <c r="H125" s="82">
        <v>2877</v>
      </c>
      <c r="I125" s="83">
        <v>2826.05</v>
      </c>
      <c r="J125" s="84">
        <v>100</v>
      </c>
      <c r="K125" s="7"/>
      <c r="P125" s="81"/>
    </row>
    <row r="126" spans="1:16" s="8" customFormat="1" ht="27" customHeight="1" x14ac:dyDescent="0.55000000000000004">
      <c r="A126" s="132" t="s">
        <v>1417</v>
      </c>
      <c r="B126" s="30">
        <v>3581</v>
      </c>
      <c r="C126" s="82">
        <v>204379</v>
      </c>
      <c r="D126" s="82">
        <v>170474</v>
      </c>
      <c r="E126" s="82">
        <v>5034</v>
      </c>
      <c r="F126" s="82">
        <v>942</v>
      </c>
      <c r="G126" s="83">
        <v>0</v>
      </c>
      <c r="H126" s="82">
        <v>14235</v>
      </c>
      <c r="I126" s="83">
        <v>13933.47</v>
      </c>
      <c r="J126" s="84">
        <v>264</v>
      </c>
      <c r="K126" s="7"/>
      <c r="P126" s="81"/>
    </row>
    <row r="127" spans="1:16" s="8" customFormat="1" ht="27" customHeight="1" x14ac:dyDescent="0.55000000000000004">
      <c r="A127" s="134" t="s">
        <v>82</v>
      </c>
      <c r="B127" s="30">
        <v>3606</v>
      </c>
      <c r="C127" s="82">
        <v>488306</v>
      </c>
      <c r="D127" s="82">
        <v>37959</v>
      </c>
      <c r="E127" s="82">
        <v>5055</v>
      </c>
      <c r="F127" s="82">
        <v>0</v>
      </c>
      <c r="G127" s="83">
        <v>0</v>
      </c>
      <c r="H127" s="82">
        <v>18139</v>
      </c>
      <c r="I127" s="83">
        <v>17233.689999999999</v>
      </c>
      <c r="J127" s="84">
        <v>395</v>
      </c>
      <c r="K127" s="7"/>
      <c r="P127" s="81"/>
    </row>
    <row r="128" spans="1:16" s="8" customFormat="1" ht="27" customHeight="1" x14ac:dyDescent="0.55000000000000004">
      <c r="A128" s="85" t="s">
        <v>83</v>
      </c>
      <c r="B128" s="30">
        <v>3615</v>
      </c>
      <c r="C128" s="82">
        <v>917214</v>
      </c>
      <c r="D128" s="82">
        <v>57575</v>
      </c>
      <c r="E128" s="82">
        <v>7745</v>
      </c>
      <c r="F128" s="82">
        <v>4317</v>
      </c>
      <c r="G128" s="83">
        <v>0</v>
      </c>
      <c r="H128" s="82">
        <v>33583</v>
      </c>
      <c r="I128" s="83">
        <v>32955.14</v>
      </c>
      <c r="J128" s="84">
        <v>494</v>
      </c>
      <c r="K128" s="7"/>
      <c r="P128" s="81"/>
    </row>
    <row r="129" spans="1:17" s="8" customFormat="1" ht="27" customHeight="1" x14ac:dyDescent="0.55000000000000004">
      <c r="A129" s="85" t="s">
        <v>84</v>
      </c>
      <c r="B129" s="30">
        <v>3625</v>
      </c>
      <c r="C129" s="82">
        <v>26211</v>
      </c>
      <c r="D129" s="82">
        <v>7068</v>
      </c>
      <c r="E129" s="82">
        <v>0</v>
      </c>
      <c r="F129" s="82">
        <v>0</v>
      </c>
      <c r="G129" s="83">
        <v>0</v>
      </c>
      <c r="H129" s="82">
        <v>1168</v>
      </c>
      <c r="I129" s="83">
        <v>1133.98</v>
      </c>
      <c r="J129" s="84">
        <v>76</v>
      </c>
      <c r="K129" s="7"/>
      <c r="P129" s="81"/>
    </row>
    <row r="130" spans="1:17" s="8" customFormat="1" ht="27" customHeight="1" x14ac:dyDescent="0.55000000000000004">
      <c r="A130" s="85" t="s">
        <v>85</v>
      </c>
      <c r="B130" s="30">
        <v>3644</v>
      </c>
      <c r="C130" s="82">
        <v>965135</v>
      </c>
      <c r="D130" s="82">
        <v>87619</v>
      </c>
      <c r="E130" s="82">
        <v>48007</v>
      </c>
      <c r="F130" s="82">
        <v>23573</v>
      </c>
      <c r="G130" s="83">
        <v>0</v>
      </c>
      <c r="H130" s="82">
        <v>39471</v>
      </c>
      <c r="I130" s="83">
        <v>38275.120000000003</v>
      </c>
      <c r="J130" s="84">
        <v>1014</v>
      </c>
      <c r="K130" s="7"/>
      <c r="P130" s="81"/>
    </row>
    <row r="131" spans="1:17" s="8" customFormat="1" ht="27" customHeight="1" x14ac:dyDescent="0.55000000000000004">
      <c r="A131" s="85" t="s">
        <v>86</v>
      </c>
      <c r="B131" s="30">
        <v>3541</v>
      </c>
      <c r="C131" s="82">
        <v>194606</v>
      </c>
      <c r="D131" s="82">
        <v>27398</v>
      </c>
      <c r="E131" s="82">
        <v>791</v>
      </c>
      <c r="F131" s="82">
        <v>2687</v>
      </c>
      <c r="G131" s="83">
        <v>0</v>
      </c>
      <c r="H131" s="82">
        <v>7784</v>
      </c>
      <c r="I131" s="83">
        <v>7610.39</v>
      </c>
      <c r="J131" s="84">
        <v>185</v>
      </c>
      <c r="K131" s="7"/>
      <c r="P131" s="81"/>
    </row>
    <row r="132" spans="1:17" s="8" customFormat="1" ht="27" customHeight="1" x14ac:dyDescent="0.55000000000000004">
      <c r="A132" s="85" t="s">
        <v>87</v>
      </c>
      <c r="B132" s="30">
        <v>3594</v>
      </c>
      <c r="C132" s="82">
        <v>906465</v>
      </c>
      <c r="D132" s="82">
        <v>192837</v>
      </c>
      <c r="E132" s="82">
        <v>22857</v>
      </c>
      <c r="F132" s="82">
        <v>1061</v>
      </c>
      <c r="G132" s="83">
        <v>0</v>
      </c>
      <c r="H132" s="82">
        <v>39564</v>
      </c>
      <c r="I132" s="83">
        <v>38769.89</v>
      </c>
      <c r="J132" s="84">
        <v>586</v>
      </c>
      <c r="K132" s="7"/>
      <c r="P132" s="81"/>
    </row>
    <row r="133" spans="1:17" s="8" customFormat="1" ht="27" customHeight="1" x14ac:dyDescent="0.55000000000000004">
      <c r="A133" s="85" t="s">
        <v>88</v>
      </c>
      <c r="B133" s="30">
        <v>42421</v>
      </c>
      <c r="C133" s="82">
        <v>72781</v>
      </c>
      <c r="D133" s="82">
        <v>6951</v>
      </c>
      <c r="E133" s="82">
        <v>0</v>
      </c>
      <c r="F133" s="82">
        <v>11571</v>
      </c>
      <c r="G133" s="83">
        <v>0</v>
      </c>
      <c r="H133" s="82">
        <v>3198</v>
      </c>
      <c r="I133" s="83">
        <v>3136.08</v>
      </c>
      <c r="J133" s="84">
        <v>54</v>
      </c>
      <c r="K133" s="7"/>
      <c r="P133" s="81"/>
    </row>
    <row r="134" spans="1:17" s="8" customFormat="1" ht="27" customHeight="1" x14ac:dyDescent="0.55000000000000004">
      <c r="A134" s="85" t="s">
        <v>89</v>
      </c>
      <c r="B134" s="30">
        <v>3592</v>
      </c>
      <c r="C134" s="82">
        <v>104243</v>
      </c>
      <c r="D134" s="82">
        <v>14140</v>
      </c>
      <c r="E134" s="82">
        <v>468</v>
      </c>
      <c r="F134" s="82">
        <v>0</v>
      </c>
      <c r="G134" s="83">
        <v>0</v>
      </c>
      <c r="H134" s="82">
        <v>4090</v>
      </c>
      <c r="I134" s="83">
        <v>3977.6</v>
      </c>
      <c r="J134" s="84">
        <v>175</v>
      </c>
      <c r="K134" s="7"/>
      <c r="P134" s="81"/>
    </row>
    <row r="135" spans="1:17" s="8" customFormat="1" ht="27" customHeight="1" x14ac:dyDescent="0.55000000000000004">
      <c r="A135" s="85" t="s">
        <v>91</v>
      </c>
      <c r="B135" s="30">
        <v>3642</v>
      </c>
      <c r="C135" s="82">
        <v>177628</v>
      </c>
      <c r="D135" s="82">
        <v>15209</v>
      </c>
      <c r="E135" s="82">
        <v>2183</v>
      </c>
      <c r="F135" s="82">
        <v>25989</v>
      </c>
      <c r="G135" s="83">
        <v>0</v>
      </c>
      <c r="H135" s="82">
        <v>7759</v>
      </c>
      <c r="I135" s="83">
        <v>7631.23</v>
      </c>
      <c r="J135" s="84">
        <v>247</v>
      </c>
      <c r="K135" s="7"/>
      <c r="P135" s="81"/>
    </row>
    <row r="136" spans="1:17" s="8" customFormat="1" ht="27" customHeight="1" thickBot="1" x14ac:dyDescent="0.6">
      <c r="A136" s="85" t="s">
        <v>92</v>
      </c>
      <c r="B136" s="30">
        <v>3646</v>
      </c>
      <c r="C136" s="82">
        <v>243784</v>
      </c>
      <c r="D136" s="82">
        <v>67530</v>
      </c>
      <c r="E136" s="82">
        <v>20284</v>
      </c>
      <c r="F136" s="82">
        <v>9638</v>
      </c>
      <c r="G136" s="83">
        <v>0</v>
      </c>
      <c r="H136" s="82">
        <v>12468</v>
      </c>
      <c r="I136" s="83">
        <v>12346.25</v>
      </c>
      <c r="J136" s="84">
        <v>307</v>
      </c>
      <c r="K136" s="7"/>
      <c r="P136" s="81"/>
    </row>
    <row r="137" spans="1:17" ht="27" customHeight="1" x14ac:dyDescent="0.55000000000000004">
      <c r="A137" s="164"/>
      <c r="B137" s="165"/>
      <c r="C137" s="166">
        <f>SUBTOTAL(109,FTSEUNIV[Undergraduate])</f>
        <v>14181390</v>
      </c>
      <c r="D137" s="166">
        <f>SUBTOTAL(109,FTSEUNIV[Master''s])</f>
        <v>1959732</v>
      </c>
      <c r="E137" s="166">
        <f>SUBTOTAL(109,FTSEUNIV[Doctoral])</f>
        <v>416437</v>
      </c>
      <c r="F137" s="166">
        <f>SUBTOTAL(109,FTSEUNIV[Professional &amp; Special-Prof])</f>
        <v>224312</v>
      </c>
      <c r="G137" s="167">
        <f>SUBTOTAL(109,FTSEUNIV[Optometry])</f>
        <v>15568</v>
      </c>
      <c r="H137" s="166">
        <f>SUBTOTAL(109,FTSEUNIV[Full-Time Student
Equivalents¹])</f>
        <v>587306</v>
      </c>
      <c r="I137" s="167">
        <f>SUBTOTAL(109,FTSEUNIV[State Funded 
FTSE²])</f>
        <v>570938.39999999991</v>
      </c>
      <c r="J137" s="166">
        <f>SUBTOTAL(109,FTSEUNIV[T/TT Fall
Faculty FTE³])</f>
        <v>12764</v>
      </c>
      <c r="K137" s="22"/>
      <c r="M137" s="8"/>
      <c r="N137" s="8"/>
      <c r="P137" s="81"/>
      <c r="Q137" s="8"/>
    </row>
    <row r="138" spans="1:17" ht="27" customHeight="1" x14ac:dyDescent="0.55000000000000004">
      <c r="A138" s="884" t="s">
        <v>817</v>
      </c>
      <c r="B138" s="884"/>
      <c r="C138" s="884"/>
      <c r="D138" s="884"/>
      <c r="E138" s="884"/>
      <c r="F138" s="884"/>
      <c r="G138" s="884"/>
      <c r="H138" s="884"/>
      <c r="I138" s="884"/>
      <c r="J138" s="884"/>
      <c r="K138" s="22"/>
      <c r="M138" s="6"/>
      <c r="N138" s="8"/>
      <c r="O138" s="8"/>
    </row>
    <row r="139" spans="1:17" ht="27" customHeight="1" x14ac:dyDescent="0.55000000000000004">
      <c r="A139" s="883" t="s">
        <v>816</v>
      </c>
      <c r="B139" s="883"/>
      <c r="C139" s="883"/>
      <c r="D139" s="883"/>
      <c r="E139" s="883"/>
      <c r="F139" s="883"/>
      <c r="G139" s="883"/>
      <c r="H139" s="883"/>
      <c r="I139" s="883"/>
      <c r="J139" s="883"/>
      <c r="K139" s="22"/>
    </row>
    <row r="140" spans="1:17" ht="27" customHeight="1" x14ac:dyDescent="0.55000000000000004">
      <c r="A140" s="883" t="s">
        <v>818</v>
      </c>
      <c r="B140" s="883"/>
      <c r="C140" s="883"/>
      <c r="D140" s="883"/>
      <c r="E140" s="883"/>
      <c r="F140" s="883"/>
      <c r="G140" s="883"/>
      <c r="H140" s="883"/>
      <c r="I140" s="883"/>
      <c r="J140" s="883"/>
      <c r="K140" s="22"/>
    </row>
    <row r="141" spans="1:17" ht="27" customHeight="1" x14ac:dyDescent="0.55000000000000004">
      <c r="A141" s="883" t="s">
        <v>1808</v>
      </c>
      <c r="B141" s="883"/>
      <c r="C141" s="883"/>
      <c r="D141" s="883"/>
      <c r="E141" s="883"/>
      <c r="F141" s="883"/>
      <c r="G141" s="883"/>
      <c r="H141" s="883"/>
      <c r="I141" s="883"/>
      <c r="J141" s="883"/>
      <c r="K141" s="22"/>
    </row>
    <row r="142" spans="1:17" ht="27" customHeight="1" x14ac:dyDescent="0.55000000000000004">
      <c r="A142" s="885"/>
      <c r="B142" s="885"/>
      <c r="C142" s="885"/>
      <c r="D142" s="885"/>
      <c r="E142" s="885"/>
      <c r="F142" s="885"/>
      <c r="G142" s="885"/>
      <c r="H142" s="885"/>
      <c r="I142" s="885"/>
      <c r="J142" s="885"/>
      <c r="K142" s="22"/>
    </row>
  </sheetData>
  <sheetProtection algorithmName="SHA-512" hashValue="EeepCJhg69h6uPFLiSGNSfpx8mN5BTvurkaGbgsnOSJ3hQ8mn9zFWqnseSACeQ2XYIlpiI907IxPTuERD7NoPA==" saltValue="jAb4M8rSPktKpQ1c04INoQ==" spinCount="100000" sheet="1" objects="1" scenarios="1" formatColumns="0" formatRows="0"/>
  <mergeCells count="18">
    <mergeCell ref="A1:J1"/>
    <mergeCell ref="A5:J5"/>
    <mergeCell ref="A2:J2"/>
    <mergeCell ref="A3:J3"/>
    <mergeCell ref="A83:I83"/>
    <mergeCell ref="A142:J142"/>
    <mergeCell ref="A99:J99"/>
    <mergeCell ref="A138:J138"/>
    <mergeCell ref="A139:J139"/>
    <mergeCell ref="A140:J140"/>
    <mergeCell ref="A141:J141"/>
    <mergeCell ref="A96:I96"/>
    <mergeCell ref="A97:I97"/>
    <mergeCell ref="A76:J76"/>
    <mergeCell ref="A77:J77"/>
    <mergeCell ref="A80:J80"/>
    <mergeCell ref="A81:J81"/>
    <mergeCell ref="A95:I95"/>
  </mergeCells>
  <phoneticPr fontId="21" type="noConversion"/>
  <printOptions horizontalCentered="1"/>
  <pageMargins left="0.25" right="0.25" top="0.75" bottom="0.5" header="0.5" footer="0.3"/>
  <pageSetup paperSize="5" scale="27" fitToHeight="0" orientation="portrait" r:id="rId1"/>
  <headerFooter>
    <oddHeader>&amp;C&amp;"-,Bold"&amp;18Student and Faculty Full-Time Equivalent - FY 2023</oddHeader>
    <oddFooter>&amp;R&amp;K04+000Printed On: &amp;D</oddFooter>
  </headerFooter>
  <drawing r:id="rId2"/>
  <tableParts count="3">
    <tablePart r:id="rId3"/>
    <tablePart r:id="rId4"/>
    <tablePart r:id="rId5"/>
  </tablePart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2852C5-BFC1-4357-AF32-9553424A3AD3}">
  <sheetPr codeName="Sheet15">
    <tabColor theme="0"/>
  </sheetPr>
  <dimension ref="A1:D164"/>
  <sheetViews>
    <sheetView zoomScale="85" zoomScaleNormal="85" workbookViewId="0">
      <pane ySplit="1" topLeftCell="A2" activePane="bottomLeft" state="frozen"/>
      <selection sqref="A1:C1"/>
      <selection pane="bottomLeft" activeCell="A11" sqref="A11:C12"/>
    </sheetView>
  </sheetViews>
  <sheetFormatPr defaultColWidth="8.83203125" defaultRowHeight="21" x14ac:dyDescent="0.55000000000000004"/>
  <cols>
    <col min="1" max="1" width="61.1640625" style="8" customWidth="1"/>
    <col min="2" max="2" width="49.4140625" style="8" customWidth="1"/>
    <col min="3" max="3" width="56.58203125" style="8" customWidth="1"/>
    <col min="4" max="4" width="5.6640625" style="8" customWidth="1"/>
    <col min="5" max="7" width="8.83203125" style="8"/>
    <col min="8" max="8" width="9.9140625" style="8" bestFit="1" customWidth="1"/>
    <col min="9" max="16384" width="8.83203125" style="8"/>
  </cols>
  <sheetData>
    <row r="1" spans="1:4" x14ac:dyDescent="0.55000000000000004">
      <c r="A1" s="894" t="s">
        <v>724</v>
      </c>
      <c r="B1" s="894"/>
      <c r="C1" s="27"/>
      <c r="D1" s="7"/>
    </row>
    <row r="2" spans="1:4" x14ac:dyDescent="0.55000000000000004">
      <c r="A2" s="7"/>
      <c r="B2" s="7"/>
      <c r="C2" s="7"/>
      <c r="D2" s="7"/>
    </row>
    <row r="3" spans="1:4" x14ac:dyDescent="0.55000000000000004">
      <c r="A3" s="27" t="s">
        <v>725</v>
      </c>
      <c r="B3" s="11"/>
      <c r="C3" s="11"/>
      <c r="D3" s="7"/>
    </row>
    <row r="4" spans="1:4" x14ac:dyDescent="0.6">
      <c r="A4" s="352">
        <v>45769</v>
      </c>
      <c r="B4" s="10"/>
      <c r="C4" s="10"/>
      <c r="D4" s="7"/>
    </row>
    <row r="5" spans="1:4" x14ac:dyDescent="0.55000000000000004">
      <c r="A5" s="7"/>
      <c r="B5" s="10"/>
      <c r="C5" s="10"/>
      <c r="D5" s="7"/>
    </row>
    <row r="6" spans="1:4" x14ac:dyDescent="0.55000000000000004">
      <c r="A6" s="27" t="s">
        <v>726</v>
      </c>
      <c r="B6" s="27" t="s">
        <v>819</v>
      </c>
      <c r="C6" s="27"/>
      <c r="D6" s="7"/>
    </row>
    <row r="7" spans="1:4" x14ac:dyDescent="0.55000000000000004">
      <c r="A7" s="7" t="s">
        <v>15</v>
      </c>
      <c r="B7" s="7" t="s">
        <v>14</v>
      </c>
      <c r="C7" s="7" t="s">
        <v>1857</v>
      </c>
      <c r="D7" s="7"/>
    </row>
    <row r="8" spans="1:4" x14ac:dyDescent="0.6">
      <c r="A8" s="26" t="s">
        <v>821</v>
      </c>
      <c r="B8" s="7" t="s">
        <v>824</v>
      </c>
      <c r="C8" s="26" t="s">
        <v>1858</v>
      </c>
      <c r="D8" s="7"/>
    </row>
    <row r="9" spans="1:4" x14ac:dyDescent="0.6">
      <c r="A9" s="26" t="s">
        <v>822</v>
      </c>
      <c r="B9" s="7" t="s">
        <v>20</v>
      </c>
      <c r="C9" s="26" t="s">
        <v>1859</v>
      </c>
      <c r="D9" s="7"/>
    </row>
    <row r="10" spans="1:4" x14ac:dyDescent="0.55000000000000004">
      <c r="A10" s="7" t="s">
        <v>22</v>
      </c>
      <c r="B10" s="7" t="s">
        <v>21</v>
      </c>
      <c r="C10" s="7" t="s">
        <v>1860</v>
      </c>
      <c r="D10" s="7"/>
    </row>
    <row r="11" spans="1:4" x14ac:dyDescent="0.6">
      <c r="A11" s="26" t="s">
        <v>1837</v>
      </c>
      <c r="B11" s="7" t="s">
        <v>746</v>
      </c>
      <c r="C11" s="7" t="s">
        <v>839</v>
      </c>
      <c r="D11" s="7"/>
    </row>
    <row r="12" spans="1:4" x14ac:dyDescent="0.6">
      <c r="A12" s="26" t="s">
        <v>1839</v>
      </c>
      <c r="B12" s="7" t="s">
        <v>1914</v>
      </c>
      <c r="C12" s="7" t="s">
        <v>839</v>
      </c>
      <c r="D12" s="7"/>
    </row>
    <row r="13" spans="1:4" x14ac:dyDescent="0.6">
      <c r="A13" s="26"/>
      <c r="B13" s="7"/>
      <c r="C13" s="7"/>
      <c r="D13" s="7"/>
    </row>
    <row r="14" spans="1:4" x14ac:dyDescent="0.55000000000000004">
      <c r="A14" s="155" t="s">
        <v>31</v>
      </c>
      <c r="B14" s="155" t="s">
        <v>726</v>
      </c>
      <c r="C14" s="155" t="s">
        <v>832</v>
      </c>
      <c r="D14" s="7"/>
    </row>
    <row r="15" spans="1:4" x14ac:dyDescent="0.6">
      <c r="A15" s="7" t="s">
        <v>86</v>
      </c>
      <c r="B15" s="26" t="s">
        <v>1833</v>
      </c>
      <c r="C15" s="26" t="s">
        <v>717</v>
      </c>
      <c r="D15" s="7"/>
    </row>
    <row r="16" spans="1:4" x14ac:dyDescent="0.6">
      <c r="A16" s="7" t="s">
        <v>1788</v>
      </c>
      <c r="B16" s="26" t="s">
        <v>1833</v>
      </c>
      <c r="C16" s="26" t="s">
        <v>741</v>
      </c>
      <c r="D16" s="7"/>
    </row>
    <row r="17" spans="1:4" x14ac:dyDescent="0.6">
      <c r="A17" s="7" t="s">
        <v>49</v>
      </c>
      <c r="B17" s="26" t="s">
        <v>1834</v>
      </c>
      <c r="C17" s="26" t="s">
        <v>821</v>
      </c>
      <c r="D17" s="7"/>
    </row>
    <row r="18" spans="1:4" x14ac:dyDescent="0.6">
      <c r="A18" s="7" t="s">
        <v>50</v>
      </c>
      <c r="B18" s="26" t="s">
        <v>1834</v>
      </c>
      <c r="C18" s="26" t="s">
        <v>821</v>
      </c>
      <c r="D18" s="7"/>
    </row>
    <row r="19" spans="1:4" x14ac:dyDescent="0.6">
      <c r="A19" s="7" t="s">
        <v>51</v>
      </c>
      <c r="B19" s="26" t="s">
        <v>1834</v>
      </c>
      <c r="C19" s="26" t="s">
        <v>821</v>
      </c>
      <c r="D19" s="7"/>
    </row>
    <row r="20" spans="1:4" x14ac:dyDescent="0.6">
      <c r="A20" s="7" t="s">
        <v>1417</v>
      </c>
      <c r="B20" s="26" t="s">
        <v>1833</v>
      </c>
      <c r="C20" s="26" t="s">
        <v>715</v>
      </c>
      <c r="D20" s="7"/>
    </row>
    <row r="21" spans="1:4" x14ac:dyDescent="0.6">
      <c r="A21" s="7" t="s">
        <v>89</v>
      </c>
      <c r="B21" s="26" t="s">
        <v>1833</v>
      </c>
      <c r="C21" s="26" t="s">
        <v>717</v>
      </c>
      <c r="D21" s="7"/>
    </row>
    <row r="22" spans="1:4" x14ac:dyDescent="0.6">
      <c r="A22" s="7" t="s">
        <v>68</v>
      </c>
      <c r="B22" s="26" t="s">
        <v>1833</v>
      </c>
      <c r="C22" s="26" t="s">
        <v>741</v>
      </c>
      <c r="D22" s="7"/>
    </row>
    <row r="23" spans="1:4" x14ac:dyDescent="0.6">
      <c r="A23" s="7" t="s">
        <v>82</v>
      </c>
      <c r="B23" s="26" t="s">
        <v>1833</v>
      </c>
      <c r="C23" s="26" t="s">
        <v>715</v>
      </c>
      <c r="D23" s="7"/>
    </row>
    <row r="24" spans="1:4" x14ac:dyDescent="0.6">
      <c r="A24" s="7" t="s">
        <v>1418</v>
      </c>
      <c r="B24" s="26" t="s">
        <v>1837</v>
      </c>
      <c r="C24" s="7" t="s">
        <v>839</v>
      </c>
      <c r="D24" s="7"/>
    </row>
    <row r="25" spans="1:4" x14ac:dyDescent="0.6">
      <c r="A25" s="7" t="s">
        <v>744</v>
      </c>
      <c r="B25" s="26" t="s">
        <v>1836</v>
      </c>
      <c r="C25" s="26" t="s">
        <v>715</v>
      </c>
      <c r="D25" s="7"/>
    </row>
    <row r="26" spans="1:4" x14ac:dyDescent="0.6">
      <c r="A26" s="7" t="s">
        <v>90</v>
      </c>
      <c r="B26" s="26" t="s">
        <v>1833</v>
      </c>
      <c r="C26" s="26" t="s">
        <v>823</v>
      </c>
      <c r="D26" s="7"/>
    </row>
    <row r="27" spans="1:4" x14ac:dyDescent="0.6">
      <c r="A27" s="7" t="s">
        <v>84</v>
      </c>
      <c r="B27" s="26" t="s">
        <v>1833</v>
      </c>
      <c r="C27" s="26" t="s">
        <v>715</v>
      </c>
      <c r="D27" s="7"/>
    </row>
    <row r="28" spans="1:4" x14ac:dyDescent="0.6">
      <c r="A28" s="7" t="s">
        <v>69</v>
      </c>
      <c r="B28" s="26" t="s">
        <v>1833</v>
      </c>
      <c r="C28" s="26" t="s">
        <v>741</v>
      </c>
      <c r="D28" s="7"/>
    </row>
    <row r="29" spans="1:4" x14ac:dyDescent="0.6">
      <c r="A29" s="7" t="s">
        <v>701</v>
      </c>
      <c r="B29" s="26" t="s">
        <v>741</v>
      </c>
      <c r="C29" s="26" t="s">
        <v>741</v>
      </c>
      <c r="D29" s="7"/>
    </row>
    <row r="30" spans="1:4" x14ac:dyDescent="0.6">
      <c r="A30" s="7" t="s">
        <v>700</v>
      </c>
      <c r="B30" s="26" t="s">
        <v>741</v>
      </c>
      <c r="C30" s="26" t="s">
        <v>741</v>
      </c>
      <c r="D30" s="7"/>
    </row>
    <row r="31" spans="1:4" x14ac:dyDescent="0.6">
      <c r="A31" s="7" t="s">
        <v>702</v>
      </c>
      <c r="B31" s="26" t="s">
        <v>741</v>
      </c>
      <c r="C31" s="26" t="s">
        <v>741</v>
      </c>
      <c r="D31" s="7"/>
    </row>
    <row r="32" spans="1:4" x14ac:dyDescent="0.6">
      <c r="A32" s="7" t="s">
        <v>703</v>
      </c>
      <c r="B32" s="26" t="s">
        <v>741</v>
      </c>
      <c r="C32" s="26" t="s">
        <v>741</v>
      </c>
      <c r="D32" s="7"/>
    </row>
    <row r="33" spans="1:4" x14ac:dyDescent="0.6">
      <c r="A33" s="7" t="s">
        <v>704</v>
      </c>
      <c r="B33" s="26" t="s">
        <v>741</v>
      </c>
      <c r="C33" s="26" t="s">
        <v>741</v>
      </c>
      <c r="D33" s="7"/>
    </row>
    <row r="34" spans="1:4" x14ac:dyDescent="0.6">
      <c r="A34" s="7" t="s">
        <v>72</v>
      </c>
      <c r="B34" s="26" t="s">
        <v>1833</v>
      </c>
      <c r="C34" s="26" t="s">
        <v>741</v>
      </c>
      <c r="D34" s="7"/>
    </row>
    <row r="35" spans="1:4" x14ac:dyDescent="0.6">
      <c r="A35" s="7" t="s">
        <v>708</v>
      </c>
      <c r="B35" s="26" t="s">
        <v>741</v>
      </c>
      <c r="C35" s="26" t="s">
        <v>741</v>
      </c>
      <c r="D35" s="7"/>
    </row>
    <row r="36" spans="1:4" x14ac:dyDescent="0.6">
      <c r="A36" s="7" t="s">
        <v>705</v>
      </c>
      <c r="B36" s="26" t="s">
        <v>741</v>
      </c>
      <c r="C36" s="26" t="s">
        <v>741</v>
      </c>
      <c r="D36" s="7"/>
    </row>
    <row r="37" spans="1:4" x14ac:dyDescent="0.6">
      <c r="A37" s="7" t="s">
        <v>66</v>
      </c>
      <c r="B37" s="26" t="s">
        <v>1833</v>
      </c>
      <c r="C37" s="26" t="s">
        <v>741</v>
      </c>
      <c r="D37" s="7"/>
    </row>
    <row r="38" spans="1:4" x14ac:dyDescent="0.6">
      <c r="A38" s="7" t="s">
        <v>76</v>
      </c>
      <c r="B38" s="26" t="s">
        <v>1833</v>
      </c>
      <c r="C38" s="26" t="s">
        <v>741</v>
      </c>
      <c r="D38" s="7"/>
    </row>
    <row r="39" spans="1:4" x14ac:dyDescent="0.6">
      <c r="A39" s="7" t="s">
        <v>70</v>
      </c>
      <c r="B39" s="26" t="s">
        <v>1833</v>
      </c>
      <c r="C39" s="26" t="s">
        <v>741</v>
      </c>
      <c r="D39" s="7"/>
    </row>
    <row r="40" spans="1:4" x14ac:dyDescent="0.6">
      <c r="A40" s="7" t="s">
        <v>71</v>
      </c>
      <c r="B40" s="26" t="s">
        <v>1833</v>
      </c>
      <c r="C40" s="26" t="s">
        <v>741</v>
      </c>
      <c r="D40" s="7"/>
    </row>
    <row r="41" spans="1:4" x14ac:dyDescent="0.6">
      <c r="A41" s="7" t="s">
        <v>77</v>
      </c>
      <c r="B41" s="26" t="s">
        <v>1833</v>
      </c>
      <c r="C41" s="26" t="s">
        <v>741</v>
      </c>
      <c r="D41" s="7"/>
    </row>
    <row r="42" spans="1:4" x14ac:dyDescent="0.6">
      <c r="A42" s="7" t="s">
        <v>75</v>
      </c>
      <c r="B42" s="26" t="s">
        <v>1833</v>
      </c>
      <c r="C42" s="26" t="s">
        <v>741</v>
      </c>
      <c r="D42" s="7"/>
    </row>
    <row r="43" spans="1:4" x14ac:dyDescent="0.6">
      <c r="A43" s="7" t="s">
        <v>67</v>
      </c>
      <c r="B43" s="26" t="s">
        <v>1833</v>
      </c>
      <c r="C43" s="26" t="s">
        <v>741</v>
      </c>
      <c r="D43" s="7"/>
    </row>
    <row r="44" spans="1:4" x14ac:dyDescent="0.6">
      <c r="A44" s="7" t="s">
        <v>711</v>
      </c>
      <c r="B44" s="26" t="s">
        <v>694</v>
      </c>
      <c r="C44" s="26" t="s">
        <v>741</v>
      </c>
      <c r="D44" s="7"/>
    </row>
    <row r="45" spans="1:4" x14ac:dyDescent="0.6">
      <c r="A45" s="7" t="s">
        <v>45</v>
      </c>
      <c r="B45" s="26" t="s">
        <v>1836</v>
      </c>
      <c r="C45" s="26" t="s">
        <v>741</v>
      </c>
      <c r="D45" s="7"/>
    </row>
    <row r="46" spans="1:4" x14ac:dyDescent="0.6">
      <c r="A46" s="7" t="s">
        <v>706</v>
      </c>
      <c r="B46" s="26" t="s">
        <v>741</v>
      </c>
      <c r="C46" s="26" t="s">
        <v>741</v>
      </c>
      <c r="D46" s="7"/>
    </row>
    <row r="47" spans="1:4" x14ac:dyDescent="0.6">
      <c r="A47" s="7" t="s">
        <v>707</v>
      </c>
      <c r="B47" s="26" t="s">
        <v>741</v>
      </c>
      <c r="C47" s="26" t="s">
        <v>741</v>
      </c>
      <c r="D47" s="7"/>
    </row>
    <row r="48" spans="1:4" x14ac:dyDescent="0.6">
      <c r="A48" s="7" t="s">
        <v>91</v>
      </c>
      <c r="B48" s="26" t="s">
        <v>1833</v>
      </c>
      <c r="C48" s="26" t="s">
        <v>91</v>
      </c>
      <c r="D48" s="7"/>
    </row>
    <row r="49" spans="1:4" x14ac:dyDescent="0.6">
      <c r="A49" s="7" t="s">
        <v>715</v>
      </c>
      <c r="B49" s="26" t="s">
        <v>694</v>
      </c>
      <c r="C49" s="26" t="s">
        <v>715</v>
      </c>
      <c r="D49" s="7"/>
    </row>
    <row r="50" spans="1:4" x14ac:dyDescent="0.6">
      <c r="A50" s="7" t="s">
        <v>57</v>
      </c>
      <c r="B50" s="26" t="s">
        <v>1835</v>
      </c>
      <c r="C50" s="26" t="s">
        <v>822</v>
      </c>
      <c r="D50" s="7"/>
    </row>
    <row r="51" spans="1:4" x14ac:dyDescent="0.6">
      <c r="A51" s="7" t="s">
        <v>52</v>
      </c>
      <c r="B51" s="26" t="s">
        <v>1835</v>
      </c>
      <c r="C51" s="26" t="s">
        <v>822</v>
      </c>
      <c r="D51" s="7"/>
    </row>
    <row r="52" spans="1:4" x14ac:dyDescent="0.6">
      <c r="A52" s="7" t="s">
        <v>54</v>
      </c>
      <c r="B52" s="26" t="s">
        <v>1835</v>
      </c>
      <c r="C52" s="26" t="s">
        <v>822</v>
      </c>
      <c r="D52" s="7"/>
    </row>
    <row r="53" spans="1:4" x14ac:dyDescent="0.6">
      <c r="A53" s="7" t="s">
        <v>56</v>
      </c>
      <c r="B53" s="26" t="s">
        <v>1835</v>
      </c>
      <c r="C53" s="26" t="s">
        <v>822</v>
      </c>
      <c r="D53" s="7"/>
    </row>
    <row r="54" spans="1:4" x14ac:dyDescent="0.6">
      <c r="A54" s="7" t="s">
        <v>55</v>
      </c>
      <c r="B54" s="26" t="s">
        <v>1835</v>
      </c>
      <c r="C54" s="26" t="s">
        <v>822</v>
      </c>
      <c r="D54" s="7"/>
    </row>
    <row r="55" spans="1:4" x14ac:dyDescent="0.6">
      <c r="A55" s="7" t="s">
        <v>53</v>
      </c>
      <c r="B55" s="26" t="s">
        <v>1835</v>
      </c>
      <c r="C55" s="26" t="s">
        <v>822</v>
      </c>
      <c r="D55" s="7"/>
    </row>
    <row r="56" spans="1:4" x14ac:dyDescent="0.6">
      <c r="A56" s="7" t="s">
        <v>1621</v>
      </c>
      <c r="B56" s="26" t="s">
        <v>694</v>
      </c>
      <c r="C56" s="26" t="s">
        <v>822</v>
      </c>
      <c r="D56" s="7"/>
    </row>
    <row r="57" spans="1:4" x14ac:dyDescent="0.6">
      <c r="A57" s="7" t="s">
        <v>83</v>
      </c>
      <c r="B57" s="26" t="s">
        <v>1833</v>
      </c>
      <c r="C57" s="26" t="s">
        <v>715</v>
      </c>
      <c r="D57" s="7"/>
    </row>
    <row r="58" spans="1:4" x14ac:dyDescent="0.6">
      <c r="A58" s="7" t="s">
        <v>85</v>
      </c>
      <c r="B58" s="26" t="s">
        <v>1833</v>
      </c>
      <c r="C58" s="26" t="s">
        <v>717</v>
      </c>
      <c r="D58" s="7"/>
    </row>
    <row r="59" spans="1:4" x14ac:dyDescent="0.6">
      <c r="A59" s="7" t="s">
        <v>47</v>
      </c>
      <c r="B59" s="26" t="s">
        <v>1836</v>
      </c>
      <c r="C59" s="26" t="s">
        <v>717</v>
      </c>
      <c r="D59" s="7"/>
    </row>
    <row r="60" spans="1:4" x14ac:dyDescent="0.6">
      <c r="A60" s="7" t="s">
        <v>48</v>
      </c>
      <c r="B60" s="26" t="s">
        <v>1836</v>
      </c>
      <c r="C60" s="26" t="s">
        <v>717</v>
      </c>
      <c r="D60" s="7"/>
    </row>
    <row r="61" spans="1:4" x14ac:dyDescent="0.6">
      <c r="A61" s="7" t="s">
        <v>717</v>
      </c>
      <c r="B61" s="26" t="s">
        <v>694</v>
      </c>
      <c r="C61" s="26" t="s">
        <v>717</v>
      </c>
      <c r="D61" s="7"/>
    </row>
    <row r="62" spans="1:4" x14ac:dyDescent="0.6">
      <c r="A62" s="7" t="s">
        <v>92</v>
      </c>
      <c r="B62" s="26" t="s">
        <v>1833</v>
      </c>
      <c r="C62" s="7" t="s">
        <v>92</v>
      </c>
      <c r="D62" s="7"/>
    </row>
    <row r="63" spans="1:4" x14ac:dyDescent="0.6">
      <c r="A63" s="7" t="s">
        <v>58</v>
      </c>
      <c r="B63" s="26" t="s">
        <v>1833</v>
      </c>
      <c r="C63" s="26" t="s">
        <v>823</v>
      </c>
      <c r="D63" s="7"/>
    </row>
    <row r="64" spans="1:4" x14ac:dyDescent="0.6">
      <c r="A64" s="7" t="s">
        <v>59</v>
      </c>
      <c r="B64" s="26" t="s">
        <v>1833</v>
      </c>
      <c r="C64" s="26" t="s">
        <v>823</v>
      </c>
      <c r="D64" s="7"/>
    </row>
    <row r="65" spans="1:4" x14ac:dyDescent="0.6">
      <c r="A65" s="7" t="s">
        <v>179</v>
      </c>
      <c r="B65" s="26" t="s">
        <v>1837</v>
      </c>
      <c r="C65" s="7" t="s">
        <v>839</v>
      </c>
      <c r="D65" s="7"/>
    </row>
    <row r="66" spans="1:4" x14ac:dyDescent="0.6">
      <c r="A66" s="7" t="s">
        <v>742</v>
      </c>
      <c r="B66" s="26" t="s">
        <v>1836</v>
      </c>
      <c r="C66" s="26" t="s">
        <v>823</v>
      </c>
      <c r="D66" s="7"/>
    </row>
    <row r="67" spans="1:4" x14ac:dyDescent="0.6">
      <c r="A67" s="7" t="s">
        <v>60</v>
      </c>
      <c r="B67" s="26" t="s">
        <v>1833</v>
      </c>
      <c r="C67" s="26" t="s">
        <v>823</v>
      </c>
      <c r="D67" s="7"/>
    </row>
    <row r="68" spans="1:4" x14ac:dyDescent="0.6">
      <c r="A68" s="7" t="s">
        <v>61</v>
      </c>
      <c r="B68" s="26" t="s">
        <v>1833</v>
      </c>
      <c r="C68" s="26" t="s">
        <v>823</v>
      </c>
      <c r="D68" s="7"/>
    </row>
    <row r="69" spans="1:4" x14ac:dyDescent="0.6">
      <c r="A69" s="7" t="s">
        <v>62</v>
      </c>
      <c r="B69" s="26" t="s">
        <v>1833</v>
      </c>
      <c r="C69" s="26" t="s">
        <v>823</v>
      </c>
      <c r="D69" s="7"/>
    </row>
    <row r="70" spans="1:4" x14ac:dyDescent="0.6">
      <c r="A70" s="7" t="s">
        <v>180</v>
      </c>
      <c r="B70" s="26" t="s">
        <v>1837</v>
      </c>
      <c r="C70" s="7" t="s">
        <v>839</v>
      </c>
      <c r="D70" s="7"/>
    </row>
    <row r="71" spans="1:4" x14ac:dyDescent="0.6">
      <c r="A71" s="7" t="s">
        <v>743</v>
      </c>
      <c r="B71" s="26" t="s">
        <v>1836</v>
      </c>
      <c r="C71" s="26" t="s">
        <v>823</v>
      </c>
      <c r="D71" s="7"/>
    </row>
    <row r="72" spans="1:4" x14ac:dyDescent="0.6">
      <c r="A72" s="7" t="s">
        <v>64</v>
      </c>
      <c r="B72" s="26" t="s">
        <v>1833</v>
      </c>
      <c r="C72" s="26" t="s">
        <v>823</v>
      </c>
      <c r="D72" s="7"/>
    </row>
    <row r="73" spans="1:4" x14ac:dyDescent="0.6">
      <c r="A73" s="7" t="s">
        <v>65</v>
      </c>
      <c r="B73" s="26" t="s">
        <v>1833</v>
      </c>
      <c r="C73" s="26" t="s">
        <v>823</v>
      </c>
      <c r="D73" s="7"/>
    </row>
    <row r="74" spans="1:4" x14ac:dyDescent="0.6">
      <c r="A74" s="7" t="s">
        <v>41</v>
      </c>
      <c r="B74" s="26" t="s">
        <v>1836</v>
      </c>
      <c r="C74" s="26" t="s">
        <v>823</v>
      </c>
      <c r="D74" s="7"/>
    </row>
    <row r="75" spans="1:4" x14ac:dyDescent="0.6">
      <c r="A75" s="7" t="s">
        <v>42</v>
      </c>
      <c r="B75" s="26" t="s">
        <v>1836</v>
      </c>
      <c r="C75" s="26" t="s">
        <v>823</v>
      </c>
      <c r="D75" s="7"/>
    </row>
    <row r="76" spans="1:4" x14ac:dyDescent="0.6">
      <c r="A76" s="7" t="s">
        <v>44</v>
      </c>
      <c r="B76" s="26" t="s">
        <v>1836</v>
      </c>
      <c r="C76" s="26" t="s">
        <v>823</v>
      </c>
      <c r="D76" s="7"/>
    </row>
    <row r="77" spans="1:4" x14ac:dyDescent="0.6">
      <c r="A77" s="7" t="s">
        <v>43</v>
      </c>
      <c r="B77" s="26" t="s">
        <v>1836</v>
      </c>
      <c r="C77" s="26" t="s">
        <v>823</v>
      </c>
      <c r="D77" s="7"/>
    </row>
    <row r="78" spans="1:4" x14ac:dyDescent="0.6">
      <c r="A78" s="7" t="s">
        <v>40</v>
      </c>
      <c r="B78" s="26" t="s">
        <v>1836</v>
      </c>
      <c r="C78" s="26" t="s">
        <v>823</v>
      </c>
      <c r="D78" s="7"/>
    </row>
    <row r="79" spans="1:4" x14ac:dyDescent="0.6">
      <c r="A79" s="7" t="s">
        <v>63</v>
      </c>
      <c r="B79" s="26" t="s">
        <v>1833</v>
      </c>
      <c r="C79" s="26" t="s">
        <v>823</v>
      </c>
      <c r="D79" s="7"/>
    </row>
    <row r="80" spans="1:4" x14ac:dyDescent="0.6">
      <c r="A80" s="7" t="s">
        <v>39</v>
      </c>
      <c r="B80" s="26" t="s">
        <v>1836</v>
      </c>
      <c r="C80" s="26" t="s">
        <v>823</v>
      </c>
      <c r="D80" s="7"/>
    </row>
    <row r="81" spans="1:4" x14ac:dyDescent="0.6">
      <c r="A81" s="7" t="s">
        <v>713</v>
      </c>
      <c r="B81" s="26" t="s">
        <v>694</v>
      </c>
      <c r="C81" s="26" t="s">
        <v>823</v>
      </c>
      <c r="D81" s="7"/>
    </row>
    <row r="82" spans="1:4" x14ac:dyDescent="0.6">
      <c r="A82" s="7" t="s">
        <v>79</v>
      </c>
      <c r="B82" s="26" t="s">
        <v>1833</v>
      </c>
      <c r="C82" s="26" t="s">
        <v>709</v>
      </c>
      <c r="D82" s="7"/>
    </row>
    <row r="83" spans="1:4" x14ac:dyDescent="0.6">
      <c r="A83" s="7" t="s">
        <v>80</v>
      </c>
      <c r="B83" s="26" t="s">
        <v>1833</v>
      </c>
      <c r="C83" s="26" t="s">
        <v>709</v>
      </c>
      <c r="D83" s="7"/>
    </row>
    <row r="84" spans="1:4" x14ac:dyDescent="0.6">
      <c r="A84" s="7" t="s">
        <v>81</v>
      </c>
      <c r="B84" s="26" t="s">
        <v>1833</v>
      </c>
      <c r="C84" s="26" t="s">
        <v>709</v>
      </c>
      <c r="D84" s="7"/>
    </row>
    <row r="85" spans="1:4" x14ac:dyDescent="0.6">
      <c r="A85" s="7" t="s">
        <v>78</v>
      </c>
      <c r="B85" s="26" t="s">
        <v>1833</v>
      </c>
      <c r="C85" s="26" t="s">
        <v>709</v>
      </c>
      <c r="D85" s="7"/>
    </row>
    <row r="86" spans="1:4" x14ac:dyDescent="0.6">
      <c r="A86" s="7" t="s">
        <v>181</v>
      </c>
      <c r="B86" s="26" t="s">
        <v>1837</v>
      </c>
      <c r="C86" s="7" t="s">
        <v>839</v>
      </c>
      <c r="D86" s="7"/>
    </row>
    <row r="87" spans="1:4" x14ac:dyDescent="0.6">
      <c r="A87" s="7" t="s">
        <v>745</v>
      </c>
      <c r="B87" s="26" t="s">
        <v>1836</v>
      </c>
      <c r="C87" s="26" t="s">
        <v>709</v>
      </c>
      <c r="D87" s="7"/>
    </row>
    <row r="88" spans="1:4" x14ac:dyDescent="0.6">
      <c r="A88" s="7" t="s">
        <v>709</v>
      </c>
      <c r="B88" s="26" t="s">
        <v>694</v>
      </c>
      <c r="C88" s="26" t="s">
        <v>709</v>
      </c>
      <c r="D88" s="7"/>
    </row>
    <row r="89" spans="1:4" x14ac:dyDescent="0.6">
      <c r="A89" s="7" t="s">
        <v>87</v>
      </c>
      <c r="B89" s="26" t="s">
        <v>1833</v>
      </c>
      <c r="C89" s="26" t="s">
        <v>719</v>
      </c>
      <c r="D89" s="7"/>
    </row>
    <row r="90" spans="1:4" x14ac:dyDescent="0.6">
      <c r="A90" s="7" t="s">
        <v>88</v>
      </c>
      <c r="B90" s="26" t="s">
        <v>1833</v>
      </c>
      <c r="C90" s="26" t="s">
        <v>719</v>
      </c>
      <c r="D90" s="7"/>
    </row>
    <row r="91" spans="1:4" x14ac:dyDescent="0.6">
      <c r="A91" s="7" t="s">
        <v>46</v>
      </c>
      <c r="B91" s="26" t="s">
        <v>1836</v>
      </c>
      <c r="C91" s="26" t="s">
        <v>719</v>
      </c>
      <c r="D91" s="7"/>
    </row>
    <row r="92" spans="1:4" x14ac:dyDescent="0.6">
      <c r="A92" s="7" t="s">
        <v>719</v>
      </c>
      <c r="B92" s="26" t="s">
        <v>694</v>
      </c>
      <c r="C92" s="26" t="s">
        <v>719</v>
      </c>
      <c r="D92" s="7"/>
    </row>
    <row r="93" spans="1:4" x14ac:dyDescent="0.6">
      <c r="A93" s="7" t="s">
        <v>73</v>
      </c>
      <c r="B93" s="26" t="s">
        <v>1833</v>
      </c>
      <c r="C93" s="26" t="s">
        <v>741</v>
      </c>
      <c r="D93" s="7"/>
    </row>
    <row r="94" spans="1:4" x14ac:dyDescent="0.55000000000000004">
      <c r="A94" s="7"/>
      <c r="B94" s="7"/>
      <c r="C94" s="7"/>
      <c r="D94" s="7"/>
    </row>
    <row r="95" spans="1:4" x14ac:dyDescent="0.55000000000000004">
      <c r="A95" s="155" t="s">
        <v>837</v>
      </c>
      <c r="B95" s="155"/>
      <c r="C95" s="155"/>
      <c r="D95" s="7"/>
    </row>
    <row r="96" spans="1:4" x14ac:dyDescent="0.6">
      <c r="A96" s="26" t="s">
        <v>821</v>
      </c>
      <c r="B96" s="7" t="s">
        <v>824</v>
      </c>
      <c r="C96" s="7" t="s">
        <v>1841</v>
      </c>
      <c r="D96" s="7"/>
    </row>
    <row r="97" spans="1:4" x14ac:dyDescent="0.6">
      <c r="A97" s="26" t="s">
        <v>1909</v>
      </c>
      <c r="B97" s="7" t="s">
        <v>830</v>
      </c>
      <c r="C97" s="7" t="s">
        <v>1844</v>
      </c>
      <c r="D97" s="7"/>
    </row>
    <row r="98" spans="1:4" x14ac:dyDescent="0.6">
      <c r="A98" s="26" t="s">
        <v>1911</v>
      </c>
      <c r="B98" s="7" t="s">
        <v>825</v>
      </c>
      <c r="C98" s="7" t="s">
        <v>1843</v>
      </c>
      <c r="D98" s="7"/>
    </row>
    <row r="99" spans="1:4" x14ac:dyDescent="0.6">
      <c r="A99" s="26" t="s">
        <v>822</v>
      </c>
      <c r="B99" s="7" t="s">
        <v>20</v>
      </c>
      <c r="C99" s="7" t="s">
        <v>1842</v>
      </c>
      <c r="D99" s="7"/>
    </row>
    <row r="100" spans="1:4" x14ac:dyDescent="0.6">
      <c r="A100" s="26" t="s">
        <v>1910</v>
      </c>
      <c r="B100" s="8" t="s">
        <v>833</v>
      </c>
      <c r="C100" s="7" t="s">
        <v>1843</v>
      </c>
      <c r="D100" s="7"/>
    </row>
    <row r="101" spans="1:4" x14ac:dyDescent="0.6">
      <c r="A101" s="26" t="s">
        <v>709</v>
      </c>
      <c r="B101" s="7" t="s">
        <v>828</v>
      </c>
      <c r="C101" s="7" t="s">
        <v>1843</v>
      </c>
      <c r="D101" s="7"/>
    </row>
    <row r="102" spans="1:4" x14ac:dyDescent="0.6">
      <c r="A102" s="26" t="s">
        <v>1912</v>
      </c>
      <c r="B102" s="7" t="s">
        <v>827</v>
      </c>
      <c r="C102" s="7" t="s">
        <v>1843</v>
      </c>
      <c r="D102" s="7"/>
    </row>
    <row r="103" spans="1:4" x14ac:dyDescent="0.6">
      <c r="A103" s="26" t="s">
        <v>1913</v>
      </c>
      <c r="B103" s="7" t="s">
        <v>829</v>
      </c>
      <c r="C103" s="7" t="s">
        <v>1843</v>
      </c>
      <c r="D103" s="7"/>
    </row>
    <row r="104" spans="1:4" x14ac:dyDescent="0.55000000000000004">
      <c r="A104" s="1"/>
      <c r="B104" s="7"/>
      <c r="C104" s="7"/>
      <c r="D104" s="7"/>
    </row>
    <row r="105" spans="1:4" x14ac:dyDescent="0.55000000000000004">
      <c r="A105" s="155" t="s">
        <v>31</v>
      </c>
      <c r="B105" s="155" t="s">
        <v>726</v>
      </c>
      <c r="C105" s="155" t="s">
        <v>1838</v>
      </c>
    </row>
    <row r="106" spans="1:4" x14ac:dyDescent="0.6">
      <c r="A106" s="7" t="s">
        <v>86</v>
      </c>
      <c r="B106" s="26" t="s">
        <v>22</v>
      </c>
      <c r="C106" s="156" t="s">
        <v>1833</v>
      </c>
    </row>
    <row r="107" spans="1:4" x14ac:dyDescent="0.6">
      <c r="A107" s="7" t="s">
        <v>1788</v>
      </c>
      <c r="B107" s="26" t="s">
        <v>22</v>
      </c>
      <c r="C107" s="156" t="s">
        <v>1833</v>
      </c>
    </row>
    <row r="108" spans="1:4" x14ac:dyDescent="0.6">
      <c r="A108" s="7" t="s">
        <v>49</v>
      </c>
      <c r="B108" s="26" t="s">
        <v>820</v>
      </c>
      <c r="C108" s="156" t="s">
        <v>1834</v>
      </c>
    </row>
    <row r="109" spans="1:4" x14ac:dyDescent="0.6">
      <c r="A109" s="7" t="s">
        <v>50</v>
      </c>
      <c r="B109" s="26" t="s">
        <v>820</v>
      </c>
      <c r="C109" s="156" t="s">
        <v>1834</v>
      </c>
    </row>
    <row r="110" spans="1:4" x14ac:dyDescent="0.6">
      <c r="A110" s="7" t="s">
        <v>51</v>
      </c>
      <c r="B110" s="26" t="s">
        <v>820</v>
      </c>
      <c r="C110" s="156" t="s">
        <v>1834</v>
      </c>
    </row>
    <row r="111" spans="1:4" x14ac:dyDescent="0.6">
      <c r="A111" s="7" t="s">
        <v>1417</v>
      </c>
      <c r="B111" s="26" t="s">
        <v>22</v>
      </c>
      <c r="C111" s="156" t="s">
        <v>1833</v>
      </c>
    </row>
    <row r="112" spans="1:4" x14ac:dyDescent="0.6">
      <c r="A112" s="7" t="s">
        <v>89</v>
      </c>
      <c r="B112" s="26" t="s">
        <v>22</v>
      </c>
      <c r="C112" s="156" t="s">
        <v>1833</v>
      </c>
    </row>
    <row r="113" spans="1:3" x14ac:dyDescent="0.6">
      <c r="A113" s="7" t="s">
        <v>68</v>
      </c>
      <c r="B113" s="26" t="s">
        <v>22</v>
      </c>
      <c r="C113" s="156" t="s">
        <v>1833</v>
      </c>
    </row>
    <row r="114" spans="1:3" x14ac:dyDescent="0.6">
      <c r="A114" s="7" t="s">
        <v>82</v>
      </c>
      <c r="B114" s="26" t="s">
        <v>22</v>
      </c>
      <c r="C114" s="156" t="s">
        <v>1833</v>
      </c>
    </row>
    <row r="115" spans="1:3" x14ac:dyDescent="0.6">
      <c r="A115" s="7" t="s">
        <v>744</v>
      </c>
      <c r="B115" s="26" t="s">
        <v>15</v>
      </c>
      <c r="C115" s="156" t="s">
        <v>1836</v>
      </c>
    </row>
    <row r="116" spans="1:3" x14ac:dyDescent="0.6">
      <c r="A116" s="7" t="s">
        <v>90</v>
      </c>
      <c r="B116" s="26" t="s">
        <v>22</v>
      </c>
      <c r="C116" s="156" t="s">
        <v>1833</v>
      </c>
    </row>
    <row r="117" spans="1:3" x14ac:dyDescent="0.6">
      <c r="A117" s="7" t="s">
        <v>84</v>
      </c>
      <c r="B117" s="26" t="s">
        <v>22</v>
      </c>
      <c r="C117" s="156" t="s">
        <v>1833</v>
      </c>
    </row>
    <row r="118" spans="1:3" x14ac:dyDescent="0.6">
      <c r="A118" s="7" t="s">
        <v>69</v>
      </c>
      <c r="B118" s="26" t="s">
        <v>22</v>
      </c>
      <c r="C118" s="156" t="s">
        <v>1833</v>
      </c>
    </row>
    <row r="119" spans="1:3" x14ac:dyDescent="0.6">
      <c r="A119" s="7" t="s">
        <v>72</v>
      </c>
      <c r="B119" s="26" t="s">
        <v>22</v>
      </c>
      <c r="C119" s="156" t="s">
        <v>1833</v>
      </c>
    </row>
    <row r="120" spans="1:3" x14ac:dyDescent="0.6">
      <c r="A120" s="7" t="s">
        <v>66</v>
      </c>
      <c r="B120" s="26" t="s">
        <v>22</v>
      </c>
      <c r="C120" s="156" t="s">
        <v>1833</v>
      </c>
    </row>
    <row r="121" spans="1:3" x14ac:dyDescent="0.6">
      <c r="A121" s="7" t="s">
        <v>76</v>
      </c>
      <c r="B121" s="26" t="s">
        <v>22</v>
      </c>
      <c r="C121" s="156" t="s">
        <v>1833</v>
      </c>
    </row>
    <row r="122" spans="1:3" x14ac:dyDescent="0.6">
      <c r="A122" s="7" t="s">
        <v>70</v>
      </c>
      <c r="B122" s="26" t="s">
        <v>22</v>
      </c>
      <c r="C122" s="156" t="s">
        <v>1833</v>
      </c>
    </row>
    <row r="123" spans="1:3" x14ac:dyDescent="0.6">
      <c r="A123" s="7" t="s">
        <v>71</v>
      </c>
      <c r="B123" s="26" t="s">
        <v>22</v>
      </c>
      <c r="C123" s="156" t="s">
        <v>1833</v>
      </c>
    </row>
    <row r="124" spans="1:3" x14ac:dyDescent="0.6">
      <c r="A124" s="7" t="s">
        <v>77</v>
      </c>
      <c r="B124" s="26" t="s">
        <v>22</v>
      </c>
      <c r="C124" s="156" t="s">
        <v>1833</v>
      </c>
    </row>
    <row r="125" spans="1:3" x14ac:dyDescent="0.6">
      <c r="A125" s="7" t="s">
        <v>75</v>
      </c>
      <c r="B125" s="26" t="s">
        <v>22</v>
      </c>
      <c r="C125" s="156" t="s">
        <v>1833</v>
      </c>
    </row>
    <row r="126" spans="1:3" x14ac:dyDescent="0.6">
      <c r="A126" s="7" t="s">
        <v>67</v>
      </c>
      <c r="B126" s="26" t="s">
        <v>22</v>
      </c>
      <c r="C126" s="156" t="s">
        <v>1833</v>
      </c>
    </row>
    <row r="127" spans="1:3" x14ac:dyDescent="0.6">
      <c r="A127" s="7" t="s">
        <v>45</v>
      </c>
      <c r="B127" s="26" t="s">
        <v>15</v>
      </c>
      <c r="C127" s="156" t="s">
        <v>1836</v>
      </c>
    </row>
    <row r="128" spans="1:3" x14ac:dyDescent="0.6">
      <c r="A128" s="7" t="s">
        <v>91</v>
      </c>
      <c r="B128" s="26" t="s">
        <v>22</v>
      </c>
      <c r="C128" s="156" t="s">
        <v>1833</v>
      </c>
    </row>
    <row r="129" spans="1:3" x14ac:dyDescent="0.6">
      <c r="A129" s="7" t="s">
        <v>57</v>
      </c>
      <c r="B129" s="26" t="s">
        <v>820</v>
      </c>
      <c r="C129" s="156" t="s">
        <v>1835</v>
      </c>
    </row>
    <row r="130" spans="1:3" x14ac:dyDescent="0.6">
      <c r="A130" s="7" t="s">
        <v>52</v>
      </c>
      <c r="B130" s="26" t="s">
        <v>820</v>
      </c>
      <c r="C130" s="156" t="s">
        <v>1835</v>
      </c>
    </row>
    <row r="131" spans="1:3" x14ac:dyDescent="0.6">
      <c r="A131" s="7" t="s">
        <v>54</v>
      </c>
      <c r="B131" s="26" t="s">
        <v>820</v>
      </c>
      <c r="C131" s="156" t="s">
        <v>1835</v>
      </c>
    </row>
    <row r="132" spans="1:3" x14ac:dyDescent="0.6">
      <c r="A132" s="7" t="s">
        <v>56</v>
      </c>
      <c r="B132" s="26" t="s">
        <v>820</v>
      </c>
      <c r="C132" s="156" t="s">
        <v>1835</v>
      </c>
    </row>
    <row r="133" spans="1:3" x14ac:dyDescent="0.6">
      <c r="A133" s="7" t="s">
        <v>55</v>
      </c>
      <c r="B133" s="26" t="s">
        <v>820</v>
      </c>
      <c r="C133" s="156" t="s">
        <v>1835</v>
      </c>
    </row>
    <row r="134" spans="1:3" x14ac:dyDescent="0.6">
      <c r="A134" s="7" t="s">
        <v>53</v>
      </c>
      <c r="B134" s="26" t="s">
        <v>820</v>
      </c>
      <c r="C134" s="156" t="s">
        <v>1835</v>
      </c>
    </row>
    <row r="135" spans="1:3" x14ac:dyDescent="0.6">
      <c r="A135" s="7" t="s">
        <v>83</v>
      </c>
      <c r="B135" s="26" t="s">
        <v>22</v>
      </c>
      <c r="C135" s="156" t="s">
        <v>1833</v>
      </c>
    </row>
    <row r="136" spans="1:3" x14ac:dyDescent="0.6">
      <c r="A136" s="7" t="s">
        <v>85</v>
      </c>
      <c r="B136" s="26" t="s">
        <v>22</v>
      </c>
      <c r="C136" s="156" t="s">
        <v>1833</v>
      </c>
    </row>
    <row r="137" spans="1:3" x14ac:dyDescent="0.6">
      <c r="A137" s="7" t="s">
        <v>47</v>
      </c>
      <c r="B137" s="26" t="s">
        <v>15</v>
      </c>
      <c r="C137" s="156" t="s">
        <v>1836</v>
      </c>
    </row>
    <row r="138" spans="1:3" x14ac:dyDescent="0.6">
      <c r="A138" s="7" t="s">
        <v>48</v>
      </c>
      <c r="B138" s="26" t="s">
        <v>15</v>
      </c>
      <c r="C138" s="156" t="s">
        <v>1836</v>
      </c>
    </row>
    <row r="139" spans="1:3" x14ac:dyDescent="0.6">
      <c r="A139" s="7" t="s">
        <v>92</v>
      </c>
      <c r="B139" s="26" t="s">
        <v>22</v>
      </c>
      <c r="C139" s="156" t="s">
        <v>1833</v>
      </c>
    </row>
    <row r="140" spans="1:3" x14ac:dyDescent="0.6">
      <c r="A140" s="7" t="s">
        <v>58</v>
      </c>
      <c r="B140" s="26" t="s">
        <v>22</v>
      </c>
      <c r="C140" s="156" t="s">
        <v>1833</v>
      </c>
    </row>
    <row r="141" spans="1:3" x14ac:dyDescent="0.6">
      <c r="A141" s="7" t="s">
        <v>59</v>
      </c>
      <c r="B141" s="26" t="s">
        <v>22</v>
      </c>
      <c r="C141" s="156" t="s">
        <v>1833</v>
      </c>
    </row>
    <row r="142" spans="1:3" x14ac:dyDescent="0.6">
      <c r="A142" s="7" t="s">
        <v>742</v>
      </c>
      <c r="B142" s="26" t="s">
        <v>15</v>
      </c>
      <c r="C142" s="156" t="s">
        <v>1836</v>
      </c>
    </row>
    <row r="143" spans="1:3" x14ac:dyDescent="0.6">
      <c r="A143" s="7" t="s">
        <v>60</v>
      </c>
      <c r="B143" s="26" t="s">
        <v>22</v>
      </c>
      <c r="C143" s="156" t="s">
        <v>1833</v>
      </c>
    </row>
    <row r="144" spans="1:3" x14ac:dyDescent="0.6">
      <c r="A144" s="7" t="s">
        <v>61</v>
      </c>
      <c r="B144" s="26" t="s">
        <v>22</v>
      </c>
      <c r="C144" s="156" t="s">
        <v>1833</v>
      </c>
    </row>
    <row r="145" spans="1:3" x14ac:dyDescent="0.6">
      <c r="A145" s="7" t="s">
        <v>62</v>
      </c>
      <c r="B145" s="26" t="s">
        <v>22</v>
      </c>
      <c r="C145" s="156" t="s">
        <v>1833</v>
      </c>
    </row>
    <row r="146" spans="1:3" x14ac:dyDescent="0.6">
      <c r="A146" s="7" t="s">
        <v>743</v>
      </c>
      <c r="B146" s="26" t="s">
        <v>15</v>
      </c>
      <c r="C146" s="156" t="s">
        <v>1836</v>
      </c>
    </row>
    <row r="147" spans="1:3" x14ac:dyDescent="0.6">
      <c r="A147" s="7" t="s">
        <v>64</v>
      </c>
      <c r="B147" s="26" t="s">
        <v>22</v>
      </c>
      <c r="C147" s="156" t="s">
        <v>1833</v>
      </c>
    </row>
    <row r="148" spans="1:3" x14ac:dyDescent="0.6">
      <c r="A148" s="7" t="s">
        <v>65</v>
      </c>
      <c r="B148" s="26" t="s">
        <v>22</v>
      </c>
      <c r="C148" s="156" t="s">
        <v>1833</v>
      </c>
    </row>
    <row r="149" spans="1:3" x14ac:dyDescent="0.6">
      <c r="A149" s="7" t="s">
        <v>41</v>
      </c>
      <c r="B149" s="26" t="s">
        <v>15</v>
      </c>
      <c r="C149" s="156" t="s">
        <v>1836</v>
      </c>
    </row>
    <row r="150" spans="1:3" x14ac:dyDescent="0.6">
      <c r="A150" s="7" t="s">
        <v>42</v>
      </c>
      <c r="B150" s="26" t="s">
        <v>15</v>
      </c>
      <c r="C150" s="156" t="s">
        <v>1836</v>
      </c>
    </row>
    <row r="151" spans="1:3" x14ac:dyDescent="0.6">
      <c r="A151" s="7" t="s">
        <v>44</v>
      </c>
      <c r="B151" s="26" t="s">
        <v>15</v>
      </c>
      <c r="C151" s="156" t="s">
        <v>1836</v>
      </c>
    </row>
    <row r="152" spans="1:3" x14ac:dyDescent="0.6">
      <c r="A152" s="7" t="s">
        <v>43</v>
      </c>
      <c r="B152" s="26" t="s">
        <v>15</v>
      </c>
      <c r="C152" s="156" t="s">
        <v>1836</v>
      </c>
    </row>
    <row r="153" spans="1:3" x14ac:dyDescent="0.6">
      <c r="A153" s="7" t="s">
        <v>40</v>
      </c>
      <c r="B153" s="26" t="s">
        <v>15</v>
      </c>
      <c r="C153" s="156" t="s">
        <v>1836</v>
      </c>
    </row>
    <row r="154" spans="1:3" x14ac:dyDescent="0.6">
      <c r="A154" s="7" t="s">
        <v>63</v>
      </c>
      <c r="B154" s="26" t="s">
        <v>22</v>
      </c>
      <c r="C154" s="156" t="s">
        <v>1833</v>
      </c>
    </row>
    <row r="155" spans="1:3" x14ac:dyDescent="0.6">
      <c r="A155" s="7" t="s">
        <v>39</v>
      </c>
      <c r="B155" s="26" t="s">
        <v>15</v>
      </c>
      <c r="C155" s="156" t="s">
        <v>1836</v>
      </c>
    </row>
    <row r="156" spans="1:3" x14ac:dyDescent="0.6">
      <c r="A156" s="7" t="s">
        <v>79</v>
      </c>
      <c r="B156" s="26" t="s">
        <v>22</v>
      </c>
      <c r="C156" s="156" t="s">
        <v>1833</v>
      </c>
    </row>
    <row r="157" spans="1:3" x14ac:dyDescent="0.6">
      <c r="A157" s="7" t="s">
        <v>80</v>
      </c>
      <c r="B157" s="26" t="s">
        <v>22</v>
      </c>
      <c r="C157" s="156" t="s">
        <v>1833</v>
      </c>
    </row>
    <row r="158" spans="1:3" x14ac:dyDescent="0.6">
      <c r="A158" s="7" t="s">
        <v>81</v>
      </c>
      <c r="B158" s="26" t="s">
        <v>22</v>
      </c>
      <c r="C158" s="156" t="s">
        <v>1833</v>
      </c>
    </row>
    <row r="159" spans="1:3" x14ac:dyDescent="0.6">
      <c r="A159" s="7" t="s">
        <v>78</v>
      </c>
      <c r="B159" s="26" t="s">
        <v>22</v>
      </c>
      <c r="C159" s="156" t="s">
        <v>1833</v>
      </c>
    </row>
    <row r="160" spans="1:3" x14ac:dyDescent="0.6">
      <c r="A160" s="7" t="s">
        <v>745</v>
      </c>
      <c r="B160" s="26" t="s">
        <v>15</v>
      </c>
      <c r="C160" s="156" t="s">
        <v>1836</v>
      </c>
    </row>
    <row r="161" spans="1:3" x14ac:dyDescent="0.6">
      <c r="A161" s="7" t="s">
        <v>87</v>
      </c>
      <c r="B161" s="26" t="s">
        <v>22</v>
      </c>
      <c r="C161" s="156" t="s">
        <v>1833</v>
      </c>
    </row>
    <row r="162" spans="1:3" x14ac:dyDescent="0.6">
      <c r="A162" s="7" t="s">
        <v>88</v>
      </c>
      <c r="B162" s="26" t="s">
        <v>22</v>
      </c>
      <c r="C162" s="156" t="s">
        <v>1833</v>
      </c>
    </row>
    <row r="163" spans="1:3" x14ac:dyDescent="0.6">
      <c r="A163" s="7" t="s">
        <v>46</v>
      </c>
      <c r="B163" s="26" t="s">
        <v>15</v>
      </c>
      <c r="C163" s="156" t="s">
        <v>1836</v>
      </c>
    </row>
    <row r="164" spans="1:3" x14ac:dyDescent="0.6">
      <c r="A164" s="7" t="s">
        <v>73</v>
      </c>
      <c r="B164" s="26" t="s">
        <v>22</v>
      </c>
      <c r="C164" s="156" t="s">
        <v>1833</v>
      </c>
    </row>
  </sheetData>
  <sheetProtection algorithmName="SHA-512" hashValue="fT4fBqM+I9RkYWAqe/7uouWoNAQpqmd0k192D1Lp3ZYT4+ebBCXbm9ZEyafSf4FUS8VreMrQq08BPYpmm2lC1A==" saltValue="HJzb+YHmyMUASyr0khe9Vw==" spinCount="100000" sheet="1" objects="1" scenarios="1"/>
  <autoFilter ref="A105:C164" xr:uid="{292852C5-BFC1-4357-AF32-9553424A3AD3}">
    <sortState xmlns:xlrd2="http://schemas.microsoft.com/office/spreadsheetml/2017/richdata2" ref="A106:C164">
      <sortCondition ref="A105:A164"/>
    </sortState>
  </autoFilter>
  <mergeCells count="1">
    <mergeCell ref="A1:B1"/>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237466-1331-4104-851C-D088491F2043}">
  <sheetPr codeName="Sheet02">
    <tabColor theme="4"/>
    <pageSetUpPr fitToPage="1"/>
  </sheetPr>
  <dimension ref="A1:AY146"/>
  <sheetViews>
    <sheetView zoomScale="70" zoomScaleNormal="70" workbookViewId="0">
      <selection sqref="A1:N1"/>
    </sheetView>
  </sheetViews>
  <sheetFormatPr defaultColWidth="8.83203125" defaultRowHeight="19.2" x14ac:dyDescent="0.55000000000000004"/>
  <cols>
    <col min="1" max="9" width="6.58203125" style="263" customWidth="1"/>
    <col min="10" max="12" width="6.58203125" style="262" customWidth="1"/>
    <col min="13" max="15" width="6.58203125" style="263" customWidth="1"/>
    <col min="16" max="36" width="6.58203125" style="264" customWidth="1"/>
    <col min="37" max="51" width="6.58203125" customWidth="1"/>
  </cols>
  <sheetData>
    <row r="1" spans="1:51" s="237" customFormat="1" ht="45" customHeight="1" x14ac:dyDescent="0.75">
      <c r="A1" s="492"/>
      <c r="B1" s="493"/>
      <c r="C1" s="493"/>
      <c r="D1" s="493"/>
      <c r="E1" s="493"/>
      <c r="F1" s="493"/>
      <c r="G1" s="493"/>
      <c r="H1" s="493"/>
      <c r="I1" s="493"/>
      <c r="J1" s="493"/>
      <c r="K1" s="493"/>
      <c r="L1" s="493"/>
      <c r="M1" s="493"/>
      <c r="N1" s="494"/>
      <c r="O1" s="235"/>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388" t="s">
        <v>1854</v>
      </c>
      <c r="AP1" s="389"/>
      <c r="AQ1" s="389"/>
      <c r="AR1" s="389"/>
      <c r="AS1" s="389"/>
      <c r="AT1" s="389"/>
      <c r="AU1" s="389"/>
      <c r="AV1" s="389"/>
      <c r="AW1" s="389"/>
      <c r="AX1" s="390"/>
      <c r="AY1" s="33"/>
    </row>
    <row r="2" spans="1:51" s="241" customFormat="1" ht="34.950000000000003" customHeight="1" x14ac:dyDescent="0.55000000000000004">
      <c r="A2" s="497" t="str">
        <f>IF(ISBLANK($A$1),"▲ Select institution name from dropdown ▲",VLOOKUP($A$1,SearchNames,2,FALSE))</f>
        <v>▲ Select institution name from dropdown ▲</v>
      </c>
      <c r="B2" s="498"/>
      <c r="C2" s="498"/>
      <c r="D2" s="498"/>
      <c r="E2" s="498"/>
      <c r="F2" s="498"/>
      <c r="G2" s="498"/>
      <c r="H2" s="498"/>
      <c r="I2" s="498"/>
      <c r="J2" s="498"/>
      <c r="K2" s="498"/>
      <c r="L2" s="498"/>
      <c r="M2" s="498"/>
      <c r="N2" s="499"/>
      <c r="O2" s="238"/>
      <c r="P2" s="239"/>
      <c r="Q2" s="239"/>
      <c r="R2" s="239"/>
      <c r="S2" s="239"/>
      <c r="T2" s="239"/>
      <c r="U2" s="239"/>
      <c r="V2" s="239"/>
      <c r="W2" s="239"/>
      <c r="X2" s="239"/>
      <c r="Y2" s="239"/>
      <c r="Z2" s="239"/>
      <c r="AA2" s="239"/>
      <c r="AB2" s="239"/>
      <c r="AC2" s="239"/>
      <c r="AD2" s="239"/>
      <c r="AE2" s="239"/>
      <c r="AF2" s="239"/>
      <c r="AG2" s="239"/>
      <c r="AH2" s="239"/>
      <c r="AI2" s="239"/>
      <c r="AJ2" s="239"/>
      <c r="AK2" s="240"/>
      <c r="AL2" s="240"/>
      <c r="AM2" s="240"/>
      <c r="AN2" s="240"/>
      <c r="AO2" s="410" t="s">
        <v>1851</v>
      </c>
      <c r="AP2" s="411"/>
      <c r="AQ2" s="411"/>
      <c r="AR2" s="411"/>
      <c r="AS2" s="411"/>
      <c r="AT2" s="411"/>
      <c r="AU2" s="411"/>
      <c r="AV2" s="411"/>
      <c r="AW2" s="411"/>
      <c r="AX2" s="214"/>
      <c r="AY2" s="22"/>
    </row>
    <row r="3" spans="1:51" s="247" customFormat="1" ht="27" customHeight="1" x14ac:dyDescent="0.55000000000000004">
      <c r="A3" s="495" t="s">
        <v>1419</v>
      </c>
      <c r="B3" s="496"/>
      <c r="C3" s="496"/>
      <c r="D3" s="496"/>
      <c r="E3" s="496"/>
      <c r="F3" s="496"/>
      <c r="G3" s="496"/>
      <c r="H3" s="496"/>
      <c r="I3" s="496"/>
      <c r="J3" s="496"/>
      <c r="K3" s="496"/>
      <c r="L3" s="496"/>
      <c r="M3" s="496"/>
      <c r="N3" s="496"/>
      <c r="O3" s="244"/>
      <c r="P3" s="245"/>
      <c r="Q3" s="245"/>
      <c r="R3" s="245"/>
      <c r="S3" s="245"/>
      <c r="T3" s="245"/>
      <c r="U3" s="245"/>
      <c r="V3" s="245"/>
      <c r="W3" s="245"/>
      <c r="X3" s="245"/>
      <c r="Y3" s="245"/>
      <c r="Z3" s="245"/>
      <c r="AA3" s="245"/>
      <c r="AB3" s="245"/>
      <c r="AC3" s="245"/>
      <c r="AD3" s="245"/>
      <c r="AE3" s="245"/>
      <c r="AF3" s="245"/>
      <c r="AG3" s="245"/>
      <c r="AH3" s="245"/>
      <c r="AI3" s="245"/>
      <c r="AJ3" s="245"/>
      <c r="AK3" s="246"/>
      <c r="AL3" s="246"/>
      <c r="AM3" s="246"/>
      <c r="AN3" s="246"/>
      <c r="AO3" s="410"/>
      <c r="AP3" s="411"/>
      <c r="AQ3" s="411"/>
      <c r="AR3" s="411"/>
      <c r="AS3" s="411"/>
      <c r="AT3" s="411"/>
      <c r="AU3" s="411"/>
      <c r="AV3" s="411"/>
      <c r="AW3" s="411"/>
      <c r="AX3" s="214"/>
      <c r="AY3" s="22"/>
    </row>
    <row r="4" spans="1:51" s="247" customFormat="1" ht="27" customHeight="1" x14ac:dyDescent="0.55000000000000004">
      <c r="A4" s="486" t="s">
        <v>1631</v>
      </c>
      <c r="B4" s="486"/>
      <c r="C4" s="486"/>
      <c r="D4" s="486"/>
      <c r="E4" s="486"/>
      <c r="F4" s="486"/>
      <c r="G4" s="486"/>
      <c r="H4" s="486"/>
      <c r="I4" s="486"/>
      <c r="J4" s="486"/>
      <c r="K4" s="486"/>
      <c r="L4" s="486"/>
      <c r="M4" s="486"/>
      <c r="N4" s="486"/>
      <c r="O4" s="486"/>
      <c r="P4" s="486"/>
      <c r="Q4" s="486"/>
      <c r="R4" s="486"/>
      <c r="S4" s="486"/>
      <c r="T4" s="486"/>
      <c r="U4" s="486"/>
      <c r="V4" s="486"/>
      <c r="W4" s="486"/>
      <c r="X4" s="486"/>
      <c r="Y4" s="486"/>
      <c r="Z4" s="486"/>
      <c r="AA4" s="486"/>
      <c r="AB4" s="486"/>
      <c r="AC4" s="486"/>
      <c r="AD4" s="486"/>
      <c r="AE4" s="486"/>
      <c r="AF4" s="486"/>
      <c r="AG4" s="486"/>
      <c r="AH4" s="486"/>
      <c r="AI4" s="486"/>
      <c r="AJ4" s="486"/>
      <c r="AK4" s="486"/>
      <c r="AL4" s="486"/>
      <c r="AM4" s="486"/>
      <c r="AN4" s="246"/>
      <c r="AO4" s="410"/>
      <c r="AP4" s="411"/>
      <c r="AQ4" s="411"/>
      <c r="AR4" s="411"/>
      <c r="AS4" s="411"/>
      <c r="AT4" s="411"/>
      <c r="AU4" s="411"/>
      <c r="AV4" s="411"/>
      <c r="AW4" s="411"/>
      <c r="AX4" s="214"/>
      <c r="AY4" s="22"/>
    </row>
    <row r="5" spans="1:51" s="247" customFormat="1" ht="27" customHeight="1" x14ac:dyDescent="0.55000000000000004">
      <c r="A5" s="486"/>
      <c r="B5" s="486"/>
      <c r="C5" s="486"/>
      <c r="D5" s="486"/>
      <c r="E5" s="486"/>
      <c r="F5" s="486"/>
      <c r="G5" s="486"/>
      <c r="H5" s="486"/>
      <c r="I5" s="486"/>
      <c r="J5" s="486"/>
      <c r="K5" s="486"/>
      <c r="L5" s="486"/>
      <c r="M5" s="486"/>
      <c r="N5" s="486"/>
      <c r="O5" s="486"/>
      <c r="P5" s="486"/>
      <c r="Q5" s="486"/>
      <c r="R5" s="486"/>
      <c r="S5" s="486"/>
      <c r="T5" s="486"/>
      <c r="U5" s="486"/>
      <c r="V5" s="486"/>
      <c r="W5" s="486"/>
      <c r="X5" s="486"/>
      <c r="Y5" s="486"/>
      <c r="Z5" s="486"/>
      <c r="AA5" s="486"/>
      <c r="AB5" s="486"/>
      <c r="AC5" s="486"/>
      <c r="AD5" s="486"/>
      <c r="AE5" s="486"/>
      <c r="AF5" s="486"/>
      <c r="AG5" s="486"/>
      <c r="AH5" s="486"/>
      <c r="AI5" s="486"/>
      <c r="AJ5" s="486"/>
      <c r="AK5" s="486"/>
      <c r="AL5" s="486"/>
      <c r="AM5" s="486"/>
      <c r="AN5" s="246"/>
      <c r="AO5" s="216"/>
      <c r="AP5" s="391" t="s">
        <v>1852</v>
      </c>
      <c r="AQ5" s="391"/>
      <c r="AR5" s="391"/>
      <c r="AS5" s="202" t="s">
        <v>1853</v>
      </c>
      <c r="AT5" s="202"/>
      <c r="AU5" s="202"/>
      <c r="AV5" s="202"/>
      <c r="AW5" s="202"/>
      <c r="AX5" s="215"/>
      <c r="AY5" s="22"/>
    </row>
    <row r="6" spans="1:51" s="247" customFormat="1" ht="27" customHeight="1" x14ac:dyDescent="0.55000000000000004">
      <c r="A6" s="487"/>
      <c r="B6" s="487"/>
      <c r="C6" s="487"/>
      <c r="D6" s="487"/>
      <c r="E6" s="487"/>
      <c r="F6" s="487"/>
      <c r="G6" s="487"/>
      <c r="H6" s="487"/>
      <c r="I6" s="487"/>
      <c r="J6" s="487"/>
      <c r="K6" s="487"/>
      <c r="L6" s="487"/>
      <c r="M6" s="487"/>
      <c r="N6" s="487"/>
      <c r="O6" s="487"/>
      <c r="P6" s="487"/>
      <c r="Q6" s="487"/>
      <c r="R6" s="487"/>
      <c r="S6" s="487"/>
      <c r="T6" s="487"/>
      <c r="U6" s="487"/>
      <c r="V6" s="487"/>
      <c r="W6" s="487"/>
      <c r="X6" s="487"/>
      <c r="Y6" s="487"/>
      <c r="Z6" s="487"/>
      <c r="AA6" s="487"/>
      <c r="AB6" s="487"/>
      <c r="AC6" s="487"/>
      <c r="AD6" s="487"/>
      <c r="AE6" s="487"/>
      <c r="AF6" s="487"/>
      <c r="AG6" s="487"/>
      <c r="AH6" s="487"/>
      <c r="AI6" s="487"/>
      <c r="AJ6" s="487"/>
      <c r="AK6" s="487"/>
      <c r="AL6" s="487"/>
      <c r="AM6" s="487"/>
      <c r="AN6" s="246"/>
      <c r="AO6" s="22"/>
      <c r="AP6" s="22"/>
      <c r="AQ6" s="22"/>
      <c r="AR6" s="22"/>
      <c r="AS6" s="22"/>
      <c r="AT6" s="22"/>
      <c r="AU6" s="22"/>
      <c r="AV6" s="22"/>
      <c r="AW6" s="22"/>
      <c r="AX6" s="22"/>
      <c r="AY6" s="22"/>
    </row>
    <row r="7" spans="1:51" s="247" customFormat="1" ht="27" customHeight="1" x14ac:dyDescent="0.55000000000000004">
      <c r="A7" s="449" t="s">
        <v>1905</v>
      </c>
      <c r="B7" s="450"/>
      <c r="C7" s="450"/>
      <c r="D7" s="450"/>
      <c r="E7" s="450"/>
      <c r="F7" s="450"/>
      <c r="G7" s="450"/>
      <c r="H7" s="450"/>
      <c r="I7" s="450"/>
      <c r="J7" s="455" t="s">
        <v>23</v>
      </c>
      <c r="K7" s="455"/>
      <c r="L7" s="455"/>
      <c r="M7" s="455" t="s">
        <v>24</v>
      </c>
      <c r="N7" s="455"/>
      <c r="O7" s="455"/>
      <c r="P7" s="455" t="s">
        <v>25</v>
      </c>
      <c r="Q7" s="455"/>
      <c r="R7" s="455"/>
      <c r="S7" s="455" t="s">
        <v>26</v>
      </c>
      <c r="T7" s="455"/>
      <c r="U7" s="455"/>
      <c r="V7" s="455" t="s">
        <v>27</v>
      </c>
      <c r="W7" s="455"/>
      <c r="X7" s="455"/>
      <c r="Y7" s="455" t="s">
        <v>1625</v>
      </c>
      <c r="Z7" s="455"/>
      <c r="AA7" s="455"/>
      <c r="AB7" s="455" t="s">
        <v>28</v>
      </c>
      <c r="AC7" s="455"/>
      <c r="AD7" s="455"/>
      <c r="AE7" s="455" t="s">
        <v>29</v>
      </c>
      <c r="AF7" s="455"/>
      <c r="AG7" s="455"/>
      <c r="AH7" s="455" t="s">
        <v>30</v>
      </c>
      <c r="AI7" s="455"/>
      <c r="AJ7" s="455"/>
      <c r="AK7" s="455" t="s">
        <v>96</v>
      </c>
      <c r="AL7" s="455"/>
      <c r="AM7" s="457"/>
      <c r="AN7" s="246"/>
      <c r="AO7" s="22"/>
      <c r="AP7" s="22"/>
      <c r="AQ7" s="22"/>
      <c r="AR7" s="22"/>
      <c r="AS7" s="22"/>
      <c r="AT7" s="22"/>
      <c r="AU7" s="22"/>
      <c r="AV7" s="22"/>
      <c r="AW7" s="22"/>
      <c r="AX7" s="22"/>
      <c r="AY7" s="22"/>
    </row>
    <row r="8" spans="1:51" s="247" customFormat="1" ht="27" customHeight="1" x14ac:dyDescent="0.55000000000000004">
      <c r="A8" s="451"/>
      <c r="B8" s="452"/>
      <c r="C8" s="452"/>
      <c r="D8" s="452"/>
      <c r="E8" s="452"/>
      <c r="F8" s="452"/>
      <c r="G8" s="452"/>
      <c r="H8" s="452"/>
      <c r="I8" s="452"/>
      <c r="J8" s="456"/>
      <c r="K8" s="456"/>
      <c r="L8" s="456"/>
      <c r="M8" s="456"/>
      <c r="N8" s="456"/>
      <c r="O8" s="456"/>
      <c r="P8" s="456"/>
      <c r="Q8" s="456"/>
      <c r="R8" s="456"/>
      <c r="S8" s="456"/>
      <c r="T8" s="456"/>
      <c r="U8" s="456"/>
      <c r="V8" s="456"/>
      <c r="W8" s="456"/>
      <c r="X8" s="456"/>
      <c r="Y8" s="456"/>
      <c r="Z8" s="456"/>
      <c r="AA8" s="456"/>
      <c r="AB8" s="456"/>
      <c r="AC8" s="456"/>
      <c r="AD8" s="456"/>
      <c r="AE8" s="456"/>
      <c r="AF8" s="456"/>
      <c r="AG8" s="456"/>
      <c r="AH8" s="456"/>
      <c r="AI8" s="456"/>
      <c r="AJ8" s="456"/>
      <c r="AK8" s="456"/>
      <c r="AL8" s="456"/>
      <c r="AM8" s="458"/>
      <c r="AN8" s="246"/>
      <c r="AO8" s="22"/>
      <c r="AP8" s="22"/>
      <c r="AQ8" s="22"/>
      <c r="AR8" s="22"/>
      <c r="AS8" s="22"/>
      <c r="AT8" s="22"/>
      <c r="AU8" s="22"/>
      <c r="AV8" s="22"/>
      <c r="AW8" s="22"/>
      <c r="AX8" s="22"/>
      <c r="AY8" s="22"/>
    </row>
    <row r="9" spans="1:51" s="247" customFormat="1" ht="27" customHeight="1" x14ac:dyDescent="0.55000000000000004">
      <c r="A9" s="451"/>
      <c r="B9" s="452"/>
      <c r="C9" s="452"/>
      <c r="D9" s="452"/>
      <c r="E9" s="452"/>
      <c r="F9" s="452"/>
      <c r="G9" s="452"/>
      <c r="H9" s="452"/>
      <c r="I9" s="452"/>
      <c r="J9" s="456"/>
      <c r="K9" s="456"/>
      <c r="L9" s="456"/>
      <c r="M9" s="456"/>
      <c r="N9" s="456"/>
      <c r="O9" s="456"/>
      <c r="P9" s="456"/>
      <c r="Q9" s="456"/>
      <c r="R9" s="456"/>
      <c r="S9" s="456"/>
      <c r="T9" s="456"/>
      <c r="U9" s="456"/>
      <c r="V9" s="456"/>
      <c r="W9" s="456"/>
      <c r="X9" s="456"/>
      <c r="Y9" s="456"/>
      <c r="Z9" s="456"/>
      <c r="AA9" s="456"/>
      <c r="AB9" s="456"/>
      <c r="AC9" s="456"/>
      <c r="AD9" s="456"/>
      <c r="AE9" s="456"/>
      <c r="AF9" s="456"/>
      <c r="AG9" s="456"/>
      <c r="AH9" s="456"/>
      <c r="AI9" s="456"/>
      <c r="AJ9" s="456"/>
      <c r="AK9" s="456"/>
      <c r="AL9" s="456"/>
      <c r="AM9" s="458"/>
      <c r="AN9" s="246"/>
      <c r="AO9" s="22"/>
      <c r="AP9" s="22"/>
      <c r="AQ9" s="22"/>
      <c r="AR9" s="22"/>
      <c r="AS9" s="22"/>
      <c r="AT9" s="22"/>
      <c r="AU9" s="22"/>
      <c r="AV9" s="22"/>
      <c r="AW9" s="22"/>
      <c r="AX9" s="22"/>
      <c r="AY9" s="22"/>
    </row>
    <row r="10" spans="1:51" s="247" customFormat="1" ht="27" customHeight="1" x14ac:dyDescent="0.55000000000000004">
      <c r="A10" s="442" t="s">
        <v>94</v>
      </c>
      <c r="B10" s="443"/>
      <c r="C10" s="443"/>
      <c r="D10" s="443"/>
      <c r="E10" s="443"/>
      <c r="F10" s="443"/>
      <c r="G10" s="443"/>
      <c r="H10" s="443"/>
      <c r="I10" s="443"/>
      <c r="J10" s="443"/>
      <c r="K10" s="443"/>
      <c r="L10" s="443"/>
      <c r="M10" s="443"/>
      <c r="N10" s="443"/>
      <c r="O10" s="443"/>
      <c r="P10" s="443"/>
      <c r="Q10" s="443"/>
      <c r="R10" s="443"/>
      <c r="S10" s="443"/>
      <c r="T10" s="443"/>
      <c r="U10" s="443"/>
      <c r="V10" s="443"/>
      <c r="W10" s="443"/>
      <c r="X10" s="443"/>
      <c r="Y10" s="443"/>
      <c r="Z10" s="443"/>
      <c r="AA10" s="443"/>
      <c r="AB10" s="443"/>
      <c r="AC10" s="443"/>
      <c r="AD10" s="443"/>
      <c r="AE10" s="443"/>
      <c r="AF10" s="443"/>
      <c r="AG10" s="443"/>
      <c r="AH10" s="443"/>
      <c r="AI10" s="443"/>
      <c r="AJ10" s="443"/>
      <c r="AK10" s="443"/>
      <c r="AL10" s="443"/>
      <c r="AM10" s="444"/>
      <c r="AN10" s="246"/>
      <c r="AO10" s="22"/>
      <c r="AP10" s="22"/>
      <c r="AQ10" s="22"/>
      <c r="AR10" s="22"/>
      <c r="AS10" s="22"/>
      <c r="AT10" s="22"/>
      <c r="AU10" s="22"/>
      <c r="AV10" s="22"/>
      <c r="AW10" s="22"/>
      <c r="AX10" s="22"/>
      <c r="AY10" s="22"/>
    </row>
    <row r="11" spans="1:51" s="247" customFormat="1" ht="27" customHeight="1" x14ac:dyDescent="0.55000000000000004">
      <c r="A11" s="475" t="s">
        <v>97</v>
      </c>
      <c r="B11" s="476"/>
      <c r="C11" s="476"/>
      <c r="D11" s="476"/>
      <c r="E11" s="476"/>
      <c r="F11" s="476"/>
      <c r="G11" s="476"/>
      <c r="H11" s="476"/>
      <c r="I11" s="477"/>
      <c r="J11" s="431">
        <f>SUMIFS(Input[St. Ap. E &amp; G],Input[Institution Name],$A$1)</f>
        <v>0</v>
      </c>
      <c r="K11" s="431"/>
      <c r="L11" s="431"/>
      <c r="M11" s="431">
        <f>SUMIFS(Input[St. Ap. Desg],Input[Institution Name],$A$1)</f>
        <v>0</v>
      </c>
      <c r="N11" s="431"/>
      <c r="O11" s="431"/>
      <c r="P11" s="431">
        <f>SUMIFS(Input[St. Ap. Aux],Input[Institution Name],$A$1)</f>
        <v>0</v>
      </c>
      <c r="Q11" s="431"/>
      <c r="R11" s="431"/>
      <c r="S11" s="431">
        <f>SUMIFS(Input[St. Ap. R Exp],Input[Institution Name],$A$1)</f>
        <v>0</v>
      </c>
      <c r="T11" s="431"/>
      <c r="U11" s="431"/>
      <c r="V11" s="431">
        <f>SUMIFS(Input[St. Ap. Loan],Input[Institution Name],$A$1)</f>
        <v>0</v>
      </c>
      <c r="W11" s="431"/>
      <c r="X11" s="431"/>
      <c r="Y11" s="431">
        <f>SUMIFS(Input[St. Ap. Annuity],Input[Institution Name],$A$1)</f>
        <v>0</v>
      </c>
      <c r="Z11" s="431"/>
      <c r="AA11" s="431"/>
      <c r="AB11" s="431">
        <f>SUMIFS(Input[St. Ap. Unexp],Input[Institution Name],$A$1)</f>
        <v>0</v>
      </c>
      <c r="AC11" s="431"/>
      <c r="AD11" s="431"/>
      <c r="AE11" s="431">
        <f>SUMIFS(Input[St. Ap. R of Ind],Input[Institution Name],$A$1)</f>
        <v>0</v>
      </c>
      <c r="AF11" s="431"/>
      <c r="AG11" s="431"/>
      <c r="AH11" s="431">
        <f>SUMIFS(Input[St. Ap. Inv in P],Input[Institution Name],$A$1)</f>
        <v>0</v>
      </c>
      <c r="AI11" s="431"/>
      <c r="AJ11" s="431"/>
      <c r="AK11" s="440">
        <f>SUM(J11:AH11)</f>
        <v>0</v>
      </c>
      <c r="AL11" s="440"/>
      <c r="AM11" s="440"/>
      <c r="AN11" s="246"/>
      <c r="AO11" s="22"/>
      <c r="AP11" s="22"/>
      <c r="AQ11" s="22"/>
      <c r="AR11" s="22"/>
      <c r="AS11" s="22"/>
      <c r="AT11" s="22"/>
      <c r="AU11" s="22"/>
      <c r="AV11" s="22"/>
      <c r="AW11" s="22"/>
      <c r="AX11" s="22"/>
      <c r="AY11" s="22"/>
    </row>
    <row r="12" spans="1:51" s="247" customFormat="1" ht="27" customHeight="1" x14ac:dyDescent="0.55000000000000004">
      <c r="A12" s="433" t="s">
        <v>847</v>
      </c>
      <c r="B12" s="434"/>
      <c r="C12" s="434"/>
      <c r="D12" s="434"/>
      <c r="E12" s="434"/>
      <c r="F12" s="434"/>
      <c r="G12" s="434"/>
      <c r="H12" s="434"/>
      <c r="I12" s="435"/>
      <c r="J12" s="431">
        <f>SUMIFS(Input[St. C&amp;G E&amp;G],Input[Institution Name],$A$1)</f>
        <v>0</v>
      </c>
      <c r="K12" s="431"/>
      <c r="L12" s="431"/>
      <c r="M12" s="431">
        <f>SUMIFS(Input[St. C&amp;G Desg],Input[Institution Name],$A$1)</f>
        <v>0</v>
      </c>
      <c r="N12" s="431"/>
      <c r="O12" s="431"/>
      <c r="P12" s="431">
        <f>SUMIFS(Input[St. C&amp;G Aux],Input[Institution Name],$A$1)</f>
        <v>0</v>
      </c>
      <c r="Q12" s="431"/>
      <c r="R12" s="431"/>
      <c r="S12" s="431">
        <f>SUMIFS(Input[St. C&amp;G R Exp],Input[Institution Name],$A$1)</f>
        <v>0</v>
      </c>
      <c r="T12" s="431"/>
      <c r="U12" s="431"/>
      <c r="V12" s="431">
        <f>SUMIFS(Input[St. C&amp;G Loan],Input[Institution Name],$A$1)</f>
        <v>0</v>
      </c>
      <c r="W12" s="431"/>
      <c r="X12" s="431"/>
      <c r="Y12" s="431">
        <f>SUMIFS(Input[St. C&amp;G Annuity],Input[Institution Name],$A$1)</f>
        <v>0</v>
      </c>
      <c r="Z12" s="431"/>
      <c r="AA12" s="431"/>
      <c r="AB12" s="431">
        <f>SUMIFS(Input[St. C&amp;G Unexp],Input[Institution Name],$A$1)</f>
        <v>0</v>
      </c>
      <c r="AC12" s="431"/>
      <c r="AD12" s="431"/>
      <c r="AE12" s="431">
        <f>SUMIFS(Input[St. C&amp;G R of Ind],Input[Institution Name],$A$1)</f>
        <v>0</v>
      </c>
      <c r="AF12" s="431"/>
      <c r="AG12" s="431"/>
      <c r="AH12" s="431">
        <f>SUMIFS(Input[St. C&amp;G Inv in P],Input[Institution Name],$A$1)</f>
        <v>0</v>
      </c>
      <c r="AI12" s="431"/>
      <c r="AJ12" s="431"/>
      <c r="AK12" s="432">
        <f>SUM(J12:AH12)</f>
        <v>0</v>
      </c>
      <c r="AL12" s="432"/>
      <c r="AM12" s="432"/>
      <c r="AN12" s="246"/>
      <c r="AO12" s="22"/>
      <c r="AP12" s="22"/>
      <c r="AQ12" s="22"/>
      <c r="AR12" s="22"/>
      <c r="AS12" s="22"/>
      <c r="AT12" s="22"/>
      <c r="AU12" s="22"/>
      <c r="AV12" s="22"/>
      <c r="AW12" s="22"/>
      <c r="AX12" s="22"/>
      <c r="AY12" s="22"/>
    </row>
    <row r="13" spans="1:51" s="247" customFormat="1" ht="27" customHeight="1" x14ac:dyDescent="0.55000000000000004">
      <c r="A13" s="433" t="s">
        <v>98</v>
      </c>
      <c r="B13" s="434"/>
      <c r="C13" s="434"/>
      <c r="D13" s="434"/>
      <c r="E13" s="434"/>
      <c r="F13" s="434"/>
      <c r="G13" s="434"/>
      <c r="H13" s="434"/>
      <c r="I13" s="435"/>
      <c r="J13" s="431">
        <f>SUMIFS(Input[HEF E&amp;G],Input[Institution Name],$A$1)</f>
        <v>0</v>
      </c>
      <c r="K13" s="431"/>
      <c r="L13" s="431"/>
      <c r="M13" s="431">
        <f>SUMIFS(Input[HEF Desg],Input[Institution Name],$A$1)</f>
        <v>0</v>
      </c>
      <c r="N13" s="431"/>
      <c r="O13" s="431"/>
      <c r="P13" s="431">
        <f>SUMIFS(Input[HEF Aux],Input[Institution Name],$A$1)</f>
        <v>0</v>
      </c>
      <c r="Q13" s="431"/>
      <c r="R13" s="431"/>
      <c r="S13" s="431">
        <f>SUMIFS(Input[HEF R Exp],Input[Institution Name],$A$1)</f>
        <v>0</v>
      </c>
      <c r="T13" s="431"/>
      <c r="U13" s="431"/>
      <c r="V13" s="431">
        <f>SUMIFS(Input[HEF Loan],Input[Institution Name],$A$1)</f>
        <v>0</v>
      </c>
      <c r="W13" s="431"/>
      <c r="X13" s="431"/>
      <c r="Y13" s="431">
        <f>SUMIFS(Input[HEF Annuity],Input[Institution Name],$A$1)</f>
        <v>0</v>
      </c>
      <c r="Z13" s="431"/>
      <c r="AA13" s="431"/>
      <c r="AB13" s="431">
        <f>SUMIFS(Input[HEF Unexp],Input[Institution Name],$A$1)</f>
        <v>0</v>
      </c>
      <c r="AC13" s="431"/>
      <c r="AD13" s="431"/>
      <c r="AE13" s="431">
        <f>SUMIFS(Input[HEF R of Ind],Input[Institution Name],$A$1)</f>
        <v>0</v>
      </c>
      <c r="AF13" s="431"/>
      <c r="AG13" s="431"/>
      <c r="AH13" s="431">
        <f>SUMIFS(Input[HEF Inv in P],Input[Institution Name],$A$1)</f>
        <v>0</v>
      </c>
      <c r="AI13" s="431"/>
      <c r="AJ13" s="431"/>
      <c r="AK13" s="432">
        <f>SUM(J13:AH13)</f>
        <v>0</v>
      </c>
      <c r="AL13" s="432"/>
      <c r="AM13" s="432"/>
      <c r="AN13" s="246"/>
      <c r="AO13" s="22"/>
      <c r="AP13" s="22"/>
      <c r="AQ13" s="22"/>
      <c r="AR13" s="22"/>
      <c r="AS13" s="22"/>
      <c r="AT13" s="22"/>
      <c r="AU13" s="22"/>
      <c r="AV13" s="22"/>
      <c r="AW13" s="22"/>
      <c r="AX13" s="22"/>
      <c r="AY13" s="22"/>
    </row>
    <row r="14" spans="1:51" s="247" customFormat="1" ht="27" customHeight="1" x14ac:dyDescent="0.55000000000000004">
      <c r="A14" s="489" t="s">
        <v>139</v>
      </c>
      <c r="B14" s="490"/>
      <c r="C14" s="490"/>
      <c r="D14" s="490"/>
      <c r="E14" s="490"/>
      <c r="F14" s="490"/>
      <c r="G14" s="490"/>
      <c r="H14" s="490"/>
      <c r="I14" s="491"/>
      <c r="J14" s="431">
        <f>SUMIFS(Input[Available E&amp;G],Input[Institution Name],$A$1)</f>
        <v>0</v>
      </c>
      <c r="K14" s="431"/>
      <c r="L14" s="431"/>
      <c r="M14" s="431">
        <f>SUMIFS(Input[Available Desg],Input[Institution Name],$A$1)</f>
        <v>0</v>
      </c>
      <c r="N14" s="431"/>
      <c r="O14" s="431"/>
      <c r="P14" s="431">
        <f>SUMIFS(Input[Available Aux],Input[Institution Name],$A$1)</f>
        <v>0</v>
      </c>
      <c r="Q14" s="431"/>
      <c r="R14" s="431"/>
      <c r="S14" s="431">
        <f>SUMIFS(Input[Available R Exp],Input[Institution Name],$A$1)</f>
        <v>0</v>
      </c>
      <c r="T14" s="431"/>
      <c r="U14" s="431"/>
      <c r="V14" s="431">
        <f>SUMIFS(Input[Available Loan],Input[Institution Name],$A$1)</f>
        <v>0</v>
      </c>
      <c r="W14" s="431"/>
      <c r="X14" s="431"/>
      <c r="Y14" s="431">
        <f>SUMIFS(Input[Available Annuity],Input[Institution Name],$A$1)</f>
        <v>0</v>
      </c>
      <c r="Z14" s="431"/>
      <c r="AA14" s="431"/>
      <c r="AB14" s="431">
        <f>SUMIFS(Input[Available Unexp],Input[Institution Name],$A$1)</f>
        <v>0</v>
      </c>
      <c r="AC14" s="431"/>
      <c r="AD14" s="431"/>
      <c r="AE14" s="431">
        <f>SUMIFS(Input[Available R of Ind],Input[Institution Name],$A$1)</f>
        <v>0</v>
      </c>
      <c r="AF14" s="431"/>
      <c r="AG14" s="431"/>
      <c r="AH14" s="431">
        <f>SUMIFS(Input[Available Inv in P],Input[Institution Name],$A$1)</f>
        <v>0</v>
      </c>
      <c r="AI14" s="431"/>
      <c r="AJ14" s="431"/>
      <c r="AK14" s="488">
        <f>SUM(J14:AH14)</f>
        <v>0</v>
      </c>
      <c r="AL14" s="488"/>
      <c r="AM14" s="488"/>
      <c r="AN14" s="246"/>
      <c r="AO14" s="22"/>
      <c r="AP14" s="22"/>
      <c r="AQ14" s="22"/>
      <c r="AR14" s="22"/>
      <c r="AS14" s="22"/>
      <c r="AT14" s="22"/>
      <c r="AU14" s="22"/>
      <c r="AV14" s="22"/>
      <c r="AW14" s="22"/>
      <c r="AX14" s="22"/>
      <c r="AY14" s="22"/>
    </row>
    <row r="15" spans="1:51" s="247" customFormat="1" ht="27" customHeight="1" x14ac:dyDescent="0.55000000000000004">
      <c r="A15" s="485" t="s">
        <v>1629</v>
      </c>
      <c r="B15" s="485"/>
      <c r="C15" s="485"/>
      <c r="D15" s="485"/>
      <c r="E15" s="485"/>
      <c r="F15" s="485"/>
      <c r="G15" s="485"/>
      <c r="H15" s="485"/>
      <c r="I15" s="485"/>
      <c r="J15" s="466">
        <f>SUM(J11:L14)</f>
        <v>0</v>
      </c>
      <c r="K15" s="466"/>
      <c r="L15" s="466"/>
      <c r="M15" s="466">
        <f t="shared" ref="M15" si="0">SUM(M11:O14)</f>
        <v>0</v>
      </c>
      <c r="N15" s="466"/>
      <c r="O15" s="466"/>
      <c r="P15" s="466">
        <f t="shared" ref="P15" si="1">SUM(P11:R14)</f>
        <v>0</v>
      </c>
      <c r="Q15" s="466"/>
      <c r="R15" s="466"/>
      <c r="S15" s="466">
        <f t="shared" ref="S15" si="2">SUM(S11:U14)</f>
        <v>0</v>
      </c>
      <c r="T15" s="466"/>
      <c r="U15" s="466"/>
      <c r="V15" s="466">
        <f t="shared" ref="V15" si="3">SUM(V11:X14)</f>
        <v>0</v>
      </c>
      <c r="W15" s="466"/>
      <c r="X15" s="466"/>
      <c r="Y15" s="466">
        <f t="shared" ref="Y15" si="4">SUM(Y11:AA14)</f>
        <v>0</v>
      </c>
      <c r="Z15" s="466"/>
      <c r="AA15" s="466"/>
      <c r="AB15" s="466">
        <f t="shared" ref="AB15" si="5">SUM(AB11:AD14)</f>
        <v>0</v>
      </c>
      <c r="AC15" s="466"/>
      <c r="AD15" s="466"/>
      <c r="AE15" s="466">
        <f t="shared" ref="AE15" si="6">SUM(AE11:AG14)</f>
        <v>0</v>
      </c>
      <c r="AF15" s="466"/>
      <c r="AG15" s="466"/>
      <c r="AH15" s="466">
        <f t="shared" ref="AH15" si="7">SUM(AH11:AJ14)</f>
        <v>0</v>
      </c>
      <c r="AI15" s="466"/>
      <c r="AJ15" s="466"/>
      <c r="AK15" s="466">
        <f t="shared" ref="AK15" si="8">SUM(AK11:AM14)</f>
        <v>0</v>
      </c>
      <c r="AL15" s="466"/>
      <c r="AM15" s="466"/>
      <c r="AN15" s="246"/>
      <c r="AO15" s="22"/>
      <c r="AP15" s="22"/>
      <c r="AQ15" s="22"/>
      <c r="AR15" s="22"/>
      <c r="AS15" s="22"/>
      <c r="AT15" s="22"/>
      <c r="AU15" s="22"/>
      <c r="AV15" s="22"/>
      <c r="AW15" s="22"/>
      <c r="AX15" s="22"/>
      <c r="AY15" s="22"/>
    </row>
    <row r="16" spans="1:51" s="250" customFormat="1" ht="27" customHeight="1" x14ac:dyDescent="0.75">
      <c r="A16" s="248"/>
      <c r="B16" s="248"/>
      <c r="C16" s="248"/>
      <c r="D16" s="248"/>
      <c r="E16" s="248"/>
      <c r="F16" s="248"/>
      <c r="G16" s="248"/>
      <c r="H16" s="248"/>
      <c r="I16" s="248"/>
      <c r="J16" s="249"/>
      <c r="K16" s="249"/>
      <c r="L16" s="249"/>
      <c r="M16" s="249"/>
      <c r="N16" s="249"/>
      <c r="O16" s="249"/>
      <c r="P16" s="249"/>
      <c r="Q16" s="249"/>
      <c r="R16" s="249"/>
      <c r="S16" s="249"/>
      <c r="T16" s="249"/>
      <c r="U16" s="249"/>
      <c r="V16" s="249"/>
      <c r="W16" s="249"/>
      <c r="X16" s="249"/>
      <c r="Y16" s="249"/>
      <c r="Z16" s="249"/>
      <c r="AA16" s="249"/>
      <c r="AB16" s="249"/>
      <c r="AC16" s="249"/>
      <c r="AD16" s="249"/>
      <c r="AE16" s="249"/>
      <c r="AF16" s="249"/>
      <c r="AG16" s="249"/>
      <c r="AH16" s="249"/>
      <c r="AI16" s="249"/>
      <c r="AJ16" s="249"/>
      <c r="AK16" s="249"/>
      <c r="AL16" s="249"/>
      <c r="AM16" s="249"/>
      <c r="AN16" s="246"/>
      <c r="AO16" s="22"/>
      <c r="AP16" s="22"/>
      <c r="AQ16" s="22"/>
      <c r="AR16" s="22"/>
      <c r="AS16" s="22"/>
      <c r="AT16" s="22"/>
      <c r="AU16" s="22"/>
      <c r="AV16" s="22"/>
      <c r="AW16" s="22"/>
      <c r="AX16" s="22"/>
      <c r="AY16" s="22"/>
    </row>
    <row r="17" spans="1:51" s="247" customFormat="1" ht="27" customHeight="1" x14ac:dyDescent="0.55000000000000004">
      <c r="A17" s="442" t="s">
        <v>1626</v>
      </c>
      <c r="B17" s="443"/>
      <c r="C17" s="443"/>
      <c r="D17" s="443"/>
      <c r="E17" s="443"/>
      <c r="F17" s="443"/>
      <c r="G17" s="443"/>
      <c r="H17" s="443"/>
      <c r="I17" s="443"/>
      <c r="J17" s="443"/>
      <c r="K17" s="443"/>
      <c r="L17" s="443"/>
      <c r="M17" s="443"/>
      <c r="N17" s="443"/>
      <c r="O17" s="443"/>
      <c r="P17" s="443"/>
      <c r="Q17" s="443"/>
      <c r="R17" s="443"/>
      <c r="S17" s="443"/>
      <c r="T17" s="443"/>
      <c r="U17" s="443"/>
      <c r="V17" s="443"/>
      <c r="W17" s="443"/>
      <c r="X17" s="443"/>
      <c r="Y17" s="443"/>
      <c r="Z17" s="443"/>
      <c r="AA17" s="443"/>
      <c r="AB17" s="443"/>
      <c r="AC17" s="443"/>
      <c r="AD17" s="443"/>
      <c r="AE17" s="443"/>
      <c r="AF17" s="443"/>
      <c r="AG17" s="443"/>
      <c r="AH17" s="443"/>
      <c r="AI17" s="443"/>
      <c r="AJ17" s="443"/>
      <c r="AK17" s="443"/>
      <c r="AL17" s="443"/>
      <c r="AM17" s="444"/>
      <c r="AN17" s="246"/>
      <c r="AO17" s="22"/>
      <c r="AP17" s="22"/>
      <c r="AQ17" s="22"/>
      <c r="AR17" s="22"/>
      <c r="AS17" s="22"/>
      <c r="AT17" s="22"/>
      <c r="AU17" s="22"/>
      <c r="AV17" s="22"/>
      <c r="AW17" s="22"/>
      <c r="AX17" s="22"/>
      <c r="AY17" s="22"/>
    </row>
    <row r="18" spans="1:51" s="247" customFormat="1" ht="27" customHeight="1" x14ac:dyDescent="0.55000000000000004">
      <c r="A18" s="483" t="s">
        <v>101</v>
      </c>
      <c r="B18" s="484"/>
      <c r="C18" s="484"/>
      <c r="D18" s="484"/>
      <c r="E18" s="484"/>
      <c r="F18" s="484"/>
      <c r="G18" s="484"/>
      <c r="H18" s="484"/>
      <c r="I18" s="484"/>
      <c r="J18" s="466" cm="1">
        <f t="array" ref="J18">SUM(J24:L24,-J20:L23)</f>
        <v>0</v>
      </c>
      <c r="K18" s="466"/>
      <c r="L18" s="466"/>
      <c r="M18" s="466" cm="1">
        <f t="array" ref="M18">SUM(M24:O24,-M20:O23)</f>
        <v>0</v>
      </c>
      <c r="N18" s="466"/>
      <c r="O18" s="466"/>
      <c r="P18" s="466" cm="1">
        <f t="array" ref="P18">SUM(P24:R24,-P20:R23)</f>
        <v>0</v>
      </c>
      <c r="Q18" s="466"/>
      <c r="R18" s="466"/>
      <c r="S18" s="466" cm="1">
        <f t="array" ref="S18">SUM(S24:U24,-S20:U23)</f>
        <v>0</v>
      </c>
      <c r="T18" s="466"/>
      <c r="U18" s="466"/>
      <c r="V18" s="466" cm="1">
        <f t="array" ref="V18">SUM(V24:X24,-V20:X23)</f>
        <v>0</v>
      </c>
      <c r="W18" s="466"/>
      <c r="X18" s="466"/>
      <c r="Y18" s="466" cm="1">
        <f t="array" ref="Y18">SUM(Y24:AA24,-Y20:AA23)</f>
        <v>0</v>
      </c>
      <c r="Z18" s="466"/>
      <c r="AA18" s="466"/>
      <c r="AB18" s="466" cm="1">
        <f t="array" ref="AB18">SUM(AB24:AD24,-AB20:AD23)</f>
        <v>0</v>
      </c>
      <c r="AC18" s="466"/>
      <c r="AD18" s="466"/>
      <c r="AE18" s="466" cm="1">
        <f t="array" ref="AE18">SUM(AE24:AG24,-AE20:AG23)</f>
        <v>0</v>
      </c>
      <c r="AF18" s="466"/>
      <c r="AG18" s="466"/>
      <c r="AH18" s="466" cm="1">
        <f t="array" ref="AH18">SUM(AH24:AJ24,-AH20:AJ23)</f>
        <v>0</v>
      </c>
      <c r="AI18" s="466"/>
      <c r="AJ18" s="466"/>
      <c r="AK18" s="466" cm="1">
        <f t="array" ref="AK18">SUM(AK24:AM24,-AK20:AM23)</f>
        <v>0</v>
      </c>
      <c r="AL18" s="466"/>
      <c r="AM18" s="466"/>
      <c r="AN18" s="246"/>
      <c r="AO18" s="22"/>
      <c r="AP18" s="22"/>
      <c r="AQ18" s="22"/>
      <c r="AR18" s="22"/>
      <c r="AS18" s="22"/>
      <c r="AT18" s="22"/>
      <c r="AU18" s="22"/>
      <c r="AV18" s="22"/>
      <c r="AW18" s="22"/>
      <c r="AX18" s="22"/>
      <c r="AY18" s="22"/>
    </row>
    <row r="19" spans="1:51" s="247" customFormat="1" ht="27" customHeight="1" x14ac:dyDescent="0.55000000000000004">
      <c r="A19" s="472" t="s">
        <v>1627</v>
      </c>
      <c r="B19" s="473"/>
      <c r="C19" s="473"/>
      <c r="D19" s="473"/>
      <c r="E19" s="473"/>
      <c r="F19" s="473"/>
      <c r="G19" s="473"/>
      <c r="H19" s="473"/>
      <c r="I19" s="473"/>
      <c r="J19" s="473"/>
      <c r="K19" s="473"/>
      <c r="L19" s="473"/>
      <c r="M19" s="473"/>
      <c r="N19" s="473"/>
      <c r="O19" s="473"/>
      <c r="P19" s="473"/>
      <c r="Q19" s="473"/>
      <c r="R19" s="473"/>
      <c r="S19" s="473"/>
      <c r="T19" s="473"/>
      <c r="U19" s="473"/>
      <c r="V19" s="473"/>
      <c r="W19" s="473"/>
      <c r="X19" s="473"/>
      <c r="Y19" s="473"/>
      <c r="Z19" s="473"/>
      <c r="AA19" s="473"/>
      <c r="AB19" s="473"/>
      <c r="AC19" s="473"/>
      <c r="AD19" s="473"/>
      <c r="AE19" s="473"/>
      <c r="AF19" s="473"/>
      <c r="AG19" s="473"/>
      <c r="AH19" s="473"/>
      <c r="AI19" s="473"/>
      <c r="AJ19" s="473"/>
      <c r="AK19" s="473"/>
      <c r="AL19" s="473"/>
      <c r="AM19" s="474"/>
      <c r="AN19" s="246"/>
      <c r="AO19" s="22"/>
      <c r="AP19" s="22"/>
      <c r="AQ19" s="22"/>
      <c r="AR19" s="22"/>
      <c r="AS19" s="22"/>
      <c r="AT19" s="22"/>
      <c r="AU19" s="22"/>
      <c r="AV19" s="22"/>
      <c r="AW19" s="22"/>
      <c r="AX19" s="22"/>
      <c r="AY19" s="22"/>
    </row>
    <row r="20" spans="1:51" s="247" customFormat="1" ht="27" customHeight="1" x14ac:dyDescent="0.55000000000000004">
      <c r="A20" s="475" t="s">
        <v>102</v>
      </c>
      <c r="B20" s="476"/>
      <c r="C20" s="476"/>
      <c r="D20" s="476"/>
      <c r="E20" s="476"/>
      <c r="F20" s="476"/>
      <c r="G20" s="476"/>
      <c r="H20" s="476"/>
      <c r="I20" s="477"/>
      <c r="J20" s="431">
        <f>SUMIFS(Input[T. W. - Stat (NR AFR) E&amp;G],Input[Institution Name],$A$1)</f>
        <v>0</v>
      </c>
      <c r="K20" s="431"/>
      <c r="L20" s="431"/>
      <c r="M20" s="431">
        <f>SUMIFS(Input[T. W. - Stat (NR AFR) Desg],Input[Institution Name],$A$1)</f>
        <v>0</v>
      </c>
      <c r="N20" s="431"/>
      <c r="O20" s="431"/>
      <c r="P20" s="431">
        <f>SUMIFS(Input[T. W. - Stat (NR AFR) Aux],Input[Institution Name],$A$1)</f>
        <v>0</v>
      </c>
      <c r="Q20" s="431"/>
      <c r="R20" s="431"/>
      <c r="S20" s="431">
        <f>SUMIFS(Input[T. W. - Stat (NR AFR) R Exp],Input[Institution Name],$A$1)</f>
        <v>0</v>
      </c>
      <c r="T20" s="431"/>
      <c r="U20" s="431"/>
      <c r="V20" s="431">
        <f>SUMIFS(Input[T. W. - Stat (NR AFR) Loan],Input[Institution Name],$A$1)</f>
        <v>0</v>
      </c>
      <c r="W20" s="431"/>
      <c r="X20" s="431"/>
      <c r="Y20" s="431">
        <f>SUMIFS(Input[T. W. - Stat (NR AFR) Annuity],Input[Institution Name],$A$1)</f>
        <v>0</v>
      </c>
      <c r="Z20" s="431"/>
      <c r="AA20" s="431"/>
      <c r="AB20" s="431">
        <f>SUMIFS(Input[T. W. - Stat (NR AFR) Unexp],Input[Institution Name],$A$1)</f>
        <v>0</v>
      </c>
      <c r="AC20" s="431"/>
      <c r="AD20" s="431"/>
      <c r="AE20" s="431">
        <f>SUMIFS(Input[T. W. - Stat (NR AFR) R of Ind],Input[Institution Name],$A$1)</f>
        <v>0</v>
      </c>
      <c r="AF20" s="431"/>
      <c r="AG20" s="431"/>
      <c r="AH20" s="431">
        <f>SUMIFS(Input[T. W. - Stat (NR AFR) Inv in P],Input[Institution Name],$A$1)</f>
        <v>0</v>
      </c>
      <c r="AI20" s="431"/>
      <c r="AJ20" s="431"/>
      <c r="AK20" s="432">
        <f>SUM(J20:AH20)</f>
        <v>0</v>
      </c>
      <c r="AL20" s="432"/>
      <c r="AM20" s="432"/>
      <c r="AN20" s="246"/>
      <c r="AO20" s="22"/>
      <c r="AP20" s="22"/>
      <c r="AQ20" s="22"/>
      <c r="AR20" s="22"/>
      <c r="AS20" s="22"/>
      <c r="AT20" s="22"/>
      <c r="AU20" s="22"/>
      <c r="AV20" s="22"/>
      <c r="AW20" s="22"/>
      <c r="AX20" s="22"/>
      <c r="AY20" s="22"/>
    </row>
    <row r="21" spans="1:51" s="247" customFormat="1" ht="27" customHeight="1" x14ac:dyDescent="0.55000000000000004">
      <c r="A21" s="433" t="s">
        <v>103</v>
      </c>
      <c r="B21" s="434"/>
      <c r="C21" s="434"/>
      <c r="D21" s="434"/>
      <c r="E21" s="434"/>
      <c r="F21" s="434"/>
      <c r="G21" s="434"/>
      <c r="H21" s="434"/>
      <c r="I21" s="435"/>
      <c r="J21" s="431">
        <f>SUMIFS(Input[T. W. - Inst. (NR AFR) E&amp;G],Input[Institution Name],$A$1)</f>
        <v>0</v>
      </c>
      <c r="K21" s="431"/>
      <c r="L21" s="431"/>
      <c r="M21" s="431">
        <f>SUMIFS(Input[T. W. - Inst. (NR AFR) Desg],Input[Institution Name],$A$1)</f>
        <v>0</v>
      </c>
      <c r="N21" s="431"/>
      <c r="O21" s="431"/>
      <c r="P21" s="431">
        <f>SUMIFS(Input[T. W. - Inst. (NR AFR) Aux],Input[Institution Name],$A$1)</f>
        <v>0</v>
      </c>
      <c r="Q21" s="431"/>
      <c r="R21" s="431"/>
      <c r="S21" s="431">
        <f>SUMIFS(Input[T. W. - Inst. (NR AFR) R Exp],Input[Institution Name],$A$1)</f>
        <v>0</v>
      </c>
      <c r="T21" s="431"/>
      <c r="U21" s="431"/>
      <c r="V21" s="431">
        <f>SUMIFS(Input[T. W. - Inst. (NR AFR) Loan],Input[Institution Name],$A$1)</f>
        <v>0</v>
      </c>
      <c r="W21" s="431"/>
      <c r="X21" s="431"/>
      <c r="Y21" s="431">
        <f>SUMIFS(Input[T. W. - Inst. (NR AFR) Annuity],Input[Institution Name],$A$1)</f>
        <v>0</v>
      </c>
      <c r="Z21" s="431"/>
      <c r="AA21" s="431"/>
      <c r="AB21" s="431">
        <f>SUMIFS(Input[T. W. - Inst. (NR AFR) Unexp],Input[Institution Name],$A$1)</f>
        <v>0</v>
      </c>
      <c r="AC21" s="431"/>
      <c r="AD21" s="431"/>
      <c r="AE21" s="431">
        <f>SUMIFS(Input[T. W. - Inst. (NR AFR) R of Ind],Input[Institution Name],$A$1)</f>
        <v>0</v>
      </c>
      <c r="AF21" s="431"/>
      <c r="AG21" s="431"/>
      <c r="AH21" s="431">
        <f>SUMIFS(Input[T. W. - Inst. (NR AFR) Inv in P],Input[Institution Name],$A$1)</f>
        <v>0</v>
      </c>
      <c r="AI21" s="431"/>
      <c r="AJ21" s="431"/>
      <c r="AK21" s="432">
        <f>SUM(J21:AH21)</f>
        <v>0</v>
      </c>
      <c r="AL21" s="432"/>
      <c r="AM21" s="432"/>
      <c r="AN21" s="246"/>
      <c r="AO21" s="22"/>
      <c r="AP21" s="22"/>
      <c r="AQ21" s="22"/>
      <c r="AR21" s="22"/>
      <c r="AS21" s="22"/>
      <c r="AT21" s="22"/>
      <c r="AU21" s="22"/>
      <c r="AV21" s="22"/>
      <c r="AW21" s="22"/>
      <c r="AX21" s="22"/>
      <c r="AY21" s="22"/>
    </row>
    <row r="22" spans="1:51" s="247" customFormat="1" ht="27" customHeight="1" x14ac:dyDescent="0.55000000000000004">
      <c r="A22" s="433" t="s">
        <v>104</v>
      </c>
      <c r="B22" s="434"/>
      <c r="C22" s="434"/>
      <c r="D22" s="434"/>
      <c r="E22" s="434"/>
      <c r="F22" s="434"/>
      <c r="G22" s="434"/>
      <c r="H22" s="434"/>
      <c r="I22" s="435"/>
      <c r="J22" s="431">
        <f>SUMIFS(Input[T. Exp. - Stat (NR AFR) E&amp;G],Input[Institution Name],$A$1)</f>
        <v>0</v>
      </c>
      <c r="K22" s="431"/>
      <c r="L22" s="431"/>
      <c r="M22" s="431">
        <f>SUMIFS(Input[T. Exp. - Stat (NR AFR) Desg],Input[Institution Name],$A$1)</f>
        <v>0</v>
      </c>
      <c r="N22" s="431"/>
      <c r="O22" s="431"/>
      <c r="P22" s="431">
        <f>SUMIFS(Input[T. Exp. - Stat (NR AFR) Aux],Input[Institution Name],$A$1)</f>
        <v>0</v>
      </c>
      <c r="Q22" s="431"/>
      <c r="R22" s="431"/>
      <c r="S22" s="431">
        <f>SUMIFS(Input[T. Exp. - Stat (NR AFR) R Exp],Input[Institution Name],$A$1)</f>
        <v>0</v>
      </c>
      <c r="T22" s="431"/>
      <c r="U22" s="431"/>
      <c r="V22" s="431">
        <f>SUMIFS(Input[T. Exp. - Stat (NR AFR) Loan],Input[Institution Name],$A$1)</f>
        <v>0</v>
      </c>
      <c r="W22" s="431"/>
      <c r="X22" s="431"/>
      <c r="Y22" s="431">
        <f>SUMIFS(Input[T. Exp. - Stat (NR AFR) Annuity],Input[Institution Name],$A$1)</f>
        <v>0</v>
      </c>
      <c r="Z22" s="431"/>
      <c r="AA22" s="431"/>
      <c r="AB22" s="431">
        <f>SUMIFS(Input[T. Exp. - Stat (NR AFR) Unexp],Input[Institution Name],$A$1)</f>
        <v>0</v>
      </c>
      <c r="AC22" s="431"/>
      <c r="AD22" s="431"/>
      <c r="AE22" s="431">
        <f>SUMIFS(Input[T. Exp. - Stat (NR AFR) R of Ind],Input[Institution Name],$A$1)</f>
        <v>0</v>
      </c>
      <c r="AF22" s="431"/>
      <c r="AG22" s="431"/>
      <c r="AH22" s="431">
        <f>SUMIFS(Input[T. Exp. - Stat (NR AFR) Inv in P],Input[Institution Name],$A$1)</f>
        <v>0</v>
      </c>
      <c r="AI22" s="431"/>
      <c r="AJ22" s="431"/>
      <c r="AK22" s="432">
        <f>SUM(J22:AE22)</f>
        <v>0</v>
      </c>
      <c r="AL22" s="432"/>
      <c r="AM22" s="432"/>
      <c r="AN22" s="246"/>
      <c r="AO22" s="22"/>
      <c r="AP22" s="22"/>
      <c r="AQ22" s="22"/>
      <c r="AR22" s="22"/>
      <c r="AS22" s="22"/>
      <c r="AT22" s="22"/>
      <c r="AU22" s="22"/>
      <c r="AV22" s="22"/>
      <c r="AW22" s="22"/>
      <c r="AX22" s="22"/>
      <c r="AY22" s="22"/>
    </row>
    <row r="23" spans="1:51" s="247" customFormat="1" ht="27" customHeight="1" x14ac:dyDescent="0.55000000000000004">
      <c r="A23" s="478" t="s">
        <v>105</v>
      </c>
      <c r="B23" s="479"/>
      <c r="C23" s="479"/>
      <c r="D23" s="479"/>
      <c r="E23" s="479"/>
      <c r="F23" s="479"/>
      <c r="G23" s="479"/>
      <c r="H23" s="479"/>
      <c r="I23" s="480"/>
      <c r="J23" s="481">
        <f>SUMIFS(Input[T. Exp. - Inst. (NR AFR) E&amp;G],Input[Institution Name],$A$1)</f>
        <v>0</v>
      </c>
      <c r="K23" s="481"/>
      <c r="L23" s="481"/>
      <c r="M23" s="481">
        <f>SUMIFS(Input[T. Exp. - Inst. (NR AFR) Desg],Input[Institution Name],$A$1)</f>
        <v>0</v>
      </c>
      <c r="N23" s="481"/>
      <c r="O23" s="481"/>
      <c r="P23" s="481">
        <f>SUMIFS(Input[T. Exp. - Inst. (NR AFR) Aux],Input[Institution Name],$A$1)</f>
        <v>0</v>
      </c>
      <c r="Q23" s="481"/>
      <c r="R23" s="481"/>
      <c r="S23" s="481">
        <f>SUMIFS(Input[T. Exp. - Inst. (NR AFR) R Exp],Input[Institution Name],$A$1)</f>
        <v>0</v>
      </c>
      <c r="T23" s="481"/>
      <c r="U23" s="481"/>
      <c r="V23" s="481">
        <f>SUMIFS(Input[T. Exp. - Inst. (NR AFR) Loan],Input[Institution Name],$A$1)</f>
        <v>0</v>
      </c>
      <c r="W23" s="481"/>
      <c r="X23" s="481"/>
      <c r="Y23" s="481">
        <f>SUMIFS(Input[T. Exp. - Inst. (NR AFR) Annuity],Input[Institution Name],$A$1)</f>
        <v>0</v>
      </c>
      <c r="Z23" s="481"/>
      <c r="AA23" s="481"/>
      <c r="AB23" s="481">
        <f>SUMIFS(Input[T. Exp. - Inst. (NR AFR) Unexp],Input[Institution Name],$A$1)</f>
        <v>0</v>
      </c>
      <c r="AC23" s="481"/>
      <c r="AD23" s="481"/>
      <c r="AE23" s="481">
        <f>SUMIFS(Input[T. Exp. - Inst. (NR AFR) R of Ind],Input[Institution Name],$A$1)</f>
        <v>0</v>
      </c>
      <c r="AF23" s="481"/>
      <c r="AG23" s="481"/>
      <c r="AH23" s="481">
        <f>SUMIFS(Input[T. Exp. - Inst. (NR AFR) Inv in P],Input[Institution Name],$A$1)</f>
        <v>0</v>
      </c>
      <c r="AI23" s="481"/>
      <c r="AJ23" s="481"/>
      <c r="AK23" s="482">
        <f>SUM(J23:AE23)</f>
        <v>0</v>
      </c>
      <c r="AL23" s="482"/>
      <c r="AM23" s="482"/>
      <c r="AN23" s="246"/>
      <c r="AO23" s="22"/>
      <c r="AP23" s="22"/>
      <c r="AQ23" s="22"/>
      <c r="AR23" s="22"/>
      <c r="AS23" s="22"/>
      <c r="AT23" s="22"/>
      <c r="AU23" s="22"/>
      <c r="AV23" s="22"/>
      <c r="AW23" s="22"/>
      <c r="AX23" s="22"/>
      <c r="AY23" s="22"/>
    </row>
    <row r="24" spans="1:51" s="247" customFormat="1" ht="27" customHeight="1" x14ac:dyDescent="0.55000000000000004">
      <c r="A24" s="462" t="s">
        <v>848</v>
      </c>
      <c r="B24" s="463"/>
      <c r="C24" s="463"/>
      <c r="D24" s="463"/>
      <c r="E24" s="463"/>
      <c r="F24" s="463"/>
      <c r="G24" s="463"/>
      <c r="H24" s="463"/>
      <c r="I24" s="464"/>
      <c r="J24" s="471">
        <f>SUMIFS(Input[T. - Gross E&amp;G],Input[Institution Name],$A$1)</f>
        <v>0</v>
      </c>
      <c r="K24" s="471"/>
      <c r="L24" s="471"/>
      <c r="M24" s="471">
        <f>SUMIFS(Input[T. - Gross Desg],Input[Institution Name],$A$1)</f>
        <v>0</v>
      </c>
      <c r="N24" s="471"/>
      <c r="O24" s="471"/>
      <c r="P24" s="471">
        <f>SUMIFS(Input[T. - Gross Aux],Input[Institution Name],$A$1)</f>
        <v>0</v>
      </c>
      <c r="Q24" s="471"/>
      <c r="R24" s="471"/>
      <c r="S24" s="471">
        <f>SUMIFS(Input[T. - Gross R Exp],Input[Institution Name],$A$1)</f>
        <v>0</v>
      </c>
      <c r="T24" s="471"/>
      <c r="U24" s="471"/>
      <c r="V24" s="471">
        <f>SUMIFS(Input[T. - Gross Loan],Input[Institution Name],$A$1)</f>
        <v>0</v>
      </c>
      <c r="W24" s="471"/>
      <c r="X24" s="471"/>
      <c r="Y24" s="471">
        <f>SUMIFS(Input[T. - Gross Annuity],Input[Institution Name],$A$1)</f>
        <v>0</v>
      </c>
      <c r="Z24" s="471"/>
      <c r="AA24" s="471"/>
      <c r="AB24" s="471">
        <f>SUMIFS(Input[T. - Gross Unexp],Input[Institution Name],$A$1)</f>
        <v>0</v>
      </c>
      <c r="AC24" s="471"/>
      <c r="AD24" s="471"/>
      <c r="AE24" s="471">
        <f>SUMIFS(Input[T. - Gross R of Ind],Input[Institution Name],$A$1)</f>
        <v>0</v>
      </c>
      <c r="AF24" s="471"/>
      <c r="AG24" s="471"/>
      <c r="AH24" s="471">
        <f>SUMIFS(Input[T. - Gross Inv in P],Input[Institution Name],$A$1)</f>
        <v>0</v>
      </c>
      <c r="AI24" s="471"/>
      <c r="AJ24" s="471"/>
      <c r="AK24" s="466">
        <f>SUM(J24:AH24)</f>
        <v>0</v>
      </c>
      <c r="AL24" s="466"/>
      <c r="AM24" s="466"/>
      <c r="AN24" s="246"/>
      <c r="AO24" s="22"/>
      <c r="AP24" s="22"/>
      <c r="AQ24" s="22"/>
      <c r="AR24" s="22"/>
      <c r="AS24" s="22"/>
      <c r="AT24" s="22"/>
      <c r="AU24" s="22"/>
      <c r="AV24" s="22"/>
      <c r="AW24" s="22"/>
      <c r="AX24" s="22"/>
      <c r="AY24" s="22"/>
    </row>
    <row r="25" spans="1:51" s="247" customFormat="1" ht="27" customHeight="1" x14ac:dyDescent="0.55000000000000004">
      <c r="A25" s="472" t="s">
        <v>1628</v>
      </c>
      <c r="B25" s="473"/>
      <c r="C25" s="473"/>
      <c r="D25" s="473"/>
      <c r="E25" s="473"/>
      <c r="F25" s="473"/>
      <c r="G25" s="473"/>
      <c r="H25" s="473"/>
      <c r="I25" s="473"/>
      <c r="J25" s="473"/>
      <c r="K25" s="473"/>
      <c r="L25" s="473"/>
      <c r="M25" s="473"/>
      <c r="N25" s="473"/>
      <c r="O25" s="473"/>
      <c r="P25" s="473"/>
      <c r="Q25" s="473"/>
      <c r="R25" s="473"/>
      <c r="S25" s="473"/>
      <c r="T25" s="473"/>
      <c r="U25" s="473"/>
      <c r="V25" s="473"/>
      <c r="W25" s="473"/>
      <c r="X25" s="473"/>
      <c r="Y25" s="473"/>
      <c r="Z25" s="473"/>
      <c r="AA25" s="473"/>
      <c r="AB25" s="473"/>
      <c r="AC25" s="473"/>
      <c r="AD25" s="473"/>
      <c r="AE25" s="473"/>
      <c r="AF25" s="473"/>
      <c r="AG25" s="473"/>
      <c r="AH25" s="473"/>
      <c r="AI25" s="473"/>
      <c r="AJ25" s="473"/>
      <c r="AK25" s="473"/>
      <c r="AL25" s="473"/>
      <c r="AM25" s="474"/>
      <c r="AN25" s="246"/>
      <c r="AO25" s="22"/>
      <c r="AP25" s="22"/>
      <c r="AQ25" s="22"/>
      <c r="AR25" s="22"/>
      <c r="AS25" s="22"/>
      <c r="AT25" s="22"/>
      <c r="AU25" s="22"/>
      <c r="AV25" s="22"/>
      <c r="AW25" s="22"/>
      <c r="AX25" s="22"/>
      <c r="AY25" s="22"/>
    </row>
    <row r="26" spans="1:51" s="247" customFormat="1" ht="27" customHeight="1" x14ac:dyDescent="0.55000000000000004">
      <c r="A26" s="475" t="s">
        <v>102</v>
      </c>
      <c r="B26" s="476"/>
      <c r="C26" s="476"/>
      <c r="D26" s="476"/>
      <c r="E26" s="476"/>
      <c r="F26" s="476"/>
      <c r="G26" s="476"/>
      <c r="H26" s="476"/>
      <c r="I26" s="477"/>
      <c r="J26" s="431">
        <f>SUMIFS(Input[T. W. - Stat (R AFR) E&amp;G],Input[Institution Name],$A$1)</f>
        <v>0</v>
      </c>
      <c r="K26" s="431"/>
      <c r="L26" s="431"/>
      <c r="M26" s="431">
        <f>SUMIFS(Input[T. W. - Stat (R AFR) Desg],Input[Institution Name],$A$1)</f>
        <v>0</v>
      </c>
      <c r="N26" s="431"/>
      <c r="O26" s="431"/>
      <c r="P26" s="431">
        <f>SUMIFS(Input[T. W. - Stat (R AFR) Aux],Input[Institution Name],$A$1)</f>
        <v>0</v>
      </c>
      <c r="Q26" s="431"/>
      <c r="R26" s="431"/>
      <c r="S26" s="431">
        <f>SUMIFS(Input[T. W. - Stat (R AFR) R Exp],Input[Institution Name],$A$1)</f>
        <v>0</v>
      </c>
      <c r="T26" s="431"/>
      <c r="U26" s="431"/>
      <c r="V26" s="431">
        <f>SUMIFS(Input[T. W. - Stat (R AFR) Loan],Input[Institution Name],$A$1)</f>
        <v>0</v>
      </c>
      <c r="W26" s="431"/>
      <c r="X26" s="431"/>
      <c r="Y26" s="431">
        <f>SUMIFS(Input[T. W. - Stat (R AFR) Annuity],Input[Institution Name],$A$1)</f>
        <v>0</v>
      </c>
      <c r="Z26" s="431"/>
      <c r="AA26" s="431"/>
      <c r="AB26" s="431">
        <f>SUMIFS(Input[T. W. - Stat (R AFR) Unexp],Input[Institution Name],$A$1)</f>
        <v>0</v>
      </c>
      <c r="AC26" s="431"/>
      <c r="AD26" s="431"/>
      <c r="AE26" s="431">
        <f>SUMIFS(Input[T. W. - Stat (R AFR) R of Ind],Input[Institution Name],$A$1)</f>
        <v>0</v>
      </c>
      <c r="AF26" s="431"/>
      <c r="AG26" s="431"/>
      <c r="AH26" s="431">
        <f>SUMIFS(Input[T. W. - Stat (R AFR) Inv in P],Input[Institution Name],$A$1)</f>
        <v>0</v>
      </c>
      <c r="AI26" s="431"/>
      <c r="AJ26" s="431"/>
      <c r="AK26" s="432">
        <f t="shared" ref="AK26:AK30" si="9">SUM(J26:AH26)</f>
        <v>0</v>
      </c>
      <c r="AL26" s="432"/>
      <c r="AM26" s="432"/>
      <c r="AN26" s="246"/>
      <c r="AO26" s="22"/>
      <c r="AP26" s="22"/>
      <c r="AQ26" s="22"/>
      <c r="AR26" s="22"/>
      <c r="AS26" s="22"/>
      <c r="AT26" s="22"/>
      <c r="AU26" s="22"/>
      <c r="AV26" s="22"/>
      <c r="AW26" s="22"/>
      <c r="AX26" s="22"/>
      <c r="AY26" s="22"/>
    </row>
    <row r="27" spans="1:51" s="247" customFormat="1" ht="27" customHeight="1" x14ac:dyDescent="0.55000000000000004">
      <c r="A27" s="433" t="s">
        <v>103</v>
      </c>
      <c r="B27" s="434"/>
      <c r="C27" s="434"/>
      <c r="D27" s="434"/>
      <c r="E27" s="434"/>
      <c r="F27" s="434"/>
      <c r="G27" s="434"/>
      <c r="H27" s="434"/>
      <c r="I27" s="435"/>
      <c r="J27" s="431">
        <f>SUMIFS(Input[T. W. - Inst. (R AFR) E&amp;G],Input[Institution Name],$A$1)</f>
        <v>0</v>
      </c>
      <c r="K27" s="431"/>
      <c r="L27" s="431"/>
      <c r="M27" s="431">
        <f>SUMIFS(Input[T. W. - Inst. (R AFR) Desg],Input[Institution Name],$A$1)</f>
        <v>0</v>
      </c>
      <c r="N27" s="431"/>
      <c r="O27" s="431"/>
      <c r="P27" s="431">
        <f>SUMIFS(Input[T. W. - Inst. (R AFR) Aux],Input[Institution Name],$A$1)</f>
        <v>0</v>
      </c>
      <c r="Q27" s="431"/>
      <c r="R27" s="431"/>
      <c r="S27" s="431">
        <f>SUMIFS(Input[T. W. - Inst. (R AFR) R Exp],Input[Institution Name],$A$1)</f>
        <v>0</v>
      </c>
      <c r="T27" s="431"/>
      <c r="U27" s="431"/>
      <c r="V27" s="431">
        <f>SUMIFS(Input[T. W. - Inst. (R AFR) Loan],Input[Institution Name],$A$1)</f>
        <v>0</v>
      </c>
      <c r="W27" s="431"/>
      <c r="X27" s="431"/>
      <c r="Y27" s="431">
        <f>SUMIFS(Input[T. W. - Inst. (R AFR) Annuity],Input[Institution Name],$A$1)</f>
        <v>0</v>
      </c>
      <c r="Z27" s="431"/>
      <c r="AA27" s="431"/>
      <c r="AB27" s="431">
        <f>SUMIFS(Input[T. W. - Inst. (R AFR) Unexp],Input[Institution Name],$A$1)</f>
        <v>0</v>
      </c>
      <c r="AC27" s="431"/>
      <c r="AD27" s="431"/>
      <c r="AE27" s="431">
        <f>SUMIFS(Input[T. W. - Inst. (R AFR) R of Ind],Input[Institution Name],$A$1)</f>
        <v>0</v>
      </c>
      <c r="AF27" s="431"/>
      <c r="AG27" s="431"/>
      <c r="AH27" s="431">
        <f>SUMIFS(Input[T. W. - Inst. (R AFR) Inv in P],Input[Institution Name],$A$1)</f>
        <v>0</v>
      </c>
      <c r="AI27" s="431"/>
      <c r="AJ27" s="431"/>
      <c r="AK27" s="432">
        <f t="shared" si="9"/>
        <v>0</v>
      </c>
      <c r="AL27" s="432"/>
      <c r="AM27" s="432"/>
      <c r="AN27" s="246"/>
      <c r="AO27" s="22"/>
      <c r="AP27" s="22"/>
      <c r="AQ27" s="22"/>
      <c r="AR27" s="22"/>
      <c r="AS27" s="22"/>
      <c r="AT27" s="22"/>
      <c r="AU27" s="22"/>
      <c r="AV27" s="22"/>
      <c r="AW27" s="22"/>
      <c r="AX27" s="22"/>
      <c r="AY27" s="22"/>
    </row>
    <row r="28" spans="1:51" s="247" customFormat="1" ht="27" customHeight="1" x14ac:dyDescent="0.55000000000000004">
      <c r="A28" s="433" t="s">
        <v>104</v>
      </c>
      <c r="B28" s="434"/>
      <c r="C28" s="434"/>
      <c r="D28" s="434"/>
      <c r="E28" s="434"/>
      <c r="F28" s="434"/>
      <c r="G28" s="434"/>
      <c r="H28" s="434"/>
      <c r="I28" s="435"/>
      <c r="J28" s="431">
        <f>SUMIFS(Input[T. Exp. - Stat (R AFR) E&amp;G],Input[Institution Name],$A$1)</f>
        <v>0</v>
      </c>
      <c r="K28" s="431"/>
      <c r="L28" s="431"/>
      <c r="M28" s="431">
        <f>SUMIFS(Input[T. Exp. - Stat (R AFR) Desg],Input[Institution Name],$A$1)</f>
        <v>0</v>
      </c>
      <c r="N28" s="431"/>
      <c r="O28" s="431"/>
      <c r="P28" s="431">
        <f>SUMIFS(Input[T. Exp. - Stat (R AFR) Aux],Input[Institution Name],$A$1)</f>
        <v>0</v>
      </c>
      <c r="Q28" s="431"/>
      <c r="R28" s="431"/>
      <c r="S28" s="431">
        <f>SUMIFS(Input[T. Exp. - Stat (R AFR) R Exp],Input[Institution Name],$A$1)</f>
        <v>0</v>
      </c>
      <c r="T28" s="431"/>
      <c r="U28" s="431"/>
      <c r="V28" s="431">
        <f>SUMIFS(Input[T. Exp. - Stat (R AFR) Loan],Input[Institution Name],$A$1)</f>
        <v>0</v>
      </c>
      <c r="W28" s="431"/>
      <c r="X28" s="431"/>
      <c r="Y28" s="431">
        <f>SUMIFS(Input[T. Exp. - Stat (R AFR) Annuity],Input[Institution Name],$A$1)</f>
        <v>0</v>
      </c>
      <c r="Z28" s="431"/>
      <c r="AA28" s="431"/>
      <c r="AB28" s="431">
        <f>SUMIFS(Input[T. Exp. - Stat (R AFR) Unexp],Input[Institution Name],$A$1)</f>
        <v>0</v>
      </c>
      <c r="AC28" s="431"/>
      <c r="AD28" s="431"/>
      <c r="AE28" s="431">
        <f>SUMIFS(Input[T. Exp. - Stat (R AFR) R of Ind],Input[Institution Name],$A$1)</f>
        <v>0</v>
      </c>
      <c r="AF28" s="431"/>
      <c r="AG28" s="431"/>
      <c r="AH28" s="431">
        <f>SUMIFS(Input[T. Exp. - Stat (R AFR) Inv in P],Input[Institution Name],$A$1)</f>
        <v>0</v>
      </c>
      <c r="AI28" s="431"/>
      <c r="AJ28" s="431"/>
      <c r="AK28" s="432">
        <f t="shared" si="9"/>
        <v>0</v>
      </c>
      <c r="AL28" s="432"/>
      <c r="AM28" s="432"/>
      <c r="AN28" s="246"/>
      <c r="AO28" s="22"/>
      <c r="AP28" s="22"/>
      <c r="AQ28" s="22"/>
      <c r="AR28" s="22"/>
      <c r="AS28" s="22"/>
      <c r="AT28" s="22"/>
      <c r="AU28" s="22"/>
      <c r="AV28" s="22"/>
      <c r="AW28" s="22"/>
      <c r="AX28" s="22"/>
      <c r="AY28" s="22"/>
    </row>
    <row r="29" spans="1:51" s="247" customFormat="1" ht="27" customHeight="1" x14ac:dyDescent="0.55000000000000004">
      <c r="A29" s="459" t="s">
        <v>105</v>
      </c>
      <c r="B29" s="460"/>
      <c r="C29" s="460"/>
      <c r="D29" s="460"/>
      <c r="E29" s="460"/>
      <c r="F29" s="460"/>
      <c r="G29" s="460"/>
      <c r="H29" s="460"/>
      <c r="I29" s="461"/>
      <c r="J29" s="431">
        <f>SUMIFS(Input[T. Exp. - Inst. (R AFR) E&amp;G],Input[Institution Name],$A$1)</f>
        <v>0</v>
      </c>
      <c r="K29" s="431"/>
      <c r="L29" s="431"/>
      <c r="M29" s="431">
        <f>SUMIFS(Input[T. Exp. - Inst. (R AFR) Desg],Input[Institution Name],$A$1)</f>
        <v>0</v>
      </c>
      <c r="N29" s="431"/>
      <c r="O29" s="431"/>
      <c r="P29" s="431">
        <f>SUMIFS(Input[T. Exp. - Inst. (R AFR) Aux],Input[Institution Name],$A$1)</f>
        <v>0</v>
      </c>
      <c r="Q29" s="431"/>
      <c r="R29" s="431"/>
      <c r="S29" s="431">
        <f>SUMIFS(Input[T. Exp. - Inst. (R AFR) R Exp],Input[Institution Name],$A$1)</f>
        <v>0</v>
      </c>
      <c r="T29" s="431"/>
      <c r="U29" s="431"/>
      <c r="V29" s="431">
        <f>SUMIFS(Input[T. Exp. - Inst. (R AFR) Loan],Input[Institution Name],$A$1)</f>
        <v>0</v>
      </c>
      <c r="W29" s="431"/>
      <c r="X29" s="431"/>
      <c r="Y29" s="431">
        <f>SUMIFS(Input[T. Exp. - Inst. (R AFR) Annuity],Input[Institution Name],$A$1)</f>
        <v>0</v>
      </c>
      <c r="Z29" s="431"/>
      <c r="AA29" s="431"/>
      <c r="AB29" s="431">
        <f>SUMIFS(Input[T. Exp. - Inst. (R AFR) Unexp],Input[Institution Name],$A$1)</f>
        <v>0</v>
      </c>
      <c r="AC29" s="431"/>
      <c r="AD29" s="431"/>
      <c r="AE29" s="431">
        <f>SUMIFS(Input[T. Exp. - Inst. (R AFR) R of Ind],Input[Institution Name],$A$1)</f>
        <v>0</v>
      </c>
      <c r="AF29" s="431"/>
      <c r="AG29" s="431"/>
      <c r="AH29" s="431">
        <f>SUMIFS(Input[T. Exp. - Inst. (R AFR) Inv in P],Input[Institution Name],$A$1)</f>
        <v>0</v>
      </c>
      <c r="AI29" s="431"/>
      <c r="AJ29" s="431"/>
      <c r="AK29" s="432">
        <f t="shared" si="9"/>
        <v>0</v>
      </c>
      <c r="AL29" s="432"/>
      <c r="AM29" s="432"/>
      <c r="AN29" s="246"/>
      <c r="AO29" s="22"/>
      <c r="AP29" s="22"/>
      <c r="AQ29" s="22"/>
      <c r="AR29" s="22"/>
      <c r="AS29" s="22"/>
      <c r="AT29" s="22"/>
      <c r="AU29" s="22"/>
      <c r="AV29" s="22"/>
      <c r="AW29" s="22"/>
      <c r="AX29" s="22"/>
      <c r="AY29" s="22"/>
    </row>
    <row r="30" spans="1:51" s="247" customFormat="1" ht="27" customHeight="1" x14ac:dyDescent="0.55000000000000004">
      <c r="A30" s="468" t="s">
        <v>141</v>
      </c>
      <c r="B30" s="469"/>
      <c r="C30" s="469"/>
      <c r="D30" s="469"/>
      <c r="E30" s="469"/>
      <c r="F30" s="469"/>
      <c r="G30" s="469"/>
      <c r="H30" s="469"/>
      <c r="I30" s="470"/>
      <c r="J30" s="431">
        <f>SUMIFS(Input[T. Schlr E&amp;G],Input[Institution Name],$A$1)</f>
        <v>0</v>
      </c>
      <c r="K30" s="431"/>
      <c r="L30" s="431"/>
      <c r="M30" s="431">
        <f>SUMIFS(Input[T. Schlr Desg],Input[Institution Name],$A$1)</f>
        <v>0</v>
      </c>
      <c r="N30" s="431"/>
      <c r="O30" s="431"/>
      <c r="P30" s="431">
        <f>SUMIFS(Input[T. Schlr Aux],Input[Institution Name],$A$1)</f>
        <v>0</v>
      </c>
      <c r="Q30" s="431"/>
      <c r="R30" s="431"/>
      <c r="S30" s="431">
        <f>SUMIFS(Input[T. Schlr R Exp],Input[Institution Name],$A$1)</f>
        <v>0</v>
      </c>
      <c r="T30" s="431"/>
      <c r="U30" s="431"/>
      <c r="V30" s="431">
        <f>SUMIFS(Input[T. Schlr Loan],Input[Institution Name],$A$1)</f>
        <v>0</v>
      </c>
      <c r="W30" s="431"/>
      <c r="X30" s="431"/>
      <c r="Y30" s="431">
        <f>SUMIFS(Input[T. Schlr Annuity],Input[Institution Name],$A$1)</f>
        <v>0</v>
      </c>
      <c r="Z30" s="431"/>
      <c r="AA30" s="431"/>
      <c r="AB30" s="431">
        <f>SUMIFS(Input[T. Schlr Unexp],Input[Institution Name],$A$1)</f>
        <v>0</v>
      </c>
      <c r="AC30" s="431"/>
      <c r="AD30" s="431"/>
      <c r="AE30" s="431">
        <f>SUMIFS(Input[T. Schlr R of Ind],Input[Institution Name],$A$1)</f>
        <v>0</v>
      </c>
      <c r="AF30" s="431"/>
      <c r="AG30" s="431"/>
      <c r="AH30" s="431">
        <f>SUMIFS(Input[T. Schlr Inv in P],Input[Institution Name],$A$1)</f>
        <v>0</v>
      </c>
      <c r="AI30" s="431"/>
      <c r="AJ30" s="431"/>
      <c r="AK30" s="432">
        <f t="shared" si="9"/>
        <v>0</v>
      </c>
      <c r="AL30" s="432"/>
      <c r="AM30" s="432"/>
      <c r="AN30" s="246"/>
      <c r="AO30" s="22"/>
      <c r="AP30" s="22"/>
      <c r="AQ30" s="22"/>
      <c r="AR30" s="22"/>
      <c r="AS30" s="22"/>
      <c r="AT30" s="22"/>
      <c r="AU30" s="22"/>
      <c r="AV30" s="22"/>
      <c r="AW30" s="22"/>
      <c r="AX30" s="22"/>
      <c r="AY30" s="22"/>
    </row>
    <row r="31" spans="1:51" s="247" customFormat="1" ht="27" customHeight="1" x14ac:dyDescent="0.55000000000000004">
      <c r="A31" s="485" t="s">
        <v>106</v>
      </c>
      <c r="B31" s="485"/>
      <c r="C31" s="485"/>
      <c r="D31" s="485"/>
      <c r="E31" s="485"/>
      <c r="F31" s="485"/>
      <c r="G31" s="485"/>
      <c r="H31" s="485"/>
      <c r="I31" s="485"/>
      <c r="J31" s="466">
        <f>SUM(J24,J26:L30)</f>
        <v>0</v>
      </c>
      <c r="K31" s="466"/>
      <c r="L31" s="466"/>
      <c r="M31" s="466">
        <f t="shared" ref="M31" si="10">SUM(M24,M26:O30)</f>
        <v>0</v>
      </c>
      <c r="N31" s="466"/>
      <c r="O31" s="466"/>
      <c r="P31" s="466">
        <f t="shared" ref="P31" si="11">SUM(P24,P26:R30)</f>
        <v>0</v>
      </c>
      <c r="Q31" s="466"/>
      <c r="R31" s="466"/>
      <c r="S31" s="466">
        <f t="shared" ref="S31" si="12">SUM(S24,S26:U30)</f>
        <v>0</v>
      </c>
      <c r="T31" s="466"/>
      <c r="U31" s="466"/>
      <c r="V31" s="466">
        <f t="shared" ref="V31" si="13">SUM(V24,V26:X30)</f>
        <v>0</v>
      </c>
      <c r="W31" s="466"/>
      <c r="X31" s="466"/>
      <c r="Y31" s="466">
        <f t="shared" ref="Y31" si="14">SUM(Y24,Y26:AA30)</f>
        <v>0</v>
      </c>
      <c r="Z31" s="466"/>
      <c r="AA31" s="466"/>
      <c r="AB31" s="466">
        <f t="shared" ref="AB31" si="15">SUM(AB24,AB26:AD30)</f>
        <v>0</v>
      </c>
      <c r="AC31" s="466"/>
      <c r="AD31" s="466"/>
      <c r="AE31" s="466">
        <f t="shared" ref="AE31" si="16">SUM(AE24,AE26:AG30)</f>
        <v>0</v>
      </c>
      <c r="AF31" s="466"/>
      <c r="AG31" s="466"/>
      <c r="AH31" s="466">
        <f t="shared" ref="AH31" si="17">SUM(AH24,AH26:AJ30)</f>
        <v>0</v>
      </c>
      <c r="AI31" s="466"/>
      <c r="AJ31" s="466"/>
      <c r="AK31" s="466">
        <f t="shared" ref="AK31" si="18">SUM(AK24,AK26:AM30)</f>
        <v>0</v>
      </c>
      <c r="AL31" s="466"/>
      <c r="AM31" s="466"/>
      <c r="AN31" s="246"/>
      <c r="AO31" s="22"/>
      <c r="AP31" s="22"/>
      <c r="AQ31" s="22"/>
      <c r="AR31" s="22"/>
      <c r="AS31" s="22"/>
      <c r="AT31" s="22"/>
      <c r="AU31" s="22"/>
      <c r="AV31" s="22"/>
      <c r="AW31" s="22"/>
      <c r="AX31" s="22"/>
      <c r="AY31" s="22"/>
    </row>
    <row r="32" spans="1:51" s="247" customFormat="1" ht="27" customHeight="1" x14ac:dyDescent="0.75">
      <c r="A32" s="251"/>
      <c r="B32" s="251"/>
      <c r="C32" s="251"/>
      <c r="D32" s="251"/>
      <c r="E32" s="251"/>
      <c r="F32" s="251"/>
      <c r="G32" s="251"/>
      <c r="H32" s="251"/>
      <c r="I32" s="251"/>
      <c r="J32" s="252"/>
      <c r="K32" s="252"/>
      <c r="L32" s="252"/>
      <c r="M32" s="252"/>
      <c r="N32" s="252"/>
      <c r="O32" s="252"/>
      <c r="P32" s="252"/>
      <c r="Q32" s="252"/>
      <c r="R32" s="252"/>
      <c r="S32" s="252"/>
      <c r="T32" s="252"/>
      <c r="U32" s="252"/>
      <c r="V32" s="252"/>
      <c r="W32" s="252"/>
      <c r="X32" s="252"/>
      <c r="Y32" s="252"/>
      <c r="Z32" s="252"/>
      <c r="AA32" s="252"/>
      <c r="AB32" s="252"/>
      <c r="AC32" s="252"/>
      <c r="AD32" s="252"/>
      <c r="AE32" s="252"/>
      <c r="AF32" s="252"/>
      <c r="AG32" s="252"/>
      <c r="AH32" s="252"/>
      <c r="AI32" s="252"/>
      <c r="AJ32" s="252"/>
      <c r="AK32" s="252"/>
      <c r="AL32" s="252"/>
      <c r="AM32" s="252"/>
      <c r="AN32" s="246"/>
      <c r="AO32" s="22"/>
      <c r="AP32" s="22"/>
      <c r="AQ32" s="22"/>
      <c r="AR32" s="22"/>
      <c r="AS32" s="22"/>
      <c r="AT32" s="22"/>
      <c r="AU32" s="22"/>
      <c r="AV32" s="22"/>
      <c r="AW32" s="22"/>
      <c r="AX32" s="22"/>
      <c r="AY32" s="22"/>
    </row>
    <row r="33" spans="1:51" s="247" customFormat="1" ht="27" customHeight="1" x14ac:dyDescent="0.55000000000000004">
      <c r="A33" s="483" t="s">
        <v>107</v>
      </c>
      <c r="B33" s="484"/>
      <c r="C33" s="484"/>
      <c r="D33" s="484"/>
      <c r="E33" s="484"/>
      <c r="F33" s="484"/>
      <c r="G33" s="484"/>
      <c r="H33" s="484"/>
      <c r="I33" s="484"/>
      <c r="J33" s="466" cm="1">
        <f t="array" ref="J33">SUM(J39:L39,-J35:L38)</f>
        <v>0</v>
      </c>
      <c r="K33" s="466"/>
      <c r="L33" s="466"/>
      <c r="M33" s="466" cm="1">
        <f t="array" ref="M33">SUM(M39:O39,-M35:O38)</f>
        <v>0</v>
      </c>
      <c r="N33" s="466"/>
      <c r="O33" s="466"/>
      <c r="P33" s="466" cm="1">
        <f t="array" ref="P33">SUM(P39:R39,-P35:R38)</f>
        <v>0</v>
      </c>
      <c r="Q33" s="466"/>
      <c r="R33" s="466"/>
      <c r="S33" s="466" cm="1">
        <f t="array" ref="S33">SUM(S39:U39,-S35:U38)</f>
        <v>0</v>
      </c>
      <c r="T33" s="466"/>
      <c r="U33" s="466"/>
      <c r="V33" s="466" cm="1">
        <f t="array" ref="V33">SUM(V39:X39,-V35:X38)</f>
        <v>0</v>
      </c>
      <c r="W33" s="466"/>
      <c r="X33" s="466"/>
      <c r="Y33" s="466" cm="1">
        <f t="array" ref="Y33">SUM(Y39:AA39,-Y35:AA38)</f>
        <v>0</v>
      </c>
      <c r="Z33" s="466"/>
      <c r="AA33" s="466"/>
      <c r="AB33" s="466" cm="1">
        <f t="array" ref="AB33">SUM(AB39:AD39,-AB35:AD38)</f>
        <v>0</v>
      </c>
      <c r="AC33" s="466"/>
      <c r="AD33" s="466"/>
      <c r="AE33" s="466" cm="1">
        <f t="array" ref="AE33">SUM(AE39:AG39,-AE35:AG38)</f>
        <v>0</v>
      </c>
      <c r="AF33" s="466"/>
      <c r="AG33" s="466"/>
      <c r="AH33" s="466" cm="1">
        <f t="array" ref="AH33">SUM(AH39:AJ39,-AH35:AJ38)</f>
        <v>0</v>
      </c>
      <c r="AI33" s="466"/>
      <c r="AJ33" s="466"/>
      <c r="AK33" s="466" cm="1">
        <f t="array" ref="AK33">SUM(AK39:AM39,-AK35:AM38)</f>
        <v>0</v>
      </c>
      <c r="AL33" s="466"/>
      <c r="AM33" s="466"/>
      <c r="AN33" s="246"/>
      <c r="AO33" s="22"/>
      <c r="AP33" s="22"/>
      <c r="AQ33" s="22"/>
      <c r="AR33" s="22"/>
      <c r="AS33" s="22"/>
      <c r="AT33" s="22"/>
      <c r="AU33" s="22"/>
      <c r="AV33" s="22"/>
      <c r="AW33" s="22"/>
      <c r="AX33" s="22"/>
      <c r="AY33" s="22"/>
    </row>
    <row r="34" spans="1:51" s="247" customFormat="1" ht="27" customHeight="1" x14ac:dyDescent="0.55000000000000004">
      <c r="A34" s="472" t="s">
        <v>1627</v>
      </c>
      <c r="B34" s="473"/>
      <c r="C34" s="473"/>
      <c r="D34" s="473"/>
      <c r="E34" s="473"/>
      <c r="F34" s="473"/>
      <c r="G34" s="473"/>
      <c r="H34" s="473"/>
      <c r="I34" s="473"/>
      <c r="J34" s="473"/>
      <c r="K34" s="473"/>
      <c r="L34" s="473"/>
      <c r="M34" s="473"/>
      <c r="N34" s="473"/>
      <c r="O34" s="473"/>
      <c r="P34" s="473"/>
      <c r="Q34" s="473"/>
      <c r="R34" s="473"/>
      <c r="S34" s="473"/>
      <c r="T34" s="473"/>
      <c r="U34" s="473"/>
      <c r="V34" s="473"/>
      <c r="W34" s="473"/>
      <c r="X34" s="473"/>
      <c r="Y34" s="473"/>
      <c r="Z34" s="473"/>
      <c r="AA34" s="473"/>
      <c r="AB34" s="473"/>
      <c r="AC34" s="473"/>
      <c r="AD34" s="473"/>
      <c r="AE34" s="473"/>
      <c r="AF34" s="473"/>
      <c r="AG34" s="473"/>
      <c r="AH34" s="473"/>
      <c r="AI34" s="473"/>
      <c r="AJ34" s="473"/>
      <c r="AK34" s="473"/>
      <c r="AL34" s="473"/>
      <c r="AM34" s="474"/>
      <c r="AN34" s="246"/>
      <c r="AO34" s="22"/>
      <c r="AP34" s="22"/>
      <c r="AQ34" s="22"/>
      <c r="AR34" s="22"/>
      <c r="AS34" s="22"/>
      <c r="AT34" s="22"/>
      <c r="AU34" s="22"/>
      <c r="AV34" s="22"/>
      <c r="AW34" s="22"/>
      <c r="AX34" s="22"/>
      <c r="AY34" s="22"/>
    </row>
    <row r="35" spans="1:51" s="247" customFormat="1" ht="27" customHeight="1" x14ac:dyDescent="0.55000000000000004">
      <c r="A35" s="475" t="s">
        <v>102</v>
      </c>
      <c r="B35" s="476"/>
      <c r="C35" s="476"/>
      <c r="D35" s="476"/>
      <c r="E35" s="476"/>
      <c r="F35" s="476"/>
      <c r="G35" s="476"/>
      <c r="H35" s="476"/>
      <c r="I35" s="477"/>
      <c r="J35" s="431">
        <f>SUMIFS(Input[F. W. - Stat (NR AFR) E&amp;G],Input[Institution Name],$A$1)</f>
        <v>0</v>
      </c>
      <c r="K35" s="431"/>
      <c r="L35" s="431"/>
      <c r="M35" s="431">
        <f>SUMIFS(Input[F. W. - Stat (NR AFR) Desg],Input[Institution Name],$A$1)</f>
        <v>0</v>
      </c>
      <c r="N35" s="431"/>
      <c r="O35" s="431"/>
      <c r="P35" s="431">
        <f>SUMIFS(Input[F. W. - Stat (NR AFR) Aux],Input[Institution Name],$A$1)</f>
        <v>0</v>
      </c>
      <c r="Q35" s="431"/>
      <c r="R35" s="431"/>
      <c r="S35" s="431">
        <f>SUMIFS(Input[F. W. - Stat (NR AFR) R Exp],Input[Institution Name],$A$1)</f>
        <v>0</v>
      </c>
      <c r="T35" s="431"/>
      <c r="U35" s="431"/>
      <c r="V35" s="431">
        <f>SUMIFS(Input[F. W. - Stat (NR AFR) Loan],Input[Institution Name],$A$1)</f>
        <v>0</v>
      </c>
      <c r="W35" s="431"/>
      <c r="X35" s="431"/>
      <c r="Y35" s="431">
        <f>SUMIFS(Input[F. W. - Stat (NR AFR) Annuity],Input[Institution Name],$A$1)</f>
        <v>0</v>
      </c>
      <c r="Z35" s="431"/>
      <c r="AA35" s="431"/>
      <c r="AB35" s="431">
        <f>SUMIFS(Input[F. W. - Stat (NR AFR) Unexp],Input[Institution Name],$A$1)</f>
        <v>0</v>
      </c>
      <c r="AC35" s="431"/>
      <c r="AD35" s="431"/>
      <c r="AE35" s="431">
        <f>SUMIFS(Input[F. W. - Stat (NR AFR) R of Ind],Input[Institution Name],$A$1)</f>
        <v>0</v>
      </c>
      <c r="AF35" s="431"/>
      <c r="AG35" s="431"/>
      <c r="AH35" s="431">
        <f>SUMIFS(Input[F. W. - Stat (NR AFR) Inv in P],Input[Institution Name],$A$1)</f>
        <v>0</v>
      </c>
      <c r="AI35" s="431"/>
      <c r="AJ35" s="431"/>
      <c r="AK35" s="432">
        <f>SUM(J35:AH35)</f>
        <v>0</v>
      </c>
      <c r="AL35" s="432"/>
      <c r="AM35" s="432"/>
      <c r="AN35" s="246"/>
      <c r="AO35" s="22"/>
      <c r="AP35" s="22"/>
      <c r="AQ35" s="22"/>
      <c r="AR35" s="22"/>
      <c r="AS35" s="22"/>
      <c r="AT35" s="22"/>
      <c r="AU35" s="22"/>
      <c r="AV35" s="22"/>
      <c r="AW35" s="22"/>
      <c r="AX35" s="22"/>
      <c r="AY35" s="22"/>
    </row>
    <row r="36" spans="1:51" s="247" customFormat="1" ht="27" customHeight="1" x14ac:dyDescent="0.55000000000000004">
      <c r="A36" s="433" t="s">
        <v>103</v>
      </c>
      <c r="B36" s="434"/>
      <c r="C36" s="434"/>
      <c r="D36" s="434"/>
      <c r="E36" s="434"/>
      <c r="F36" s="434"/>
      <c r="G36" s="434"/>
      <c r="H36" s="434"/>
      <c r="I36" s="435"/>
      <c r="J36" s="431">
        <f>SUMIFS(Input[F. W. - Inst. (NR AFR) E&amp;G],Input[Institution Name],$A$1)</f>
        <v>0</v>
      </c>
      <c r="K36" s="431"/>
      <c r="L36" s="431"/>
      <c r="M36" s="431">
        <f>SUMIFS(Input[F. W. - Inst. (NR AFR) Desg],Input[Institution Name],$A$1)</f>
        <v>0</v>
      </c>
      <c r="N36" s="431"/>
      <c r="O36" s="431"/>
      <c r="P36" s="431">
        <f>SUMIFS(Input[F. W. - Inst. (NR AFR) Aux],Input[Institution Name],$A$1)</f>
        <v>0</v>
      </c>
      <c r="Q36" s="431"/>
      <c r="R36" s="431"/>
      <c r="S36" s="431">
        <f>SUMIFS(Input[F. W. - Inst. (NR AFR) R Exp],Input[Institution Name],$A$1)</f>
        <v>0</v>
      </c>
      <c r="T36" s="431"/>
      <c r="U36" s="431"/>
      <c r="V36" s="431">
        <f>SUMIFS(Input[F. W. - Inst. (NR AFR) Loan],Input[Institution Name],$A$1)</f>
        <v>0</v>
      </c>
      <c r="W36" s="431"/>
      <c r="X36" s="431"/>
      <c r="Y36" s="431">
        <f>SUMIFS(Input[F. W. - Inst. (NR AFR) Annuity],Input[Institution Name],$A$1)</f>
        <v>0</v>
      </c>
      <c r="Z36" s="431"/>
      <c r="AA36" s="431"/>
      <c r="AB36" s="431">
        <f>SUMIFS(Input[F. W. - Inst. (NR AFR) Unexp],Input[Institution Name],$A$1)</f>
        <v>0</v>
      </c>
      <c r="AC36" s="431"/>
      <c r="AD36" s="431"/>
      <c r="AE36" s="431">
        <f>SUMIFS(Input[F. W. - Inst. (NR AFR) R of Ind],Input[Institution Name],$A$1)</f>
        <v>0</v>
      </c>
      <c r="AF36" s="431"/>
      <c r="AG36" s="431"/>
      <c r="AH36" s="431">
        <f>SUMIFS(Input[F. W. - Inst. (NR AFR) Inv in P],Input[Institution Name],$A$1)</f>
        <v>0</v>
      </c>
      <c r="AI36" s="431"/>
      <c r="AJ36" s="431"/>
      <c r="AK36" s="432">
        <f>SUM(J36:AH36)</f>
        <v>0</v>
      </c>
      <c r="AL36" s="432"/>
      <c r="AM36" s="432"/>
      <c r="AN36" s="246"/>
      <c r="AO36" s="22"/>
      <c r="AP36" s="22"/>
      <c r="AQ36" s="22"/>
      <c r="AR36" s="22"/>
      <c r="AS36" s="22"/>
      <c r="AT36" s="22"/>
      <c r="AU36" s="22"/>
      <c r="AV36" s="22"/>
      <c r="AW36" s="22"/>
      <c r="AX36" s="22"/>
      <c r="AY36" s="22"/>
    </row>
    <row r="37" spans="1:51" s="247" customFormat="1" ht="27" customHeight="1" x14ac:dyDescent="0.55000000000000004">
      <c r="A37" s="433" t="s">
        <v>104</v>
      </c>
      <c r="B37" s="434"/>
      <c r="C37" s="434"/>
      <c r="D37" s="434"/>
      <c r="E37" s="434"/>
      <c r="F37" s="434"/>
      <c r="G37" s="434"/>
      <c r="H37" s="434"/>
      <c r="I37" s="435"/>
      <c r="J37" s="431">
        <f>SUMIFS(Input[F. Exp. - Stat (NR AFR) E&amp;G],Input[Institution Name],$A$1)</f>
        <v>0</v>
      </c>
      <c r="K37" s="431"/>
      <c r="L37" s="431"/>
      <c r="M37" s="431">
        <f>SUMIFS(Input[F. Exp. - Stat (NR AFR) Desg],Input[Institution Name],$A$1)</f>
        <v>0</v>
      </c>
      <c r="N37" s="431"/>
      <c r="O37" s="431"/>
      <c r="P37" s="431">
        <f>SUMIFS(Input[F. Exp. - Stat (NR AFR) Aux],Input[Institution Name],$A$1)</f>
        <v>0</v>
      </c>
      <c r="Q37" s="431"/>
      <c r="R37" s="431"/>
      <c r="S37" s="431">
        <f>SUMIFS(Input[F. Exp. - Stat (NR AFR) R Exp],Input[Institution Name],$A$1)</f>
        <v>0</v>
      </c>
      <c r="T37" s="431"/>
      <c r="U37" s="431"/>
      <c r="V37" s="431">
        <f>SUMIFS(Input[F. Exp. - Stat (NR AFR) Loan],Input[Institution Name],$A$1)</f>
        <v>0</v>
      </c>
      <c r="W37" s="431"/>
      <c r="X37" s="431"/>
      <c r="Y37" s="431">
        <f>SUMIFS(Input[F. Exp. - Stat (NR AFR) Annuity],Input[Institution Name],$A$1)</f>
        <v>0</v>
      </c>
      <c r="Z37" s="431"/>
      <c r="AA37" s="431"/>
      <c r="AB37" s="431">
        <f>SUMIFS(Input[F. Exp. - Stat (NR AFR) Unexp],Input[Institution Name],$A$1)</f>
        <v>0</v>
      </c>
      <c r="AC37" s="431"/>
      <c r="AD37" s="431"/>
      <c r="AE37" s="431">
        <f>SUMIFS(Input[F. Exp. - Stat (NR AFR) R of Ind],Input[Institution Name],$A$1)</f>
        <v>0</v>
      </c>
      <c r="AF37" s="431"/>
      <c r="AG37" s="431"/>
      <c r="AH37" s="431">
        <f>SUMIFS(Input[F. Exp. - Stat (NR AFR) Inv in P],Input[Institution Name],$A$1)</f>
        <v>0</v>
      </c>
      <c r="AI37" s="431"/>
      <c r="AJ37" s="431"/>
      <c r="AK37" s="432">
        <f>SUM(J37:AH37)</f>
        <v>0</v>
      </c>
      <c r="AL37" s="432"/>
      <c r="AM37" s="432"/>
      <c r="AN37" s="246"/>
      <c r="AO37" s="22"/>
      <c r="AP37" s="22"/>
      <c r="AQ37" s="22"/>
      <c r="AR37" s="22"/>
      <c r="AS37" s="22"/>
      <c r="AT37" s="22"/>
      <c r="AU37" s="22"/>
      <c r="AV37" s="22"/>
      <c r="AW37" s="22"/>
      <c r="AX37" s="22"/>
      <c r="AY37" s="22"/>
    </row>
    <row r="38" spans="1:51" s="247" customFormat="1" ht="27" customHeight="1" x14ac:dyDescent="0.55000000000000004">
      <c r="A38" s="478" t="s">
        <v>105</v>
      </c>
      <c r="B38" s="479"/>
      <c r="C38" s="479"/>
      <c r="D38" s="479"/>
      <c r="E38" s="479"/>
      <c r="F38" s="479"/>
      <c r="G38" s="479"/>
      <c r="H38" s="479"/>
      <c r="I38" s="480"/>
      <c r="J38" s="481">
        <f>SUMIFS(Input[F. Exp. - Inst. (NR AFR) E&amp;G],Input[Institution Name],$A$1)</f>
        <v>0</v>
      </c>
      <c r="K38" s="481"/>
      <c r="L38" s="481"/>
      <c r="M38" s="481">
        <f>SUMIFS(Input[F. Exp. - Inst. (NR AFR) Desg],Input[Institution Name],$A$1)</f>
        <v>0</v>
      </c>
      <c r="N38" s="481"/>
      <c r="O38" s="481"/>
      <c r="P38" s="481">
        <f>SUMIFS(Input[F. Exp. - Inst. (NR AFR) Aux],Input[Institution Name],$A$1)</f>
        <v>0</v>
      </c>
      <c r="Q38" s="481"/>
      <c r="R38" s="481"/>
      <c r="S38" s="481">
        <f>SUMIFS(Input[F. Exp. - Inst. (NR AFR) R Exp],Input[Institution Name],$A$1)</f>
        <v>0</v>
      </c>
      <c r="T38" s="481"/>
      <c r="U38" s="481"/>
      <c r="V38" s="481">
        <f>SUMIFS(Input[F. Exp. - Inst. (NR AFR) Loan],Input[Institution Name],$A$1)</f>
        <v>0</v>
      </c>
      <c r="W38" s="481"/>
      <c r="X38" s="481"/>
      <c r="Y38" s="481">
        <f>SUMIFS(Input[F. Exp. - Inst. (NR AFR) Annuity],Input[Institution Name],$A$1)</f>
        <v>0</v>
      </c>
      <c r="Z38" s="481"/>
      <c r="AA38" s="481"/>
      <c r="AB38" s="481">
        <f>SUMIFS(Input[F. Exp. - Inst. (NR AFR) Unexp],Input[Institution Name],$A$1)</f>
        <v>0</v>
      </c>
      <c r="AC38" s="481"/>
      <c r="AD38" s="481"/>
      <c r="AE38" s="481">
        <f>SUMIFS(Input[F. Exp. - Inst. (NR AFR) R of Ind],Input[Institution Name],$A$1)</f>
        <v>0</v>
      </c>
      <c r="AF38" s="481"/>
      <c r="AG38" s="481"/>
      <c r="AH38" s="481">
        <f>SUMIFS(Input[F. Exp. - Inst. (NR AFR) Inv in P],Input[Institution Name],$A$1)</f>
        <v>0</v>
      </c>
      <c r="AI38" s="481"/>
      <c r="AJ38" s="481"/>
      <c r="AK38" s="482">
        <f>SUM(J38:AH38)</f>
        <v>0</v>
      </c>
      <c r="AL38" s="482"/>
      <c r="AM38" s="482"/>
      <c r="AN38" s="246"/>
      <c r="AO38" s="22"/>
      <c r="AP38" s="22"/>
      <c r="AQ38" s="22"/>
      <c r="AR38" s="22"/>
      <c r="AS38" s="22"/>
      <c r="AT38" s="22"/>
      <c r="AU38" s="22"/>
      <c r="AV38" s="22"/>
      <c r="AW38" s="22"/>
      <c r="AX38" s="22"/>
      <c r="AY38" s="22"/>
    </row>
    <row r="39" spans="1:51" s="247" customFormat="1" ht="27" customHeight="1" x14ac:dyDescent="0.55000000000000004">
      <c r="A39" s="462" t="s">
        <v>108</v>
      </c>
      <c r="B39" s="463"/>
      <c r="C39" s="463"/>
      <c r="D39" s="463"/>
      <c r="E39" s="463"/>
      <c r="F39" s="463"/>
      <c r="G39" s="463"/>
      <c r="H39" s="463"/>
      <c r="I39" s="464"/>
      <c r="J39" s="471">
        <f>SUMIFS(Input[Fees - Gross E&amp;G],Input[Institution Name],$A$1)</f>
        <v>0</v>
      </c>
      <c r="K39" s="471"/>
      <c r="L39" s="471"/>
      <c r="M39" s="471">
        <f>SUMIFS(Input[Fees - Gross Desg],Input[Institution Name],$A$1)</f>
        <v>0</v>
      </c>
      <c r="N39" s="471"/>
      <c r="O39" s="471"/>
      <c r="P39" s="471">
        <f>SUMIFS(Input[Fees - Gross Aux],Input[Institution Name],$A$1)</f>
        <v>0</v>
      </c>
      <c r="Q39" s="471"/>
      <c r="R39" s="471"/>
      <c r="S39" s="471">
        <f>SUMIFS(Input[Fees - Gross R Exp],Input[Institution Name],$A$1)</f>
        <v>0</v>
      </c>
      <c r="T39" s="471"/>
      <c r="U39" s="471"/>
      <c r="V39" s="471">
        <f>SUMIFS(Input[Fees - Gross Loan],Input[Institution Name],$A$1)</f>
        <v>0</v>
      </c>
      <c r="W39" s="471"/>
      <c r="X39" s="471"/>
      <c r="Y39" s="471">
        <f>SUMIFS(Input[Fees - Gross Annuity],Input[Institution Name],$A$1)</f>
        <v>0</v>
      </c>
      <c r="Z39" s="471"/>
      <c r="AA39" s="471"/>
      <c r="AB39" s="471">
        <f>SUMIFS(Input[Fees - Gross Unexp],Input[Institution Name],$A$1)</f>
        <v>0</v>
      </c>
      <c r="AC39" s="471"/>
      <c r="AD39" s="471"/>
      <c r="AE39" s="471">
        <f>SUMIFS(Input[Fees - Gross R of Ind],Input[Institution Name],$A$1)</f>
        <v>0</v>
      </c>
      <c r="AF39" s="471"/>
      <c r="AG39" s="471"/>
      <c r="AH39" s="471">
        <f>SUMIFS(Input[Fees - Gross Inv in P],Input[Institution Name],$A$1)</f>
        <v>0</v>
      </c>
      <c r="AI39" s="471"/>
      <c r="AJ39" s="471"/>
      <c r="AK39" s="466">
        <f t="shared" ref="AK39" si="19">SUM(J39:AH39)</f>
        <v>0</v>
      </c>
      <c r="AL39" s="466"/>
      <c r="AM39" s="466"/>
      <c r="AN39" s="246"/>
      <c r="AO39" s="22"/>
      <c r="AP39" s="22"/>
      <c r="AQ39" s="22"/>
      <c r="AR39" s="22"/>
      <c r="AS39" s="22"/>
      <c r="AT39" s="22"/>
      <c r="AU39" s="22"/>
      <c r="AV39" s="22"/>
      <c r="AW39" s="22"/>
      <c r="AX39" s="22"/>
      <c r="AY39" s="22"/>
    </row>
    <row r="40" spans="1:51" s="247" customFormat="1" ht="27" customHeight="1" x14ac:dyDescent="0.55000000000000004">
      <c r="A40" s="472" t="s">
        <v>739</v>
      </c>
      <c r="B40" s="473"/>
      <c r="C40" s="473"/>
      <c r="D40" s="473"/>
      <c r="E40" s="473"/>
      <c r="F40" s="473"/>
      <c r="G40" s="473"/>
      <c r="H40" s="473"/>
      <c r="I40" s="473"/>
      <c r="J40" s="473"/>
      <c r="K40" s="473"/>
      <c r="L40" s="473"/>
      <c r="M40" s="473"/>
      <c r="N40" s="473"/>
      <c r="O40" s="473"/>
      <c r="P40" s="473"/>
      <c r="Q40" s="473"/>
      <c r="R40" s="473"/>
      <c r="S40" s="473"/>
      <c r="T40" s="473"/>
      <c r="U40" s="473"/>
      <c r="V40" s="473"/>
      <c r="W40" s="473"/>
      <c r="X40" s="473"/>
      <c r="Y40" s="473"/>
      <c r="Z40" s="473"/>
      <c r="AA40" s="473"/>
      <c r="AB40" s="473"/>
      <c r="AC40" s="473"/>
      <c r="AD40" s="473"/>
      <c r="AE40" s="473"/>
      <c r="AF40" s="473"/>
      <c r="AG40" s="473"/>
      <c r="AH40" s="473"/>
      <c r="AI40" s="473"/>
      <c r="AJ40" s="473"/>
      <c r="AK40" s="473"/>
      <c r="AL40" s="473"/>
      <c r="AM40" s="474"/>
      <c r="AN40" s="246"/>
      <c r="AO40" s="22"/>
      <c r="AP40" s="22"/>
      <c r="AQ40" s="22"/>
      <c r="AR40" s="22"/>
      <c r="AS40" s="22"/>
      <c r="AT40" s="22"/>
      <c r="AU40" s="22"/>
      <c r="AV40" s="22"/>
      <c r="AW40" s="22"/>
      <c r="AX40" s="22"/>
      <c r="AY40" s="22"/>
    </row>
    <row r="41" spans="1:51" s="247" customFormat="1" ht="27" customHeight="1" x14ac:dyDescent="0.55000000000000004">
      <c r="A41" s="475" t="s">
        <v>102</v>
      </c>
      <c r="B41" s="476"/>
      <c r="C41" s="476"/>
      <c r="D41" s="476"/>
      <c r="E41" s="476"/>
      <c r="F41" s="476"/>
      <c r="G41" s="476"/>
      <c r="H41" s="476"/>
      <c r="I41" s="477"/>
      <c r="J41" s="431">
        <f>SUMIFS(Input[F. W. - Stat (R AFR) E&amp;G],Input[Institution Name],$A$1)</f>
        <v>0</v>
      </c>
      <c r="K41" s="431"/>
      <c r="L41" s="431"/>
      <c r="M41" s="431">
        <f>SUMIFS(Input[F. W. - Stat (R AFR) Desg],Input[Institution Name],$A$1)</f>
        <v>0</v>
      </c>
      <c r="N41" s="431"/>
      <c r="O41" s="431"/>
      <c r="P41" s="431">
        <f>SUMIFS(Input[F. W. - Stat (R AFR) Aux],Input[Institution Name],$A$1)</f>
        <v>0</v>
      </c>
      <c r="Q41" s="431"/>
      <c r="R41" s="431"/>
      <c r="S41" s="431">
        <f>SUMIFS(Input[F. W. - Stat (R AFR) R Exp],Input[Institution Name],$A$1)</f>
        <v>0</v>
      </c>
      <c r="T41" s="431"/>
      <c r="U41" s="431"/>
      <c r="V41" s="431">
        <f>SUMIFS(Input[F. W. - Stat (R AFR) Loan],Input[Institution Name],$A$1)</f>
        <v>0</v>
      </c>
      <c r="W41" s="431"/>
      <c r="X41" s="431"/>
      <c r="Y41" s="431">
        <f>SUMIFS(Input[F. W. - Stat (R AFR) Annuity],Input[Institution Name],$A$1)</f>
        <v>0</v>
      </c>
      <c r="Z41" s="431"/>
      <c r="AA41" s="431"/>
      <c r="AB41" s="431">
        <f>SUMIFS(Input[F. W. - Stat (R AFR) Unexp],Input[Institution Name],$A$1)</f>
        <v>0</v>
      </c>
      <c r="AC41" s="431"/>
      <c r="AD41" s="431"/>
      <c r="AE41" s="431">
        <f>SUMIFS(Input[F. W. - Stat (R AFR) R of Ind],Input[Institution Name],$A$1)</f>
        <v>0</v>
      </c>
      <c r="AF41" s="431"/>
      <c r="AG41" s="431"/>
      <c r="AH41" s="431">
        <f>SUMIFS(Input[F. W. - Stat (R AFR) Inv in P],Input[Institution Name],$A$1)</f>
        <v>0</v>
      </c>
      <c r="AI41" s="431"/>
      <c r="AJ41" s="431"/>
      <c r="AK41" s="432">
        <f t="shared" ref="AK41:AK45" si="20">SUM(J41:AH41)</f>
        <v>0</v>
      </c>
      <c r="AL41" s="432"/>
      <c r="AM41" s="432"/>
      <c r="AN41" s="246"/>
      <c r="AO41" s="22"/>
      <c r="AP41" s="22"/>
      <c r="AQ41" s="22"/>
      <c r="AR41" s="22"/>
      <c r="AS41" s="22"/>
      <c r="AT41" s="22"/>
      <c r="AU41" s="22"/>
      <c r="AV41" s="22"/>
      <c r="AW41" s="22"/>
      <c r="AX41" s="22"/>
      <c r="AY41" s="22"/>
    </row>
    <row r="42" spans="1:51" s="247" customFormat="1" ht="27" customHeight="1" x14ac:dyDescent="0.55000000000000004">
      <c r="A42" s="433" t="s">
        <v>103</v>
      </c>
      <c r="B42" s="434"/>
      <c r="C42" s="434"/>
      <c r="D42" s="434"/>
      <c r="E42" s="434"/>
      <c r="F42" s="434"/>
      <c r="G42" s="434"/>
      <c r="H42" s="434"/>
      <c r="I42" s="435"/>
      <c r="J42" s="431">
        <f>SUMIFS(Input[F. W. - Inst. (R AFR) E&amp;G],Input[Institution Name],$A$1)</f>
        <v>0</v>
      </c>
      <c r="K42" s="431"/>
      <c r="L42" s="431"/>
      <c r="M42" s="431">
        <f>SUMIFS(Input[F. W. - Inst. (R AFR) Desg],Input[Institution Name],$A$1)</f>
        <v>0</v>
      </c>
      <c r="N42" s="431"/>
      <c r="O42" s="431"/>
      <c r="P42" s="431">
        <f>SUMIFS(Input[F. W. - Inst. (R AFR) Aux],Input[Institution Name],$A$1)</f>
        <v>0</v>
      </c>
      <c r="Q42" s="431"/>
      <c r="R42" s="431"/>
      <c r="S42" s="431">
        <f>SUMIFS(Input[F. W. - Inst. (R AFR) R Exp],Input[Institution Name],$A$1)</f>
        <v>0</v>
      </c>
      <c r="T42" s="431"/>
      <c r="U42" s="431"/>
      <c r="V42" s="431">
        <f>SUMIFS(Input[F. W. - Inst. (R AFR) Loan],Input[Institution Name],$A$1)</f>
        <v>0</v>
      </c>
      <c r="W42" s="431"/>
      <c r="X42" s="431"/>
      <c r="Y42" s="431">
        <f>SUMIFS(Input[F. W. - Inst. (R AFR) Annuity],Input[Institution Name],$A$1)</f>
        <v>0</v>
      </c>
      <c r="Z42" s="431"/>
      <c r="AA42" s="431"/>
      <c r="AB42" s="431">
        <f>SUMIFS(Input[F. W. - Inst. (R AFR) Unexp],Input[Institution Name],$A$1)</f>
        <v>0</v>
      </c>
      <c r="AC42" s="431"/>
      <c r="AD42" s="431"/>
      <c r="AE42" s="431">
        <f>SUMIFS(Input[F. W. - Inst. (R AFR) R of Ind],Input[Institution Name],$A$1)</f>
        <v>0</v>
      </c>
      <c r="AF42" s="431"/>
      <c r="AG42" s="431"/>
      <c r="AH42" s="431">
        <f>SUMIFS(Input[F. W. - Inst. (R AFR) Inv in P],Input[Institution Name],$A$1)</f>
        <v>0</v>
      </c>
      <c r="AI42" s="431"/>
      <c r="AJ42" s="431"/>
      <c r="AK42" s="432">
        <f t="shared" si="20"/>
        <v>0</v>
      </c>
      <c r="AL42" s="432"/>
      <c r="AM42" s="432"/>
      <c r="AN42" s="246"/>
      <c r="AO42" s="22"/>
      <c r="AP42" s="22"/>
      <c r="AQ42" s="22"/>
      <c r="AR42" s="22"/>
      <c r="AS42" s="22"/>
      <c r="AT42" s="22"/>
      <c r="AU42" s="22"/>
      <c r="AV42" s="22"/>
      <c r="AW42" s="22"/>
      <c r="AX42" s="22"/>
      <c r="AY42" s="22"/>
    </row>
    <row r="43" spans="1:51" s="247" customFormat="1" ht="27" customHeight="1" x14ac:dyDescent="0.55000000000000004">
      <c r="A43" s="433" t="s">
        <v>104</v>
      </c>
      <c r="B43" s="434"/>
      <c r="C43" s="434"/>
      <c r="D43" s="434"/>
      <c r="E43" s="434"/>
      <c r="F43" s="434"/>
      <c r="G43" s="434"/>
      <c r="H43" s="434"/>
      <c r="I43" s="435"/>
      <c r="J43" s="431">
        <f>SUMIFS(Input[F. Exp. - Stat (R AFR) E&amp;G],Input[Institution Name],$A$1)</f>
        <v>0</v>
      </c>
      <c r="K43" s="431"/>
      <c r="L43" s="431"/>
      <c r="M43" s="431">
        <f>SUMIFS(Input[F. Exp. - Stat (R AFR) Desg],Input[Institution Name],$A$1)</f>
        <v>0</v>
      </c>
      <c r="N43" s="431"/>
      <c r="O43" s="431"/>
      <c r="P43" s="431">
        <f>SUMIFS(Input[F. Exp. - Stat (R AFR) Aux],Input[Institution Name],$A$1)</f>
        <v>0</v>
      </c>
      <c r="Q43" s="431"/>
      <c r="R43" s="431"/>
      <c r="S43" s="431">
        <f>SUMIFS(Input[F. Exp. - Stat (R AFR) R Exp],Input[Institution Name],$A$1)</f>
        <v>0</v>
      </c>
      <c r="T43" s="431"/>
      <c r="U43" s="431"/>
      <c r="V43" s="431">
        <f>SUMIFS(Input[F. Exp. - Stat (R AFR) Loan],Input[Institution Name],$A$1)</f>
        <v>0</v>
      </c>
      <c r="W43" s="431"/>
      <c r="X43" s="431"/>
      <c r="Y43" s="431">
        <f>SUMIFS(Input[F. Exp. - Stat (R AFR) Annuity],Input[Institution Name],$A$1)</f>
        <v>0</v>
      </c>
      <c r="Z43" s="431"/>
      <c r="AA43" s="431"/>
      <c r="AB43" s="431">
        <f>SUMIFS(Input[F. Exp. - Stat (R AFR) Unexp],Input[Institution Name],$A$1)</f>
        <v>0</v>
      </c>
      <c r="AC43" s="431"/>
      <c r="AD43" s="431"/>
      <c r="AE43" s="431">
        <f>SUMIFS(Input[F. Exp. - Stat (R AFR) R of Ind],Input[Institution Name],$A$1)</f>
        <v>0</v>
      </c>
      <c r="AF43" s="431"/>
      <c r="AG43" s="431"/>
      <c r="AH43" s="431">
        <f>SUMIFS(Input[F. Exp. - Stat (R AFR) Inv in P],Input[Institution Name],$A$1)</f>
        <v>0</v>
      </c>
      <c r="AI43" s="431"/>
      <c r="AJ43" s="431"/>
      <c r="AK43" s="432">
        <f t="shared" si="20"/>
        <v>0</v>
      </c>
      <c r="AL43" s="432"/>
      <c r="AM43" s="432"/>
      <c r="AN43" s="246"/>
      <c r="AO43" s="22"/>
      <c r="AP43" s="22"/>
      <c r="AQ43" s="22"/>
      <c r="AR43" s="22"/>
      <c r="AS43" s="22"/>
      <c r="AT43" s="22"/>
      <c r="AU43" s="22"/>
      <c r="AV43" s="22"/>
      <c r="AW43" s="22"/>
      <c r="AX43" s="22"/>
      <c r="AY43" s="22"/>
    </row>
    <row r="44" spans="1:51" s="247" customFormat="1" ht="27" customHeight="1" x14ac:dyDescent="0.55000000000000004">
      <c r="A44" s="459" t="s">
        <v>105</v>
      </c>
      <c r="B44" s="460"/>
      <c r="C44" s="460"/>
      <c r="D44" s="460"/>
      <c r="E44" s="460"/>
      <c r="F44" s="460"/>
      <c r="G44" s="460"/>
      <c r="H44" s="460"/>
      <c r="I44" s="461"/>
      <c r="J44" s="431">
        <f>SUMIFS(Input[F. Exp. - Inst. (R AFR) E&amp;G],Input[Institution Name],$A$1)</f>
        <v>0</v>
      </c>
      <c r="K44" s="431"/>
      <c r="L44" s="431"/>
      <c r="M44" s="431">
        <f>SUMIFS(Input[F. Exp. - Inst. (R AFR) Desg],Input[Institution Name],$A$1)</f>
        <v>0</v>
      </c>
      <c r="N44" s="431"/>
      <c r="O44" s="431"/>
      <c r="P44" s="431">
        <f>SUMIFS(Input[F. Exp. - Inst. (R AFR) Aux],Input[Institution Name],$A$1)</f>
        <v>0</v>
      </c>
      <c r="Q44" s="431"/>
      <c r="R44" s="431"/>
      <c r="S44" s="431">
        <f>SUMIFS(Input[F. Exp. - Inst. (R AFR) R Exp],Input[Institution Name],$A$1)</f>
        <v>0</v>
      </c>
      <c r="T44" s="431"/>
      <c r="U44" s="431"/>
      <c r="V44" s="431">
        <f>SUMIFS(Input[F. Exp. - Inst. (R AFR) Loan],Input[Institution Name],$A$1)</f>
        <v>0</v>
      </c>
      <c r="W44" s="431"/>
      <c r="X44" s="431"/>
      <c r="Y44" s="431">
        <f>SUMIFS(Input[F. Exp. - Inst. (R AFR) Annuity],Input[Institution Name],$A$1)</f>
        <v>0</v>
      </c>
      <c r="Z44" s="431"/>
      <c r="AA44" s="431"/>
      <c r="AB44" s="431">
        <f>SUMIFS(Input[F. Exp. - Inst. (R AFR) Unexp],Input[Institution Name],$A$1)</f>
        <v>0</v>
      </c>
      <c r="AC44" s="431"/>
      <c r="AD44" s="431"/>
      <c r="AE44" s="431">
        <f>SUMIFS(Input[F. Exp. - Inst. (R AFR) R of Ind],Input[Institution Name],$A$1)</f>
        <v>0</v>
      </c>
      <c r="AF44" s="431"/>
      <c r="AG44" s="431"/>
      <c r="AH44" s="431">
        <f>SUMIFS(Input[F. Exp. - Inst. (R AFR) Inv in P],Input[Institution Name],$A$1)</f>
        <v>0</v>
      </c>
      <c r="AI44" s="431"/>
      <c r="AJ44" s="431"/>
      <c r="AK44" s="432">
        <f t="shared" si="20"/>
        <v>0</v>
      </c>
      <c r="AL44" s="432"/>
      <c r="AM44" s="432"/>
      <c r="AN44" s="246"/>
      <c r="AO44" s="22"/>
      <c r="AP44" s="22"/>
      <c r="AQ44" s="22"/>
      <c r="AR44" s="22"/>
      <c r="AS44" s="22"/>
      <c r="AT44" s="22"/>
      <c r="AU44" s="22"/>
      <c r="AV44" s="22"/>
      <c r="AW44" s="22"/>
      <c r="AX44" s="22"/>
      <c r="AY44" s="22"/>
    </row>
    <row r="45" spans="1:51" s="247" customFormat="1" ht="27" customHeight="1" x14ac:dyDescent="0.55000000000000004">
      <c r="A45" s="468" t="s">
        <v>141</v>
      </c>
      <c r="B45" s="469"/>
      <c r="C45" s="469"/>
      <c r="D45" s="469"/>
      <c r="E45" s="469"/>
      <c r="F45" s="469"/>
      <c r="G45" s="469"/>
      <c r="H45" s="469"/>
      <c r="I45" s="470"/>
      <c r="J45" s="431">
        <f>SUMIFS(Input[Fee Schlr E&amp;G],Input[Institution Name],$A$1)</f>
        <v>0</v>
      </c>
      <c r="K45" s="431"/>
      <c r="L45" s="431"/>
      <c r="M45" s="431">
        <f>SUMIFS(Input[Fee Schlr Desg],Input[Institution Name],$A$1)</f>
        <v>0</v>
      </c>
      <c r="N45" s="431"/>
      <c r="O45" s="431"/>
      <c r="P45" s="431">
        <f>SUMIFS(Input[Fee Schlr Aux],Input[Institution Name],$A$1)</f>
        <v>0</v>
      </c>
      <c r="Q45" s="431"/>
      <c r="R45" s="431"/>
      <c r="S45" s="431">
        <f>SUMIFS(Input[Fee Schlr R Exp],Input[Institution Name],$A$1)</f>
        <v>0</v>
      </c>
      <c r="T45" s="431"/>
      <c r="U45" s="431"/>
      <c r="V45" s="431">
        <f>SUMIFS(Input[Fee Schlr Loan],Input[Institution Name],$A$1)</f>
        <v>0</v>
      </c>
      <c r="W45" s="431"/>
      <c r="X45" s="431"/>
      <c r="Y45" s="431">
        <f>SUMIFS(Input[Fee Schlr Annuity],Input[Institution Name],$A$1)</f>
        <v>0</v>
      </c>
      <c r="Z45" s="431"/>
      <c r="AA45" s="431"/>
      <c r="AB45" s="431">
        <f>SUMIFS(Input[Fee Schlr Unexp],Input[Institution Name],$A$1)</f>
        <v>0</v>
      </c>
      <c r="AC45" s="431"/>
      <c r="AD45" s="431"/>
      <c r="AE45" s="431">
        <f>SUMIFS(Input[Fee Schlr R of Ind],Input[Institution Name],$A$1)</f>
        <v>0</v>
      </c>
      <c r="AF45" s="431"/>
      <c r="AG45" s="431"/>
      <c r="AH45" s="431">
        <f>SUMIFS(Input[Fee Schlr Inv in P],Input[Institution Name],$A$1)</f>
        <v>0</v>
      </c>
      <c r="AI45" s="431"/>
      <c r="AJ45" s="431"/>
      <c r="AK45" s="432">
        <f t="shared" si="20"/>
        <v>0</v>
      </c>
      <c r="AL45" s="432"/>
      <c r="AM45" s="432"/>
      <c r="AN45" s="246"/>
      <c r="AO45" s="22"/>
      <c r="AP45" s="22"/>
      <c r="AQ45" s="22"/>
      <c r="AR45" s="22"/>
      <c r="AS45" s="22"/>
      <c r="AT45" s="22"/>
      <c r="AU45" s="22"/>
      <c r="AV45" s="22"/>
      <c r="AW45" s="22"/>
      <c r="AX45" s="22"/>
      <c r="AY45" s="22"/>
    </row>
    <row r="46" spans="1:51" s="247" customFormat="1" ht="27" customHeight="1" x14ac:dyDescent="0.55000000000000004">
      <c r="A46" s="485" t="s">
        <v>109</v>
      </c>
      <c r="B46" s="485"/>
      <c r="C46" s="485"/>
      <c r="D46" s="485"/>
      <c r="E46" s="485"/>
      <c r="F46" s="485"/>
      <c r="G46" s="485"/>
      <c r="H46" s="485"/>
      <c r="I46" s="485"/>
      <c r="J46" s="466">
        <f>SUM(J39,J41:L45)</f>
        <v>0</v>
      </c>
      <c r="K46" s="466"/>
      <c r="L46" s="466"/>
      <c r="M46" s="466">
        <f t="shared" ref="M46" si="21">SUM(M39,M41:O45)</f>
        <v>0</v>
      </c>
      <c r="N46" s="466"/>
      <c r="O46" s="466"/>
      <c r="P46" s="466">
        <f t="shared" ref="P46" si="22">SUM(P39,P41:R45)</f>
        <v>0</v>
      </c>
      <c r="Q46" s="466"/>
      <c r="R46" s="466"/>
      <c r="S46" s="466">
        <f t="shared" ref="S46" si="23">SUM(S39,S41:U45)</f>
        <v>0</v>
      </c>
      <c r="T46" s="466"/>
      <c r="U46" s="466"/>
      <c r="V46" s="466">
        <f t="shared" ref="V46" si="24">SUM(V39,V41:X45)</f>
        <v>0</v>
      </c>
      <c r="W46" s="466"/>
      <c r="X46" s="466"/>
      <c r="Y46" s="466">
        <f t="shared" ref="Y46" si="25">SUM(Y39,Y41:AA45)</f>
        <v>0</v>
      </c>
      <c r="Z46" s="466"/>
      <c r="AA46" s="466"/>
      <c r="AB46" s="466">
        <f t="shared" ref="AB46" si="26">SUM(AB39,AB41:AD45)</f>
        <v>0</v>
      </c>
      <c r="AC46" s="466"/>
      <c r="AD46" s="466"/>
      <c r="AE46" s="466">
        <f t="shared" ref="AE46" si="27">SUM(AE39,AE41:AG45)</f>
        <v>0</v>
      </c>
      <c r="AF46" s="466"/>
      <c r="AG46" s="466"/>
      <c r="AH46" s="466">
        <f t="shared" ref="AH46" si="28">SUM(AH39,AH41:AJ45)</f>
        <v>0</v>
      </c>
      <c r="AI46" s="466"/>
      <c r="AJ46" s="466"/>
      <c r="AK46" s="466">
        <f t="shared" ref="AK46" si="29">SUM(AK39,AK41:AM45)</f>
        <v>0</v>
      </c>
      <c r="AL46" s="466"/>
      <c r="AM46" s="466"/>
      <c r="AN46" s="246"/>
      <c r="AO46" s="22"/>
      <c r="AP46" s="22"/>
      <c r="AQ46" s="22"/>
      <c r="AR46" s="22"/>
      <c r="AS46" s="22"/>
      <c r="AT46" s="22"/>
      <c r="AU46" s="22"/>
      <c r="AV46" s="22"/>
      <c r="AW46" s="22"/>
      <c r="AX46" s="22"/>
      <c r="AY46" s="22"/>
    </row>
    <row r="47" spans="1:51" s="247" customFormat="1" ht="27" customHeight="1" x14ac:dyDescent="0.75">
      <c r="A47" s="251"/>
      <c r="B47" s="251"/>
      <c r="C47" s="251"/>
      <c r="D47" s="251"/>
      <c r="E47" s="251"/>
      <c r="F47" s="251"/>
      <c r="G47" s="251"/>
      <c r="H47" s="251"/>
      <c r="I47" s="251"/>
      <c r="J47" s="252"/>
      <c r="K47" s="252"/>
      <c r="L47" s="252"/>
      <c r="M47" s="252"/>
      <c r="N47" s="252"/>
      <c r="O47" s="252"/>
      <c r="P47" s="252"/>
      <c r="Q47" s="252"/>
      <c r="R47" s="252"/>
      <c r="S47" s="252"/>
      <c r="T47" s="252"/>
      <c r="U47" s="252"/>
      <c r="V47" s="252"/>
      <c r="W47" s="252"/>
      <c r="X47" s="252"/>
      <c r="Y47" s="252"/>
      <c r="Z47" s="252"/>
      <c r="AA47" s="252"/>
      <c r="AB47" s="252"/>
      <c r="AC47" s="252"/>
      <c r="AD47" s="252"/>
      <c r="AE47" s="252"/>
      <c r="AF47" s="252"/>
      <c r="AG47" s="252"/>
      <c r="AH47" s="252"/>
      <c r="AI47" s="252"/>
      <c r="AJ47" s="252"/>
      <c r="AK47" s="252"/>
      <c r="AL47" s="252"/>
      <c r="AM47" s="252"/>
      <c r="AN47" s="246"/>
      <c r="AO47" s="22"/>
      <c r="AP47" s="22"/>
      <c r="AQ47" s="22"/>
      <c r="AR47" s="22"/>
      <c r="AS47" s="22"/>
      <c r="AT47" s="22"/>
      <c r="AU47" s="22"/>
      <c r="AV47" s="22"/>
      <c r="AW47" s="22"/>
      <c r="AX47" s="22"/>
      <c r="AY47" s="22"/>
    </row>
    <row r="48" spans="1:51" s="247" customFormat="1" ht="27" customHeight="1" x14ac:dyDescent="0.55000000000000004">
      <c r="A48" s="485" t="s">
        <v>110</v>
      </c>
      <c r="B48" s="485"/>
      <c r="C48" s="485"/>
      <c r="D48" s="485"/>
      <c r="E48" s="485"/>
      <c r="F48" s="485"/>
      <c r="G48" s="485"/>
      <c r="H48" s="485"/>
      <c r="I48" s="485"/>
      <c r="J48" s="466">
        <f>SUM(J31,J46)</f>
        <v>0</v>
      </c>
      <c r="K48" s="466"/>
      <c r="L48" s="466"/>
      <c r="M48" s="466">
        <f t="shared" ref="M48" si="30">SUM(M31,M46)</f>
        <v>0</v>
      </c>
      <c r="N48" s="466"/>
      <c r="O48" s="466"/>
      <c r="P48" s="466">
        <f t="shared" ref="P48" si="31">SUM(P31,P46)</f>
        <v>0</v>
      </c>
      <c r="Q48" s="466"/>
      <c r="R48" s="466"/>
      <c r="S48" s="466">
        <f t="shared" ref="S48" si="32">SUM(S31,S46)</f>
        <v>0</v>
      </c>
      <c r="T48" s="466"/>
      <c r="U48" s="466"/>
      <c r="V48" s="466">
        <f t="shared" ref="V48" si="33">SUM(V31,V46)</f>
        <v>0</v>
      </c>
      <c r="W48" s="466"/>
      <c r="X48" s="466"/>
      <c r="Y48" s="466">
        <f t="shared" ref="Y48" si="34">SUM(Y31,Y46)</f>
        <v>0</v>
      </c>
      <c r="Z48" s="466"/>
      <c r="AA48" s="466"/>
      <c r="AB48" s="466">
        <f t="shared" ref="AB48" si="35">SUM(AB31,AB46)</f>
        <v>0</v>
      </c>
      <c r="AC48" s="466"/>
      <c r="AD48" s="466"/>
      <c r="AE48" s="466">
        <f t="shared" ref="AE48" si="36">SUM(AE31,AE46)</f>
        <v>0</v>
      </c>
      <c r="AF48" s="466"/>
      <c r="AG48" s="466"/>
      <c r="AH48" s="466">
        <f t="shared" ref="AH48" si="37">SUM(AH31,AH46)</f>
        <v>0</v>
      </c>
      <c r="AI48" s="466"/>
      <c r="AJ48" s="466"/>
      <c r="AK48" s="466">
        <f t="shared" ref="AK48" si="38">SUM(AK31,AK46)</f>
        <v>0</v>
      </c>
      <c r="AL48" s="466"/>
      <c r="AM48" s="466"/>
      <c r="AN48" s="246"/>
      <c r="AO48" s="22"/>
      <c r="AP48" s="22"/>
      <c r="AQ48" s="22"/>
      <c r="AR48" s="22"/>
      <c r="AS48" s="22"/>
      <c r="AT48" s="22"/>
      <c r="AU48" s="22"/>
      <c r="AV48" s="22"/>
      <c r="AW48" s="22"/>
      <c r="AX48" s="22"/>
      <c r="AY48" s="22"/>
    </row>
    <row r="49" spans="1:51" s="247" customFormat="1" ht="27" customHeight="1" x14ac:dyDescent="0.75">
      <c r="A49" s="251"/>
      <c r="B49" s="251"/>
      <c r="C49" s="251"/>
      <c r="D49" s="251"/>
      <c r="E49" s="251"/>
      <c r="F49" s="251"/>
      <c r="G49" s="251"/>
      <c r="H49" s="251"/>
      <c r="I49" s="251"/>
      <c r="J49" s="252"/>
      <c r="K49" s="252"/>
      <c r="L49" s="252"/>
      <c r="M49" s="252"/>
      <c r="N49" s="252"/>
      <c r="O49" s="252"/>
      <c r="P49" s="252"/>
      <c r="Q49" s="252"/>
      <c r="R49" s="252"/>
      <c r="S49" s="252"/>
      <c r="T49" s="252"/>
      <c r="U49" s="252"/>
      <c r="V49" s="252"/>
      <c r="W49" s="252"/>
      <c r="X49" s="252"/>
      <c r="Y49" s="252"/>
      <c r="Z49" s="252"/>
      <c r="AA49" s="252"/>
      <c r="AB49" s="252"/>
      <c r="AC49" s="252"/>
      <c r="AD49" s="252"/>
      <c r="AE49" s="252"/>
      <c r="AF49" s="252"/>
      <c r="AG49" s="252"/>
      <c r="AH49" s="252"/>
      <c r="AI49" s="252"/>
      <c r="AJ49" s="252"/>
      <c r="AK49" s="252"/>
      <c r="AL49" s="252"/>
      <c r="AM49" s="252"/>
      <c r="AN49" s="246"/>
      <c r="AO49" s="22"/>
      <c r="AP49" s="22"/>
      <c r="AQ49" s="22"/>
      <c r="AR49" s="22"/>
      <c r="AS49" s="22"/>
      <c r="AT49" s="22"/>
      <c r="AU49" s="22"/>
      <c r="AV49" s="22"/>
      <c r="AW49" s="22"/>
      <c r="AX49" s="22"/>
      <c r="AY49" s="22"/>
    </row>
    <row r="50" spans="1:51" s="247" customFormat="1" ht="27" customHeight="1" x14ac:dyDescent="0.55000000000000004">
      <c r="A50" s="442" t="s">
        <v>111</v>
      </c>
      <c r="B50" s="443"/>
      <c r="C50" s="443"/>
      <c r="D50" s="443"/>
      <c r="E50" s="443"/>
      <c r="F50" s="443"/>
      <c r="G50" s="443"/>
      <c r="H50" s="443"/>
      <c r="I50" s="443"/>
      <c r="J50" s="443"/>
      <c r="K50" s="443"/>
      <c r="L50" s="443"/>
      <c r="M50" s="443"/>
      <c r="N50" s="443"/>
      <c r="O50" s="443"/>
      <c r="P50" s="443"/>
      <c r="Q50" s="443"/>
      <c r="R50" s="443"/>
      <c r="S50" s="443"/>
      <c r="T50" s="443"/>
      <c r="U50" s="443"/>
      <c r="V50" s="443"/>
      <c r="W50" s="443"/>
      <c r="X50" s="443"/>
      <c r="Y50" s="443"/>
      <c r="Z50" s="443"/>
      <c r="AA50" s="443"/>
      <c r="AB50" s="443"/>
      <c r="AC50" s="443"/>
      <c r="AD50" s="443"/>
      <c r="AE50" s="443"/>
      <c r="AF50" s="443"/>
      <c r="AG50" s="443"/>
      <c r="AH50" s="443"/>
      <c r="AI50" s="443"/>
      <c r="AJ50" s="443"/>
      <c r="AK50" s="443"/>
      <c r="AL50" s="443"/>
      <c r="AM50" s="444"/>
      <c r="AN50" s="246"/>
      <c r="AO50" s="22"/>
      <c r="AP50" s="22"/>
      <c r="AQ50" s="22"/>
      <c r="AR50" s="22"/>
      <c r="AS50" s="22"/>
      <c r="AT50" s="22"/>
      <c r="AU50" s="22"/>
      <c r="AV50" s="22"/>
      <c r="AW50" s="22"/>
      <c r="AX50" s="22"/>
      <c r="AY50" s="22"/>
    </row>
    <row r="51" spans="1:51" s="247" customFormat="1" ht="27" customHeight="1" x14ac:dyDescent="0.55000000000000004">
      <c r="A51" s="462" t="s">
        <v>1645</v>
      </c>
      <c r="B51" s="463"/>
      <c r="C51" s="463"/>
      <c r="D51" s="463"/>
      <c r="E51" s="463"/>
      <c r="F51" s="463"/>
      <c r="G51" s="463"/>
      <c r="H51" s="463"/>
      <c r="I51" s="464"/>
      <c r="J51" s="465">
        <f>SUMIFS(Input[Fed G&amp;C E&amp;G],Input[Institution Name],$A$1)</f>
        <v>0</v>
      </c>
      <c r="K51" s="465"/>
      <c r="L51" s="465"/>
      <c r="M51" s="465">
        <f>SUMIFS(Input[Fed G&amp;C Desg],Input[Institution Name],$A$1)</f>
        <v>0</v>
      </c>
      <c r="N51" s="465"/>
      <c r="O51" s="465"/>
      <c r="P51" s="465">
        <f>SUMIFS(Input[Fed G&amp;C Aux],Input[Institution Name],$A$1)</f>
        <v>0</v>
      </c>
      <c r="Q51" s="465"/>
      <c r="R51" s="465"/>
      <c r="S51" s="465">
        <f>SUMIFS(Input[Fed G&amp;C R Exp],Input[Institution Name],$A$1)</f>
        <v>0</v>
      </c>
      <c r="T51" s="465"/>
      <c r="U51" s="465"/>
      <c r="V51" s="465">
        <f>SUMIFS(Input[Fed G&amp;C Loan],Input[Institution Name],$A$1)</f>
        <v>0</v>
      </c>
      <c r="W51" s="465"/>
      <c r="X51" s="465"/>
      <c r="Y51" s="465">
        <f>SUMIFS(Input[Fed G&amp;C Annuity],Input[Institution Name],$A$1)</f>
        <v>0</v>
      </c>
      <c r="Z51" s="465"/>
      <c r="AA51" s="465"/>
      <c r="AB51" s="465">
        <f>SUMIFS(Input[Fed G&amp;C Unexp],Input[Institution Name],$A$1)</f>
        <v>0</v>
      </c>
      <c r="AC51" s="465"/>
      <c r="AD51" s="465"/>
      <c r="AE51" s="465">
        <f>SUMIFS(Input[Fed G&amp;C R of Ind],Input[Institution Name],$A$1)</f>
        <v>0</v>
      </c>
      <c r="AF51" s="465"/>
      <c r="AG51" s="465"/>
      <c r="AH51" s="465">
        <f>SUMIFS(Input[Fed G&amp;C Inv in P],Input[Institution Name],$A$1)</f>
        <v>0</v>
      </c>
      <c r="AI51" s="465"/>
      <c r="AJ51" s="465"/>
      <c r="AK51" s="466">
        <f>SUM(J51:AH51)</f>
        <v>0</v>
      </c>
      <c r="AL51" s="466"/>
      <c r="AM51" s="466"/>
      <c r="AN51" s="246"/>
      <c r="AO51" s="22"/>
      <c r="AP51" s="22"/>
      <c r="AQ51" s="22"/>
      <c r="AR51" s="22"/>
      <c r="AS51" s="22"/>
      <c r="AT51" s="22"/>
      <c r="AU51" s="22"/>
      <c r="AV51" s="22"/>
      <c r="AW51" s="22"/>
      <c r="AX51" s="22"/>
      <c r="AY51" s="22"/>
    </row>
    <row r="52" spans="1:51" s="247" customFormat="1" ht="27" customHeight="1" x14ac:dyDescent="0.75">
      <c r="A52" s="251"/>
      <c r="B52" s="251"/>
      <c r="C52" s="251"/>
      <c r="D52" s="251"/>
      <c r="E52" s="251"/>
      <c r="F52" s="251"/>
      <c r="G52" s="251"/>
      <c r="H52" s="251"/>
      <c r="I52" s="251"/>
      <c r="J52" s="252"/>
      <c r="K52" s="252"/>
      <c r="L52" s="252"/>
      <c r="M52" s="252"/>
      <c r="N52" s="252"/>
      <c r="O52" s="252"/>
      <c r="P52" s="252"/>
      <c r="Q52" s="252"/>
      <c r="R52" s="252"/>
      <c r="S52" s="252"/>
      <c r="T52" s="252"/>
      <c r="U52" s="252"/>
      <c r="V52" s="252"/>
      <c r="W52" s="252"/>
      <c r="X52" s="252"/>
      <c r="Y52" s="252"/>
      <c r="Z52" s="252"/>
      <c r="AA52" s="252"/>
      <c r="AB52" s="252"/>
      <c r="AC52" s="252"/>
      <c r="AD52" s="252"/>
      <c r="AE52" s="252"/>
      <c r="AF52" s="252"/>
      <c r="AG52" s="252"/>
      <c r="AH52" s="252"/>
      <c r="AI52" s="252"/>
      <c r="AJ52" s="252"/>
      <c r="AK52" s="252"/>
      <c r="AL52" s="252"/>
      <c r="AM52" s="252"/>
      <c r="AN52" s="246"/>
      <c r="AO52" s="22"/>
      <c r="AP52" s="22"/>
      <c r="AQ52" s="22"/>
      <c r="AR52" s="22"/>
      <c r="AS52" s="22"/>
      <c r="AT52" s="22"/>
      <c r="AU52" s="22"/>
      <c r="AV52" s="22"/>
      <c r="AW52" s="22"/>
      <c r="AX52" s="22"/>
      <c r="AY52" s="22"/>
    </row>
    <row r="53" spans="1:51" s="247" customFormat="1" ht="27" customHeight="1" x14ac:dyDescent="0.55000000000000004">
      <c r="A53" s="442" t="s">
        <v>112</v>
      </c>
      <c r="B53" s="443"/>
      <c r="C53" s="443"/>
      <c r="D53" s="443"/>
      <c r="E53" s="443"/>
      <c r="F53" s="443"/>
      <c r="G53" s="443"/>
      <c r="H53" s="443"/>
      <c r="I53" s="443"/>
      <c r="J53" s="443"/>
      <c r="K53" s="443"/>
      <c r="L53" s="443"/>
      <c r="M53" s="443"/>
      <c r="N53" s="443"/>
      <c r="O53" s="443"/>
      <c r="P53" s="443"/>
      <c r="Q53" s="443"/>
      <c r="R53" s="443"/>
      <c r="S53" s="443"/>
      <c r="T53" s="443"/>
      <c r="U53" s="443"/>
      <c r="V53" s="443"/>
      <c r="W53" s="443"/>
      <c r="X53" s="443"/>
      <c r="Y53" s="443"/>
      <c r="Z53" s="443"/>
      <c r="AA53" s="443"/>
      <c r="AB53" s="443"/>
      <c r="AC53" s="443"/>
      <c r="AD53" s="443"/>
      <c r="AE53" s="443"/>
      <c r="AF53" s="443"/>
      <c r="AG53" s="443"/>
      <c r="AH53" s="443"/>
      <c r="AI53" s="443"/>
      <c r="AJ53" s="443"/>
      <c r="AK53" s="443"/>
      <c r="AL53" s="443"/>
      <c r="AM53" s="444"/>
      <c r="AN53" s="246"/>
      <c r="AO53" s="22"/>
      <c r="AP53" s="22"/>
      <c r="AQ53" s="22"/>
      <c r="AR53" s="22"/>
      <c r="AS53" s="22"/>
      <c r="AT53" s="22"/>
      <c r="AU53" s="22"/>
      <c r="AV53" s="22"/>
      <c r="AW53" s="22"/>
      <c r="AX53" s="22"/>
      <c r="AY53" s="22"/>
    </row>
    <row r="54" spans="1:51" s="247" customFormat="1" ht="27" customHeight="1" x14ac:dyDescent="0.55000000000000004">
      <c r="A54" s="462" t="s">
        <v>836</v>
      </c>
      <c r="B54" s="463"/>
      <c r="C54" s="463"/>
      <c r="D54" s="463"/>
      <c r="E54" s="463"/>
      <c r="F54" s="463"/>
      <c r="G54" s="463"/>
      <c r="H54" s="463"/>
      <c r="I54" s="464"/>
      <c r="J54" s="467">
        <f>SUMIFS(Input[Prof Fees E&amp;G],Input[Institution Name],$A$1)</f>
        <v>0</v>
      </c>
      <c r="K54" s="467"/>
      <c r="L54" s="467"/>
      <c r="M54" s="465">
        <f>SUMIFS(Input[Prof Fees Desg],Input[Institution Name],$A$1)</f>
        <v>0</v>
      </c>
      <c r="N54" s="465"/>
      <c r="O54" s="465"/>
      <c r="P54" s="465">
        <f>SUMIFS(Input[Prof Fees Aux],Input[Institution Name],$A$1)</f>
        <v>0</v>
      </c>
      <c r="Q54" s="465"/>
      <c r="R54" s="465"/>
      <c r="S54" s="465">
        <f>SUMIFS(Input[Prof Fees R Exp],Input[Institution Name],$A$1)</f>
        <v>0</v>
      </c>
      <c r="T54" s="465"/>
      <c r="U54" s="465"/>
      <c r="V54" s="465">
        <f>SUMIFS(Input[Prof Fees Loan],Input[Institution Name],$A$1)</f>
        <v>0</v>
      </c>
      <c r="W54" s="465"/>
      <c r="X54" s="465"/>
      <c r="Y54" s="465">
        <f>SUMIFS(Input[Prof Fees Annuity],Input[Institution Name],$A$1)</f>
        <v>0</v>
      </c>
      <c r="Z54" s="465"/>
      <c r="AA54" s="465"/>
      <c r="AB54" s="465">
        <f>SUMIFS(Input[Prof Fees Unexp],Input[Institution Name],$A$1)</f>
        <v>0</v>
      </c>
      <c r="AC54" s="465"/>
      <c r="AD54" s="465"/>
      <c r="AE54" s="465">
        <f>SUMIFS(Input[Prof Fees R of Ind],Input[Institution Name],$A$1)</f>
        <v>0</v>
      </c>
      <c r="AF54" s="465"/>
      <c r="AG54" s="465"/>
      <c r="AH54" s="465">
        <f>SUMIFS(Input[Prof Fees Inv in P],Input[Institution Name],$A$1)</f>
        <v>0</v>
      </c>
      <c r="AI54" s="465"/>
      <c r="AJ54" s="465"/>
      <c r="AK54" s="466">
        <f>SUM(J54:AH54)</f>
        <v>0</v>
      </c>
      <c r="AL54" s="466"/>
      <c r="AM54" s="466"/>
      <c r="AN54" s="246"/>
      <c r="AO54" s="22"/>
      <c r="AP54" s="22"/>
      <c r="AQ54" s="22"/>
      <c r="AR54" s="22"/>
      <c r="AS54" s="22"/>
      <c r="AT54" s="22"/>
      <c r="AU54" s="22"/>
      <c r="AV54" s="22"/>
      <c r="AW54" s="22"/>
      <c r="AX54" s="22"/>
      <c r="AY54" s="22"/>
    </row>
    <row r="55" spans="1:51" s="247" customFormat="1" ht="27" customHeight="1" x14ac:dyDescent="0.75">
      <c r="A55" s="251"/>
      <c r="B55" s="251"/>
      <c r="C55" s="251"/>
      <c r="D55" s="251"/>
      <c r="E55" s="251"/>
      <c r="F55" s="251"/>
      <c r="G55" s="251"/>
      <c r="H55" s="251"/>
      <c r="I55" s="251"/>
      <c r="J55" s="252"/>
      <c r="K55" s="252"/>
      <c r="L55" s="252"/>
      <c r="M55" s="252"/>
      <c r="N55" s="252"/>
      <c r="O55" s="252"/>
      <c r="P55" s="252"/>
      <c r="Q55" s="252"/>
      <c r="R55" s="252"/>
      <c r="S55" s="252"/>
      <c r="T55" s="252"/>
      <c r="U55" s="252"/>
      <c r="V55" s="252"/>
      <c r="W55" s="252"/>
      <c r="X55" s="252"/>
      <c r="Y55" s="252"/>
      <c r="Z55" s="252"/>
      <c r="AA55" s="252"/>
      <c r="AB55" s="252"/>
      <c r="AC55" s="252"/>
      <c r="AD55" s="252"/>
      <c r="AE55" s="252"/>
      <c r="AF55" s="252"/>
      <c r="AG55" s="252"/>
      <c r="AH55" s="252"/>
      <c r="AI55" s="252"/>
      <c r="AJ55" s="252"/>
      <c r="AK55" s="252"/>
      <c r="AL55" s="252"/>
      <c r="AM55" s="252"/>
      <c r="AN55" s="246"/>
      <c r="AO55" s="22"/>
      <c r="AP55" s="22"/>
      <c r="AQ55" s="22"/>
      <c r="AR55" s="22"/>
      <c r="AS55" s="22"/>
      <c r="AT55" s="22"/>
      <c r="AU55" s="22"/>
      <c r="AV55" s="22"/>
      <c r="AW55" s="22"/>
      <c r="AX55" s="22"/>
      <c r="AY55" s="22"/>
    </row>
    <row r="56" spans="1:51" s="247" customFormat="1" ht="27" customHeight="1" x14ac:dyDescent="0.55000000000000004">
      <c r="A56" s="442" t="s">
        <v>113</v>
      </c>
      <c r="B56" s="443"/>
      <c r="C56" s="443"/>
      <c r="D56" s="443"/>
      <c r="E56" s="443"/>
      <c r="F56" s="443"/>
      <c r="G56" s="443"/>
      <c r="H56" s="443"/>
      <c r="I56" s="443"/>
      <c r="J56" s="443"/>
      <c r="K56" s="443"/>
      <c r="L56" s="443"/>
      <c r="M56" s="443"/>
      <c r="N56" s="443"/>
      <c r="O56" s="443"/>
      <c r="P56" s="443"/>
      <c r="Q56" s="443"/>
      <c r="R56" s="443"/>
      <c r="S56" s="443"/>
      <c r="T56" s="443"/>
      <c r="U56" s="443"/>
      <c r="V56" s="443"/>
      <c r="W56" s="443"/>
      <c r="X56" s="443"/>
      <c r="Y56" s="443"/>
      <c r="Z56" s="443"/>
      <c r="AA56" s="443"/>
      <c r="AB56" s="443"/>
      <c r="AC56" s="443"/>
      <c r="AD56" s="443"/>
      <c r="AE56" s="443"/>
      <c r="AF56" s="443"/>
      <c r="AG56" s="443"/>
      <c r="AH56" s="443"/>
      <c r="AI56" s="443"/>
      <c r="AJ56" s="443"/>
      <c r="AK56" s="443"/>
      <c r="AL56" s="443"/>
      <c r="AM56" s="444"/>
      <c r="AN56" s="246"/>
      <c r="AO56" s="22"/>
      <c r="AP56" s="22"/>
      <c r="AQ56" s="22"/>
      <c r="AR56" s="22"/>
      <c r="AS56" s="22"/>
      <c r="AT56" s="22"/>
      <c r="AU56" s="22"/>
      <c r="AV56" s="22"/>
      <c r="AW56" s="22"/>
      <c r="AX56" s="22"/>
      <c r="AY56" s="22"/>
    </row>
    <row r="57" spans="1:51" s="247" customFormat="1" ht="27" customHeight="1" x14ac:dyDescent="0.55000000000000004">
      <c r="A57" s="462" t="s">
        <v>836</v>
      </c>
      <c r="B57" s="463"/>
      <c r="C57" s="463"/>
      <c r="D57" s="463"/>
      <c r="E57" s="463"/>
      <c r="F57" s="463"/>
      <c r="G57" s="463"/>
      <c r="H57" s="463"/>
      <c r="I57" s="464"/>
      <c r="J57" s="465">
        <f>SUMIFS(Input[H&amp;C (OS) E&amp;G],Input[Institution Name],$A$1)</f>
        <v>0</v>
      </c>
      <c r="K57" s="465"/>
      <c r="L57" s="465"/>
      <c r="M57" s="465">
        <f>SUMIFS(Input[H&amp;C (OS) Desg],Input[Institution Name],$A$1)</f>
        <v>0</v>
      </c>
      <c r="N57" s="465"/>
      <c r="O57" s="465"/>
      <c r="P57" s="465">
        <f>SUMIFS(Input[H&amp;C (OS) Aux],Input[Institution Name],$A$1)</f>
        <v>0</v>
      </c>
      <c r="Q57" s="465"/>
      <c r="R57" s="465"/>
      <c r="S57" s="465">
        <f>SUMIFS(Input[H&amp;C (OS) R Exp],Input[Institution Name],$A$1)</f>
        <v>0</v>
      </c>
      <c r="T57" s="465"/>
      <c r="U57" s="465"/>
      <c r="V57" s="465">
        <f>SUMIFS(Input[H&amp;C (OS) Loan],Input[Institution Name],$A$1)</f>
        <v>0</v>
      </c>
      <c r="W57" s="465"/>
      <c r="X57" s="465"/>
      <c r="Y57" s="465">
        <f>SUMIFS(Input[H&amp;C (OS) Annuity],Input[Institution Name],$A$1)</f>
        <v>0</v>
      </c>
      <c r="Z57" s="465"/>
      <c r="AA57" s="465"/>
      <c r="AB57" s="465">
        <f>SUMIFS(Input[H&amp;C (OS) Unexp],Input[Institution Name],$A$1)</f>
        <v>0</v>
      </c>
      <c r="AC57" s="465"/>
      <c r="AD57" s="465"/>
      <c r="AE57" s="465">
        <f>SUMIFS(Input[H&amp;C (OS) R of Ind],Input[Institution Name],$A$1)</f>
        <v>0</v>
      </c>
      <c r="AF57" s="465"/>
      <c r="AG57" s="465"/>
      <c r="AH57" s="465">
        <f>SUMIFS(Input[H&amp;C (OS) Inv in P],Input[Institution Name],$A$1)</f>
        <v>0</v>
      </c>
      <c r="AI57" s="465"/>
      <c r="AJ57" s="465"/>
      <c r="AK57" s="466">
        <f>SUM(J57:AH57)</f>
        <v>0</v>
      </c>
      <c r="AL57" s="466"/>
      <c r="AM57" s="466"/>
      <c r="AN57" s="246"/>
      <c r="AO57" s="22"/>
      <c r="AP57" s="22"/>
      <c r="AQ57" s="22"/>
      <c r="AR57" s="22"/>
      <c r="AS57" s="22"/>
      <c r="AT57" s="22"/>
      <c r="AU57" s="22"/>
      <c r="AV57" s="22"/>
      <c r="AW57" s="22"/>
      <c r="AX57" s="22"/>
      <c r="AY57" s="22"/>
    </row>
    <row r="58" spans="1:51" s="247" customFormat="1" ht="27" customHeight="1" x14ac:dyDescent="0.75">
      <c r="A58" s="253"/>
      <c r="B58" s="253"/>
      <c r="C58" s="253"/>
      <c r="D58" s="253"/>
      <c r="E58" s="253"/>
      <c r="F58" s="253"/>
      <c r="G58" s="253"/>
      <c r="H58" s="253"/>
      <c r="I58" s="253"/>
      <c r="J58" s="252"/>
      <c r="K58" s="252"/>
      <c r="L58" s="252"/>
      <c r="M58" s="252"/>
      <c r="N58" s="252"/>
      <c r="O58" s="252"/>
      <c r="P58" s="252"/>
      <c r="Q58" s="252"/>
      <c r="R58" s="252"/>
      <c r="S58" s="252"/>
      <c r="T58" s="252"/>
      <c r="U58" s="252"/>
      <c r="V58" s="252"/>
      <c r="W58" s="252"/>
      <c r="X58" s="252"/>
      <c r="Y58" s="252"/>
      <c r="Z58" s="252"/>
      <c r="AA58" s="252"/>
      <c r="AB58" s="252"/>
      <c r="AC58" s="252"/>
      <c r="AD58" s="252"/>
      <c r="AE58" s="252"/>
      <c r="AF58" s="252"/>
      <c r="AG58" s="252"/>
      <c r="AH58" s="252"/>
      <c r="AI58" s="252"/>
      <c r="AJ58" s="252"/>
      <c r="AK58" s="252"/>
      <c r="AL58" s="252"/>
      <c r="AM58" s="252"/>
      <c r="AN58" s="246"/>
      <c r="AO58" s="22"/>
      <c r="AP58" s="22"/>
      <c r="AQ58" s="22"/>
      <c r="AR58" s="22"/>
      <c r="AS58" s="22"/>
      <c r="AT58" s="22"/>
      <c r="AU58" s="22"/>
      <c r="AV58" s="22"/>
      <c r="AW58" s="22"/>
      <c r="AX58" s="22"/>
      <c r="AY58" s="22"/>
    </row>
    <row r="59" spans="1:51" s="247" customFormat="1" ht="27" customHeight="1" x14ac:dyDescent="0.55000000000000004">
      <c r="A59" s="442" t="s">
        <v>114</v>
      </c>
      <c r="B59" s="443"/>
      <c r="C59" s="443"/>
      <c r="D59" s="443"/>
      <c r="E59" s="443"/>
      <c r="F59" s="443"/>
      <c r="G59" s="443"/>
      <c r="H59" s="443"/>
      <c r="I59" s="443"/>
      <c r="J59" s="443"/>
      <c r="K59" s="443"/>
      <c r="L59" s="443"/>
      <c r="M59" s="443"/>
      <c r="N59" s="443"/>
      <c r="O59" s="443"/>
      <c r="P59" s="443"/>
      <c r="Q59" s="443"/>
      <c r="R59" s="443"/>
      <c r="S59" s="443"/>
      <c r="T59" s="443"/>
      <c r="U59" s="443"/>
      <c r="V59" s="443"/>
      <c r="W59" s="443"/>
      <c r="X59" s="443"/>
      <c r="Y59" s="443"/>
      <c r="Z59" s="443"/>
      <c r="AA59" s="443"/>
      <c r="AB59" s="443"/>
      <c r="AC59" s="443"/>
      <c r="AD59" s="443"/>
      <c r="AE59" s="443"/>
      <c r="AF59" s="443"/>
      <c r="AG59" s="443"/>
      <c r="AH59" s="443"/>
      <c r="AI59" s="443"/>
      <c r="AJ59" s="443"/>
      <c r="AK59" s="443"/>
      <c r="AL59" s="443"/>
      <c r="AM59" s="444"/>
      <c r="AN59" s="246"/>
      <c r="AO59" s="22"/>
      <c r="AP59" s="22"/>
      <c r="AQ59" s="22"/>
      <c r="AR59" s="22"/>
      <c r="AS59" s="22"/>
      <c r="AT59" s="22"/>
      <c r="AU59" s="22"/>
      <c r="AV59" s="22"/>
      <c r="AW59" s="22"/>
      <c r="AX59" s="22"/>
      <c r="AY59" s="22"/>
    </row>
    <row r="60" spans="1:51" s="247" customFormat="1" ht="27" customHeight="1" x14ac:dyDescent="0.55000000000000004">
      <c r="A60" s="436" t="s">
        <v>151</v>
      </c>
      <c r="B60" s="437"/>
      <c r="C60" s="437"/>
      <c r="D60" s="437"/>
      <c r="E60" s="437"/>
      <c r="F60" s="437"/>
      <c r="G60" s="437"/>
      <c r="H60" s="437"/>
      <c r="I60" s="438"/>
      <c r="J60" s="439">
        <f>SUMIFS(Input[End &amp; Int Inc E&amp;G],Input[Institution Name],$A$1)</f>
        <v>0</v>
      </c>
      <c r="K60" s="439"/>
      <c r="L60" s="439"/>
      <c r="M60" s="439">
        <f>SUMIFS(Input[End &amp; Int Inc Desg],Input[Institution Name],$A$1)</f>
        <v>0</v>
      </c>
      <c r="N60" s="439"/>
      <c r="O60" s="439"/>
      <c r="P60" s="439">
        <f>SUMIFS(Input[End &amp; Int Inc Aux],Input[Institution Name],$A$1)</f>
        <v>0</v>
      </c>
      <c r="Q60" s="439"/>
      <c r="R60" s="439"/>
      <c r="S60" s="439">
        <f>SUMIFS(Input[End &amp; Int Inc R Exp],Input[Institution Name],$A$1)</f>
        <v>0</v>
      </c>
      <c r="T60" s="439"/>
      <c r="U60" s="439"/>
      <c r="V60" s="439">
        <f>SUMIFS(Input[End &amp; Int Inc Loan],Input[Institution Name],$A$1)</f>
        <v>0</v>
      </c>
      <c r="W60" s="439"/>
      <c r="X60" s="439"/>
      <c r="Y60" s="439">
        <f>SUMIFS(Input[End &amp; Int Inc Annuity],Input[Institution Name],$A$1)</f>
        <v>0</v>
      </c>
      <c r="Z60" s="439"/>
      <c r="AA60" s="439"/>
      <c r="AB60" s="439">
        <f>SUMIFS(Input[End &amp; Int Inc Unexp],Input[Institution Name],$A$1)</f>
        <v>0</v>
      </c>
      <c r="AC60" s="439"/>
      <c r="AD60" s="439"/>
      <c r="AE60" s="439">
        <f>SUMIFS(Input[End &amp; Int Inc R of Ind],Input[Institution Name],$A$1)</f>
        <v>0</v>
      </c>
      <c r="AF60" s="439"/>
      <c r="AG60" s="439"/>
      <c r="AH60" s="439">
        <f>SUMIFS(Input[End &amp; Int Inc Inv in P],Input[Institution Name],$A$1)</f>
        <v>0</v>
      </c>
      <c r="AI60" s="439"/>
      <c r="AJ60" s="439"/>
      <c r="AK60" s="440">
        <f t="shared" ref="AK60:AK65" si="39">SUM(J60:AH60)</f>
        <v>0</v>
      </c>
      <c r="AL60" s="440"/>
      <c r="AM60" s="440"/>
      <c r="AN60" s="246"/>
      <c r="AO60" s="22"/>
      <c r="AP60" s="22"/>
      <c r="AQ60" s="22"/>
      <c r="AR60" s="22"/>
      <c r="AS60" s="22"/>
      <c r="AT60" s="22"/>
      <c r="AU60" s="22"/>
      <c r="AV60" s="22"/>
      <c r="AW60" s="22"/>
      <c r="AX60" s="22"/>
      <c r="AY60" s="22"/>
    </row>
    <row r="61" spans="1:51" s="247" customFormat="1" ht="27" customHeight="1" x14ac:dyDescent="0.55000000000000004">
      <c r="A61" s="445" t="s">
        <v>146</v>
      </c>
      <c r="B61" s="446"/>
      <c r="C61" s="446"/>
      <c r="D61" s="446"/>
      <c r="E61" s="446"/>
      <c r="F61" s="446"/>
      <c r="G61" s="446"/>
      <c r="H61" s="446"/>
      <c r="I61" s="447"/>
      <c r="J61" s="448">
        <f>SUMIFS(Input[Loc Gov G E&amp;G],Input[Institution Name],$A$1)</f>
        <v>0</v>
      </c>
      <c r="K61" s="448"/>
      <c r="L61" s="448"/>
      <c r="M61" s="448">
        <f>SUMIFS(Input[Loc Gov G Desg],Input[Institution Name],$A$1)</f>
        <v>0</v>
      </c>
      <c r="N61" s="448"/>
      <c r="O61" s="448"/>
      <c r="P61" s="448">
        <f>SUMIFS(Input[Loc Gov G Aux],Input[Institution Name],$A$1)</f>
        <v>0</v>
      </c>
      <c r="Q61" s="448"/>
      <c r="R61" s="448"/>
      <c r="S61" s="448">
        <f>SUMIFS(Input[Loc Gov G R Exp],Input[Institution Name],$A$1)</f>
        <v>0</v>
      </c>
      <c r="T61" s="448"/>
      <c r="U61" s="448"/>
      <c r="V61" s="448">
        <f>SUMIFS(Input[Loc Gov G Loan],Input[Institution Name],$A$1)</f>
        <v>0</v>
      </c>
      <c r="W61" s="448"/>
      <c r="X61" s="448"/>
      <c r="Y61" s="448">
        <f>SUMIFS(Input[Loc Gov G Annuity],Input[Institution Name],$A$1)</f>
        <v>0</v>
      </c>
      <c r="Z61" s="448"/>
      <c r="AA61" s="448"/>
      <c r="AB61" s="448">
        <f>SUMIFS(Input[Loc Gov G Unexp],Input[Institution Name],$A$1)</f>
        <v>0</v>
      </c>
      <c r="AC61" s="448"/>
      <c r="AD61" s="448"/>
      <c r="AE61" s="448">
        <f>SUMIFS(Input[Loc Gov G R of Ind],Input[Institution Name],$A$1)</f>
        <v>0</v>
      </c>
      <c r="AF61" s="448"/>
      <c r="AG61" s="448"/>
      <c r="AH61" s="448">
        <f>SUMIFS(Input[Loc Gov G Inv in P],Input[Institution Name],$A$1)</f>
        <v>0</v>
      </c>
      <c r="AI61" s="448"/>
      <c r="AJ61" s="448"/>
      <c r="AK61" s="441">
        <f>SUM(J61:AH61)</f>
        <v>0</v>
      </c>
      <c r="AL61" s="441"/>
      <c r="AM61" s="441"/>
      <c r="AN61" s="246"/>
      <c r="AO61" s="22"/>
      <c r="AP61" s="22"/>
      <c r="AQ61" s="22"/>
      <c r="AR61" s="22"/>
      <c r="AS61" s="22"/>
      <c r="AT61" s="22"/>
      <c r="AU61" s="22"/>
      <c r="AV61" s="22"/>
      <c r="AW61" s="22"/>
      <c r="AX61" s="22"/>
      <c r="AY61" s="22"/>
    </row>
    <row r="62" spans="1:51" s="247" customFormat="1" ht="27" customHeight="1" x14ac:dyDescent="0.55000000000000004">
      <c r="A62" s="433" t="s">
        <v>851</v>
      </c>
      <c r="B62" s="434"/>
      <c r="C62" s="434"/>
      <c r="D62" s="434"/>
      <c r="E62" s="434"/>
      <c r="F62" s="434"/>
      <c r="G62" s="434"/>
      <c r="H62" s="434"/>
      <c r="I62" s="435"/>
      <c r="J62" s="431">
        <f>SUMIFS(Input[Pvt G&amp;G E&amp;G],Input[Institution Name],$A$1)</f>
        <v>0</v>
      </c>
      <c r="K62" s="431"/>
      <c r="L62" s="431"/>
      <c r="M62" s="431">
        <f>SUMIFS(Input[Pvt G&amp;G Desg],Input[Institution Name],$A$1)</f>
        <v>0</v>
      </c>
      <c r="N62" s="431"/>
      <c r="O62" s="431"/>
      <c r="P62" s="431">
        <f>SUMIFS(Input[Pvt G&amp;G Aux],Input[Institution Name],$A$1)</f>
        <v>0</v>
      </c>
      <c r="Q62" s="431"/>
      <c r="R62" s="431"/>
      <c r="S62" s="431">
        <f>SUMIFS(Input[Pvt G&amp;G R Exp],Input[Institution Name],$A$1)</f>
        <v>0</v>
      </c>
      <c r="T62" s="431"/>
      <c r="U62" s="431"/>
      <c r="V62" s="431">
        <f>SUMIFS(Input[Pvt G&amp;G Loan],Input[Institution Name],$A$1)</f>
        <v>0</v>
      </c>
      <c r="W62" s="431"/>
      <c r="X62" s="431"/>
      <c r="Y62" s="431">
        <f>SUMIFS(Input[Pvt G&amp;G Annuity],Input[Institution Name],$A$1)</f>
        <v>0</v>
      </c>
      <c r="Z62" s="431"/>
      <c r="AA62" s="431"/>
      <c r="AB62" s="431">
        <f>SUMIFS(Input[Pvt G&amp;G Unexp],Input[Institution Name],$A$1)</f>
        <v>0</v>
      </c>
      <c r="AC62" s="431"/>
      <c r="AD62" s="431"/>
      <c r="AE62" s="431">
        <f>SUMIFS(Input[Pvt G&amp;G R of Ind],Input[Institution Name],$A$1)</f>
        <v>0</v>
      </c>
      <c r="AF62" s="431"/>
      <c r="AG62" s="431"/>
      <c r="AH62" s="431">
        <f>SUMIFS(Input[Pvt G&amp;G Inv in P],Input[Institution Name],$A$1)</f>
        <v>0</v>
      </c>
      <c r="AI62" s="431"/>
      <c r="AJ62" s="431"/>
      <c r="AK62" s="432">
        <f>SUM(J62:AH62)</f>
        <v>0</v>
      </c>
      <c r="AL62" s="432"/>
      <c r="AM62" s="432"/>
      <c r="AN62" s="246"/>
      <c r="AO62" s="22"/>
      <c r="AP62" s="22"/>
      <c r="AQ62" s="22"/>
      <c r="AR62" s="22"/>
      <c r="AS62" s="22"/>
      <c r="AT62" s="22"/>
      <c r="AU62" s="22"/>
      <c r="AV62" s="22"/>
      <c r="AW62" s="22"/>
      <c r="AX62" s="22"/>
      <c r="AY62" s="22"/>
    </row>
    <row r="63" spans="1:51" s="247" customFormat="1" ht="27" customHeight="1" x14ac:dyDescent="0.55000000000000004">
      <c r="A63" s="433" t="s">
        <v>115</v>
      </c>
      <c r="B63" s="434"/>
      <c r="C63" s="434"/>
      <c r="D63" s="434"/>
      <c r="E63" s="434"/>
      <c r="F63" s="434"/>
      <c r="G63" s="434"/>
      <c r="H63" s="434"/>
      <c r="I63" s="435"/>
      <c r="J63" s="431">
        <f>SUMIFS(Input[S&amp;S E&amp;G],Input[Institution Name],$A$1)</f>
        <v>0</v>
      </c>
      <c r="K63" s="431"/>
      <c r="L63" s="431"/>
      <c r="M63" s="431">
        <f>SUMIFS(Input[S&amp;S Desg],Input[Institution Name],$A$1)</f>
        <v>0</v>
      </c>
      <c r="N63" s="431"/>
      <c r="O63" s="431"/>
      <c r="P63" s="431">
        <f>SUMIFS(Input[S&amp;S Aux],Input[Institution Name],$A$1)</f>
        <v>0</v>
      </c>
      <c r="Q63" s="431"/>
      <c r="R63" s="431"/>
      <c r="S63" s="431">
        <f>SUMIFS(Input[S&amp;S R Exp],Input[Institution Name],$A$1)</f>
        <v>0</v>
      </c>
      <c r="T63" s="431"/>
      <c r="U63" s="431"/>
      <c r="V63" s="431">
        <f>SUMIFS(Input[S&amp;S Loan],Input[Institution Name],$A$1)</f>
        <v>0</v>
      </c>
      <c r="W63" s="431"/>
      <c r="X63" s="431"/>
      <c r="Y63" s="431">
        <f>SUMIFS(Input[S&amp;S Annuity],Input[Institution Name],$A$1)</f>
        <v>0</v>
      </c>
      <c r="Z63" s="431"/>
      <c r="AA63" s="431"/>
      <c r="AB63" s="431">
        <f>SUMIFS(Input[S&amp;S Unexp],Input[Institution Name],$A$1)</f>
        <v>0</v>
      </c>
      <c r="AC63" s="431"/>
      <c r="AD63" s="431"/>
      <c r="AE63" s="431">
        <f>SUMIFS(Input[S&amp;S R of Ind],Input[Institution Name],$A$1)</f>
        <v>0</v>
      </c>
      <c r="AF63" s="431"/>
      <c r="AG63" s="431"/>
      <c r="AH63" s="431">
        <f>SUMIFS(Input[S&amp;S Inv in P],Input[Institution Name],$A$1)</f>
        <v>0</v>
      </c>
      <c r="AI63" s="431"/>
      <c r="AJ63" s="431"/>
      <c r="AK63" s="432">
        <f>SUM(J63:AH63)</f>
        <v>0</v>
      </c>
      <c r="AL63" s="432"/>
      <c r="AM63" s="432"/>
      <c r="AN63" s="246"/>
      <c r="AO63" s="22"/>
      <c r="AP63" s="22"/>
      <c r="AQ63" s="22"/>
      <c r="AR63" s="22"/>
      <c r="AS63" s="22"/>
      <c r="AT63" s="22"/>
      <c r="AU63" s="22"/>
      <c r="AV63" s="22"/>
      <c r="AW63" s="22"/>
      <c r="AX63" s="22"/>
      <c r="AY63" s="22"/>
    </row>
    <row r="64" spans="1:51" s="247" customFormat="1" ht="27" customHeight="1" x14ac:dyDescent="0.55000000000000004">
      <c r="A64" s="459" t="s">
        <v>116</v>
      </c>
      <c r="B64" s="460"/>
      <c r="C64" s="460"/>
      <c r="D64" s="460"/>
      <c r="E64" s="460"/>
      <c r="F64" s="460"/>
      <c r="G64" s="460"/>
      <c r="H64" s="460"/>
      <c r="I64" s="461"/>
      <c r="J64" s="431">
        <f>SUMIFS(Input[Net Aux Ent E&amp;G],Input[Institution Name],$A$1)</f>
        <v>0</v>
      </c>
      <c r="K64" s="431"/>
      <c r="L64" s="431"/>
      <c r="M64" s="431">
        <f>SUMIFS(Input[Net Aux Ent Desg],Input[Institution Name],$A$1)</f>
        <v>0</v>
      </c>
      <c r="N64" s="431"/>
      <c r="O64" s="431"/>
      <c r="P64" s="431">
        <f>SUMIFS(Input[Net Aux Ent Aux],Input[Institution Name],$A$1)</f>
        <v>0</v>
      </c>
      <c r="Q64" s="431"/>
      <c r="R64" s="431"/>
      <c r="S64" s="431">
        <f>SUMIFS(Input[Net Aux Ent R Exp],Input[Institution Name],$A$1)</f>
        <v>0</v>
      </c>
      <c r="T64" s="431"/>
      <c r="U64" s="431"/>
      <c r="V64" s="431">
        <f>SUMIFS(Input[Net Aux Ent Loan],Input[Institution Name],$A$1)</f>
        <v>0</v>
      </c>
      <c r="W64" s="431"/>
      <c r="X64" s="431"/>
      <c r="Y64" s="431">
        <f>SUMIFS(Input[Net Aux Ent Annuity],Input[Institution Name],$A$1)</f>
        <v>0</v>
      </c>
      <c r="Z64" s="431"/>
      <c r="AA64" s="431"/>
      <c r="AB64" s="431">
        <f>SUMIFS(Input[Net Aux Ent Unexp],Input[Institution Name],$A$1)</f>
        <v>0</v>
      </c>
      <c r="AC64" s="431"/>
      <c r="AD64" s="431"/>
      <c r="AE64" s="431">
        <f>SUMIFS(Input[Net Aux Ent R of Ind],Input[Institution Name],$A$1)</f>
        <v>0</v>
      </c>
      <c r="AF64" s="431"/>
      <c r="AG64" s="431"/>
      <c r="AH64" s="431">
        <f>SUMIFS(Input[Net Aux Ent Inv in P],Input[Institution Name],$A$1)</f>
        <v>0</v>
      </c>
      <c r="AI64" s="431"/>
      <c r="AJ64" s="431"/>
      <c r="AK64" s="432">
        <f t="shared" si="39"/>
        <v>0</v>
      </c>
      <c r="AL64" s="432"/>
      <c r="AM64" s="432"/>
      <c r="AN64" s="246"/>
      <c r="AO64" s="22"/>
      <c r="AP64" s="22"/>
      <c r="AQ64" s="22"/>
      <c r="AR64" s="22"/>
      <c r="AS64" s="22"/>
      <c r="AT64" s="22"/>
      <c r="AU64" s="22"/>
      <c r="AV64" s="22"/>
      <c r="AW64" s="22"/>
      <c r="AX64" s="22"/>
      <c r="AY64" s="22"/>
    </row>
    <row r="65" spans="1:51" s="247" customFormat="1" ht="27" customHeight="1" x14ac:dyDescent="0.55000000000000004">
      <c r="A65" s="459" t="s">
        <v>149</v>
      </c>
      <c r="B65" s="460"/>
      <c r="C65" s="460"/>
      <c r="D65" s="460"/>
      <c r="E65" s="460"/>
      <c r="F65" s="460"/>
      <c r="G65" s="460"/>
      <c r="H65" s="460"/>
      <c r="I65" s="461"/>
      <c r="J65" s="431">
        <f>SUMIFS(Input[Oth Inc E&amp;G],Input[Institution Name],$A$1)</f>
        <v>0</v>
      </c>
      <c r="K65" s="431"/>
      <c r="L65" s="431"/>
      <c r="M65" s="431">
        <f>SUMIFS(Input[Oth Inc Desg],Input[Institution Name],$A$1)</f>
        <v>0</v>
      </c>
      <c r="N65" s="431"/>
      <c r="O65" s="431"/>
      <c r="P65" s="431">
        <f>SUMIFS(Input[Oth Inc Aux],Input[Institution Name],$A$1)</f>
        <v>0</v>
      </c>
      <c r="Q65" s="431"/>
      <c r="R65" s="431"/>
      <c r="S65" s="431">
        <f>SUMIFS(Input[Oth Inc R Exp],Input[Institution Name],$A$1)</f>
        <v>0</v>
      </c>
      <c r="T65" s="431"/>
      <c r="U65" s="431"/>
      <c r="V65" s="431">
        <f>SUMIFS(Input[Oth Inc Loan],Input[Institution Name],$A$1)</f>
        <v>0</v>
      </c>
      <c r="W65" s="431"/>
      <c r="X65" s="431"/>
      <c r="Y65" s="431">
        <f>SUMIFS(Input[Oth Inc Annuity],Input[Institution Name],$A$1)</f>
        <v>0</v>
      </c>
      <c r="Z65" s="431"/>
      <c r="AA65" s="431"/>
      <c r="AB65" s="431">
        <f>SUMIFS(Input[Oth Inc Unexp],Input[Institution Name],$A$1)</f>
        <v>0</v>
      </c>
      <c r="AC65" s="431"/>
      <c r="AD65" s="431"/>
      <c r="AE65" s="431">
        <f>SUMIFS(Input[Oth Inc R of Ind],Input[Institution Name],$A$1)</f>
        <v>0</v>
      </c>
      <c r="AF65" s="431"/>
      <c r="AG65" s="431"/>
      <c r="AH65" s="431">
        <f>SUMIFS(Input[Oth Inc Inv in P],Input[Institution Name],$A$1)</f>
        <v>0</v>
      </c>
      <c r="AI65" s="431"/>
      <c r="AJ65" s="431"/>
      <c r="AK65" s="432">
        <f t="shared" si="39"/>
        <v>0</v>
      </c>
      <c r="AL65" s="432"/>
      <c r="AM65" s="432"/>
      <c r="AN65" s="246"/>
      <c r="AO65" s="22"/>
      <c r="AP65" s="22"/>
      <c r="AQ65" s="22"/>
      <c r="AR65" s="22"/>
      <c r="AS65" s="22"/>
      <c r="AT65" s="22"/>
      <c r="AU65" s="22"/>
      <c r="AV65" s="22"/>
      <c r="AW65" s="22"/>
      <c r="AX65" s="22"/>
      <c r="AY65" s="22"/>
    </row>
    <row r="66" spans="1:51" s="247" customFormat="1" ht="27" customHeight="1" x14ac:dyDescent="0.55000000000000004">
      <c r="A66" s="485" t="s">
        <v>99</v>
      </c>
      <c r="B66" s="485"/>
      <c r="C66" s="485"/>
      <c r="D66" s="485"/>
      <c r="E66" s="485"/>
      <c r="F66" s="485"/>
      <c r="G66" s="485"/>
      <c r="H66" s="485"/>
      <c r="I66" s="485"/>
      <c r="J66" s="466">
        <f>SUM(J60:L65)</f>
        <v>0</v>
      </c>
      <c r="K66" s="466"/>
      <c r="L66" s="466"/>
      <c r="M66" s="466">
        <f t="shared" ref="M66" si="40">SUM(M60:O65)</f>
        <v>0</v>
      </c>
      <c r="N66" s="466"/>
      <c r="O66" s="466"/>
      <c r="P66" s="466">
        <f t="shared" ref="P66" si="41">SUM(P60:R65)</f>
        <v>0</v>
      </c>
      <c r="Q66" s="466"/>
      <c r="R66" s="466"/>
      <c r="S66" s="466">
        <f t="shared" ref="S66" si="42">SUM(S60:U65)</f>
        <v>0</v>
      </c>
      <c r="T66" s="466"/>
      <c r="U66" s="466"/>
      <c r="V66" s="466">
        <f t="shared" ref="V66" si="43">SUM(V60:X65)</f>
        <v>0</v>
      </c>
      <c r="W66" s="466"/>
      <c r="X66" s="466"/>
      <c r="Y66" s="466">
        <f t="shared" ref="Y66" si="44">SUM(Y60:AA65)</f>
        <v>0</v>
      </c>
      <c r="Z66" s="466"/>
      <c r="AA66" s="466"/>
      <c r="AB66" s="466">
        <f t="shared" ref="AB66" si="45">SUM(AB60:AD65)</f>
        <v>0</v>
      </c>
      <c r="AC66" s="466"/>
      <c r="AD66" s="466"/>
      <c r="AE66" s="466">
        <f t="shared" ref="AE66" si="46">SUM(AE60:AG65)</f>
        <v>0</v>
      </c>
      <c r="AF66" s="466"/>
      <c r="AG66" s="466"/>
      <c r="AH66" s="466">
        <f t="shared" ref="AH66" si="47">SUM(AH60:AJ65)</f>
        <v>0</v>
      </c>
      <c r="AI66" s="466"/>
      <c r="AJ66" s="466"/>
      <c r="AK66" s="466">
        <f t="shared" ref="AK66" si="48">SUM(AK60:AM65)</f>
        <v>0</v>
      </c>
      <c r="AL66" s="466"/>
      <c r="AM66" s="466"/>
      <c r="AN66" s="246"/>
      <c r="AO66" s="22"/>
      <c r="AP66" s="22"/>
      <c r="AQ66" s="22"/>
      <c r="AR66" s="22"/>
      <c r="AS66" s="22"/>
      <c r="AT66" s="22"/>
      <c r="AU66" s="22"/>
      <c r="AV66" s="22"/>
      <c r="AW66" s="22"/>
      <c r="AX66" s="22"/>
      <c r="AY66" s="22"/>
    </row>
    <row r="67" spans="1:51" s="247" customFormat="1" ht="27" customHeight="1" x14ac:dyDescent="0.75">
      <c r="A67" s="251"/>
      <c r="B67" s="251"/>
      <c r="C67" s="251"/>
      <c r="D67" s="251"/>
      <c r="E67" s="251"/>
      <c r="F67" s="251"/>
      <c r="G67" s="251"/>
      <c r="H67" s="251"/>
      <c r="I67" s="251"/>
      <c r="J67" s="252"/>
      <c r="K67" s="252"/>
      <c r="L67" s="252"/>
      <c r="M67" s="252"/>
      <c r="N67" s="252"/>
      <c r="O67" s="252"/>
      <c r="P67" s="252"/>
      <c r="Q67" s="252"/>
      <c r="R67" s="252"/>
      <c r="S67" s="252"/>
      <c r="T67" s="252"/>
      <c r="U67" s="252"/>
      <c r="V67" s="252"/>
      <c r="W67" s="252"/>
      <c r="X67" s="252"/>
      <c r="Y67" s="252"/>
      <c r="Z67" s="252"/>
      <c r="AA67" s="252"/>
      <c r="AB67" s="252"/>
      <c r="AC67" s="252"/>
      <c r="AD67" s="252"/>
      <c r="AE67" s="252"/>
      <c r="AF67" s="252"/>
      <c r="AG67" s="252"/>
      <c r="AH67" s="252"/>
      <c r="AI67" s="252"/>
      <c r="AJ67" s="252"/>
      <c r="AK67" s="252"/>
      <c r="AL67" s="252"/>
      <c r="AM67" s="252"/>
      <c r="AN67" s="246"/>
      <c r="AO67" s="22"/>
      <c r="AP67" s="22"/>
      <c r="AQ67" s="22"/>
      <c r="AR67" s="22"/>
      <c r="AS67" s="22"/>
      <c r="AT67" s="22"/>
      <c r="AU67" s="22"/>
      <c r="AV67" s="22"/>
      <c r="AW67" s="22"/>
      <c r="AX67" s="22"/>
      <c r="AY67" s="22"/>
    </row>
    <row r="68" spans="1:51" s="247" customFormat="1" ht="27" customHeight="1" x14ac:dyDescent="0.55000000000000004">
      <c r="A68" s="485" t="s">
        <v>117</v>
      </c>
      <c r="B68" s="485"/>
      <c r="C68" s="485"/>
      <c r="D68" s="485"/>
      <c r="E68" s="485"/>
      <c r="F68" s="485"/>
      <c r="G68" s="485"/>
      <c r="H68" s="485"/>
      <c r="I68" s="485"/>
      <c r="J68" s="466">
        <f>SUM(J15,J31,J46,J51,J54,J57,J66)</f>
        <v>0</v>
      </c>
      <c r="K68" s="466"/>
      <c r="L68" s="466"/>
      <c r="M68" s="466">
        <f>SUM(M15,M31,M46,M51,M54,M57,M66)</f>
        <v>0</v>
      </c>
      <c r="N68" s="466"/>
      <c r="O68" s="466"/>
      <c r="P68" s="466">
        <f>SUM(P15,P31,P46,P51,P54,P57,P66)</f>
        <v>0</v>
      </c>
      <c r="Q68" s="466"/>
      <c r="R68" s="466"/>
      <c r="S68" s="466">
        <f>SUM(S15,S31,S46,S51,S54,S57,S66)</f>
        <v>0</v>
      </c>
      <c r="T68" s="466"/>
      <c r="U68" s="466"/>
      <c r="V68" s="466">
        <f>SUM(V15,V31,V46,V51,V54,V57,V66)</f>
        <v>0</v>
      </c>
      <c r="W68" s="466"/>
      <c r="X68" s="466"/>
      <c r="Y68" s="466">
        <f>SUM(Y15,Y31,Y46,Y51,Y54,Y57,Y66)</f>
        <v>0</v>
      </c>
      <c r="Z68" s="466"/>
      <c r="AA68" s="466"/>
      <c r="AB68" s="466">
        <f>SUM(AB15,AB31,AB46,AB51,AB54,AB57,AB66)</f>
        <v>0</v>
      </c>
      <c r="AC68" s="466"/>
      <c r="AD68" s="466"/>
      <c r="AE68" s="466">
        <f>SUM(AE15,AE31,AE46,AE51,AE54,AE57,AE66)</f>
        <v>0</v>
      </c>
      <c r="AF68" s="466"/>
      <c r="AG68" s="466"/>
      <c r="AH68" s="466">
        <f>SUM(AH15,AH31,AH46,AH51,AH54,AH57,AH66)</f>
        <v>0</v>
      </c>
      <c r="AI68" s="466"/>
      <c r="AJ68" s="466"/>
      <c r="AK68" s="466">
        <f>SUM(AK15,AK31,AK46,AK51,AK54,AK57,AK66)</f>
        <v>0</v>
      </c>
      <c r="AL68" s="466"/>
      <c r="AM68" s="466"/>
      <c r="AN68" s="246"/>
      <c r="AO68" s="22"/>
      <c r="AP68" s="22"/>
      <c r="AQ68" s="22"/>
      <c r="AR68" s="22"/>
      <c r="AS68" s="22"/>
      <c r="AT68" s="22"/>
      <c r="AU68" s="22"/>
      <c r="AV68" s="22"/>
      <c r="AW68" s="22"/>
      <c r="AX68" s="22"/>
      <c r="AY68" s="22"/>
    </row>
    <row r="69" spans="1:51" s="247" customFormat="1" ht="27" customHeight="1" x14ac:dyDescent="0.75">
      <c r="A69" s="248"/>
      <c r="B69" s="248"/>
      <c r="C69" s="248"/>
      <c r="D69" s="248"/>
      <c r="E69" s="248"/>
      <c r="F69" s="248"/>
      <c r="G69" s="248"/>
      <c r="H69" s="248"/>
      <c r="I69" s="248"/>
      <c r="J69" s="249"/>
      <c r="K69" s="249"/>
      <c r="L69" s="249"/>
      <c r="M69" s="249"/>
      <c r="N69" s="249"/>
      <c r="O69" s="249"/>
      <c r="P69" s="249"/>
      <c r="Q69" s="249"/>
      <c r="R69" s="249"/>
      <c r="S69" s="249"/>
      <c r="T69" s="249"/>
      <c r="U69" s="249"/>
      <c r="V69" s="249"/>
      <c r="W69" s="249"/>
      <c r="X69" s="249"/>
      <c r="Y69" s="249"/>
      <c r="Z69" s="249"/>
      <c r="AA69" s="249"/>
      <c r="AB69" s="249"/>
      <c r="AC69" s="249"/>
      <c r="AD69" s="249"/>
      <c r="AE69" s="249"/>
      <c r="AF69" s="249"/>
      <c r="AG69" s="249"/>
      <c r="AH69" s="249"/>
      <c r="AI69" s="249"/>
      <c r="AJ69" s="249"/>
      <c r="AK69" s="249"/>
      <c r="AL69" s="249"/>
      <c r="AM69" s="249"/>
      <c r="AN69" s="246"/>
      <c r="AO69" s="22"/>
      <c r="AP69" s="22"/>
      <c r="AQ69" s="22"/>
      <c r="AR69" s="22"/>
      <c r="AS69" s="22"/>
      <c r="AT69" s="22"/>
      <c r="AU69" s="22"/>
      <c r="AV69" s="22"/>
      <c r="AW69" s="22"/>
      <c r="AX69" s="22"/>
      <c r="AY69" s="22"/>
    </row>
    <row r="70" spans="1:51" s="247" customFormat="1" ht="27" customHeight="1" x14ac:dyDescent="0.55000000000000004">
      <c r="A70" s="449" t="s">
        <v>1906</v>
      </c>
      <c r="B70" s="450"/>
      <c r="C70" s="450"/>
      <c r="D70" s="450"/>
      <c r="E70" s="450"/>
      <c r="F70" s="450"/>
      <c r="G70" s="450"/>
      <c r="H70" s="450"/>
      <c r="I70" s="450"/>
      <c r="J70" s="455" t="s">
        <v>23</v>
      </c>
      <c r="K70" s="455"/>
      <c r="L70" s="455"/>
      <c r="M70" s="455" t="s">
        <v>24</v>
      </c>
      <c r="N70" s="455"/>
      <c r="O70" s="455"/>
      <c r="P70" s="455" t="s">
        <v>25</v>
      </c>
      <c r="Q70" s="455"/>
      <c r="R70" s="455"/>
      <c r="S70" s="455" t="s">
        <v>26</v>
      </c>
      <c r="T70" s="455"/>
      <c r="U70" s="455"/>
      <c r="V70" s="455" t="s">
        <v>27</v>
      </c>
      <c r="W70" s="455"/>
      <c r="X70" s="455"/>
      <c r="Y70" s="455" t="s">
        <v>1625</v>
      </c>
      <c r="Z70" s="455"/>
      <c r="AA70" s="455"/>
      <c r="AB70" s="455" t="s">
        <v>28</v>
      </c>
      <c r="AC70" s="455"/>
      <c r="AD70" s="455"/>
      <c r="AE70" s="455" t="s">
        <v>29</v>
      </c>
      <c r="AF70" s="455"/>
      <c r="AG70" s="455"/>
      <c r="AH70" s="455" t="s">
        <v>30</v>
      </c>
      <c r="AI70" s="455"/>
      <c r="AJ70" s="455"/>
      <c r="AK70" s="455" t="s">
        <v>96</v>
      </c>
      <c r="AL70" s="455"/>
      <c r="AM70" s="457"/>
      <c r="AN70" s="246"/>
      <c r="AO70" s="22"/>
      <c r="AP70" s="22"/>
      <c r="AQ70" s="22"/>
      <c r="AR70" s="22"/>
      <c r="AS70" s="22"/>
      <c r="AT70" s="22"/>
      <c r="AU70" s="22"/>
      <c r="AV70" s="22"/>
      <c r="AW70" s="22"/>
      <c r="AX70" s="22"/>
      <c r="AY70" s="22"/>
    </row>
    <row r="71" spans="1:51" s="247" customFormat="1" ht="27" customHeight="1" x14ac:dyDescent="0.55000000000000004">
      <c r="A71" s="451"/>
      <c r="B71" s="452"/>
      <c r="C71" s="452"/>
      <c r="D71" s="452"/>
      <c r="E71" s="452"/>
      <c r="F71" s="452"/>
      <c r="G71" s="452"/>
      <c r="H71" s="452"/>
      <c r="I71" s="452"/>
      <c r="J71" s="456"/>
      <c r="K71" s="456"/>
      <c r="L71" s="456"/>
      <c r="M71" s="456"/>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8"/>
      <c r="AN71" s="246"/>
      <c r="AO71" s="22"/>
      <c r="AP71" s="22"/>
      <c r="AQ71" s="22"/>
      <c r="AR71" s="22"/>
      <c r="AS71" s="22"/>
      <c r="AT71" s="22"/>
      <c r="AU71" s="22"/>
      <c r="AV71" s="22"/>
      <c r="AW71" s="22"/>
      <c r="AX71" s="22"/>
      <c r="AY71" s="22"/>
    </row>
    <row r="72" spans="1:51" s="247" customFormat="1" ht="27" customHeight="1" x14ac:dyDescent="0.55000000000000004">
      <c r="A72" s="453"/>
      <c r="B72" s="454"/>
      <c r="C72" s="454"/>
      <c r="D72" s="454"/>
      <c r="E72" s="454"/>
      <c r="F72" s="454"/>
      <c r="G72" s="454"/>
      <c r="H72" s="454"/>
      <c r="I72" s="454"/>
      <c r="J72" s="456"/>
      <c r="K72" s="456"/>
      <c r="L72" s="456"/>
      <c r="M72" s="456"/>
      <c r="N72" s="456"/>
      <c r="O72" s="456"/>
      <c r="P72" s="456"/>
      <c r="Q72" s="456"/>
      <c r="R72" s="456"/>
      <c r="S72" s="456"/>
      <c r="T72" s="456"/>
      <c r="U72" s="456"/>
      <c r="V72" s="456"/>
      <c r="W72" s="456"/>
      <c r="X72" s="456"/>
      <c r="Y72" s="456"/>
      <c r="Z72" s="456"/>
      <c r="AA72" s="456"/>
      <c r="AB72" s="456"/>
      <c r="AC72" s="456"/>
      <c r="AD72" s="456"/>
      <c r="AE72" s="456"/>
      <c r="AF72" s="456"/>
      <c r="AG72" s="456"/>
      <c r="AH72" s="456"/>
      <c r="AI72" s="456"/>
      <c r="AJ72" s="456"/>
      <c r="AK72" s="456"/>
      <c r="AL72" s="456"/>
      <c r="AM72" s="458"/>
      <c r="AN72" s="246"/>
      <c r="AO72" s="22"/>
      <c r="AP72" s="22"/>
      <c r="AQ72" s="22"/>
      <c r="AR72" s="22"/>
      <c r="AS72" s="22"/>
      <c r="AT72" s="22"/>
      <c r="AU72" s="22"/>
      <c r="AV72" s="22"/>
      <c r="AW72" s="22"/>
      <c r="AX72" s="22"/>
      <c r="AY72" s="22"/>
    </row>
    <row r="73" spans="1:51" s="247" customFormat="1" ht="27" customHeight="1" x14ac:dyDescent="0.55000000000000004">
      <c r="A73" s="442" t="s">
        <v>119</v>
      </c>
      <c r="B73" s="443"/>
      <c r="C73" s="443"/>
      <c r="D73" s="443"/>
      <c r="E73" s="443"/>
      <c r="F73" s="443"/>
      <c r="G73" s="443"/>
      <c r="H73" s="443"/>
      <c r="I73" s="443"/>
      <c r="J73" s="443" t="s">
        <v>23</v>
      </c>
      <c r="K73" s="443"/>
      <c r="L73" s="443"/>
      <c r="M73" s="443" t="s">
        <v>24</v>
      </c>
      <c r="N73" s="443"/>
      <c r="O73" s="443"/>
      <c r="P73" s="443" t="s">
        <v>25</v>
      </c>
      <c r="Q73" s="443"/>
      <c r="R73" s="443"/>
      <c r="S73" s="443" t="s">
        <v>26</v>
      </c>
      <c r="T73" s="443"/>
      <c r="U73" s="443"/>
      <c r="V73" s="443" t="s">
        <v>27</v>
      </c>
      <c r="W73" s="443"/>
      <c r="X73" s="443"/>
      <c r="Y73" s="443" t="s">
        <v>95</v>
      </c>
      <c r="Z73" s="443"/>
      <c r="AA73" s="443"/>
      <c r="AB73" s="443" t="s">
        <v>28</v>
      </c>
      <c r="AC73" s="443"/>
      <c r="AD73" s="443"/>
      <c r="AE73" s="443" t="s">
        <v>29</v>
      </c>
      <c r="AF73" s="443"/>
      <c r="AG73" s="443"/>
      <c r="AH73" s="443" t="s">
        <v>30</v>
      </c>
      <c r="AI73" s="443"/>
      <c r="AJ73" s="443"/>
      <c r="AK73" s="443" t="s">
        <v>96</v>
      </c>
      <c r="AL73" s="443"/>
      <c r="AM73" s="444"/>
      <c r="AN73" s="246"/>
      <c r="AO73" s="22"/>
      <c r="AP73" s="22"/>
      <c r="AQ73" s="22"/>
      <c r="AR73" s="22"/>
      <c r="AS73" s="22"/>
      <c r="AT73" s="22"/>
      <c r="AU73" s="22"/>
      <c r="AV73" s="22"/>
      <c r="AW73" s="22"/>
      <c r="AX73" s="22"/>
      <c r="AY73" s="22"/>
    </row>
    <row r="74" spans="1:51" s="247" customFormat="1" ht="27" customHeight="1" x14ac:dyDescent="0.55000000000000004">
      <c r="A74" s="436" t="s">
        <v>34</v>
      </c>
      <c r="B74" s="437"/>
      <c r="C74" s="437"/>
      <c r="D74" s="437"/>
      <c r="E74" s="437"/>
      <c r="F74" s="437"/>
      <c r="G74" s="437"/>
      <c r="H74" s="437"/>
      <c r="I74" s="438"/>
      <c r="J74" s="439">
        <f>SUMIFS(Input[Instr E&amp;G],Input[Institution Name],$A$1)</f>
        <v>0</v>
      </c>
      <c r="K74" s="439"/>
      <c r="L74" s="439"/>
      <c r="M74" s="439">
        <f>SUMIFS(Input[Instr Desg],Input[Institution Name],$A$1)</f>
        <v>0</v>
      </c>
      <c r="N74" s="439"/>
      <c r="O74" s="439"/>
      <c r="P74" s="439">
        <f>SUMIFS(Input[Instr Aux],Input[Institution Name],$A$1)</f>
        <v>0</v>
      </c>
      <c r="Q74" s="439"/>
      <c r="R74" s="439"/>
      <c r="S74" s="439">
        <f>SUMIFS(Input[Instr R Exp],Input[Institution Name],$A$1)</f>
        <v>0</v>
      </c>
      <c r="T74" s="439"/>
      <c r="U74" s="439"/>
      <c r="V74" s="439">
        <f>SUMIFS(Input[Instr Loan],Input[Institution Name],$A$1)</f>
        <v>0</v>
      </c>
      <c r="W74" s="439"/>
      <c r="X74" s="439"/>
      <c r="Y74" s="439">
        <f>SUMIFS(Input[Instr Annuity],Input[Institution Name],$A$1)</f>
        <v>0</v>
      </c>
      <c r="Z74" s="439"/>
      <c r="AA74" s="439"/>
      <c r="AB74" s="439">
        <f>SUMIFS(Input[Instr Unexp],Input[Institution Name],$A$1)</f>
        <v>0</v>
      </c>
      <c r="AC74" s="439"/>
      <c r="AD74" s="439"/>
      <c r="AE74" s="439">
        <f>SUMIFS(Input[Instr R of Ind],Input[Institution Name],$A$1)</f>
        <v>0</v>
      </c>
      <c r="AF74" s="439"/>
      <c r="AG74" s="439"/>
      <c r="AH74" s="439">
        <f>SUMIFS(Input[Instr Inv in P],Input[Institution Name],$A$1)</f>
        <v>0</v>
      </c>
      <c r="AI74" s="439"/>
      <c r="AJ74" s="439"/>
      <c r="AK74" s="440">
        <f t="shared" ref="AK74:AK85" si="49">SUM(J74:AH74)</f>
        <v>0</v>
      </c>
      <c r="AL74" s="440"/>
      <c r="AM74" s="440"/>
      <c r="AN74" s="246"/>
      <c r="AO74" s="22"/>
      <c r="AP74" s="22"/>
      <c r="AQ74" s="22"/>
      <c r="AR74" s="22"/>
      <c r="AS74" s="22"/>
      <c r="AT74" s="22"/>
      <c r="AU74" s="22"/>
      <c r="AV74" s="22"/>
      <c r="AW74" s="22"/>
      <c r="AX74" s="22"/>
      <c r="AY74" s="22"/>
    </row>
    <row r="75" spans="1:51" s="247" customFormat="1" ht="27" customHeight="1" x14ac:dyDescent="0.55000000000000004">
      <c r="A75" s="445" t="s">
        <v>35</v>
      </c>
      <c r="B75" s="446"/>
      <c r="C75" s="446"/>
      <c r="D75" s="446"/>
      <c r="E75" s="446"/>
      <c r="F75" s="446"/>
      <c r="G75" s="446"/>
      <c r="H75" s="446"/>
      <c r="I75" s="447"/>
      <c r="J75" s="448">
        <f>SUMIFS(Input[Res E&amp;G],Input[Institution Name],$A$1)</f>
        <v>0</v>
      </c>
      <c r="K75" s="448"/>
      <c r="L75" s="448"/>
      <c r="M75" s="448">
        <f>SUMIFS(Input[Res Desg],Input[Institution Name],$A$1)</f>
        <v>0</v>
      </c>
      <c r="N75" s="448"/>
      <c r="O75" s="448"/>
      <c r="P75" s="448">
        <f>SUMIFS(Input[Res Aux],Input[Institution Name],$A$1)</f>
        <v>0</v>
      </c>
      <c r="Q75" s="448"/>
      <c r="R75" s="448"/>
      <c r="S75" s="448">
        <f>SUMIFS(Input[Res R Exp],Input[Institution Name],$A$1)</f>
        <v>0</v>
      </c>
      <c r="T75" s="448"/>
      <c r="U75" s="448"/>
      <c r="V75" s="448">
        <f>SUMIFS(Input[Res Loan],Input[Institution Name],$A$1)</f>
        <v>0</v>
      </c>
      <c r="W75" s="448"/>
      <c r="X75" s="448"/>
      <c r="Y75" s="448">
        <f>SUMIFS(Input[Res Annuity],Input[Institution Name],$A$1)</f>
        <v>0</v>
      </c>
      <c r="Z75" s="448"/>
      <c r="AA75" s="448"/>
      <c r="AB75" s="448">
        <f>SUMIFS(Input[Res Unexp],Input[Institution Name],$A$1)</f>
        <v>0</v>
      </c>
      <c r="AC75" s="448"/>
      <c r="AD75" s="448"/>
      <c r="AE75" s="448">
        <f>SUMIFS(Input[Res R of Ind],Input[Institution Name],$A$1)</f>
        <v>0</v>
      </c>
      <c r="AF75" s="448"/>
      <c r="AG75" s="448"/>
      <c r="AH75" s="448">
        <f>SUMIFS(Input[Res Inv in P],Input[Institution Name],$A$1)</f>
        <v>0</v>
      </c>
      <c r="AI75" s="448"/>
      <c r="AJ75" s="448"/>
      <c r="AK75" s="441">
        <f t="shared" si="49"/>
        <v>0</v>
      </c>
      <c r="AL75" s="441"/>
      <c r="AM75" s="441"/>
      <c r="AN75" s="246"/>
      <c r="AO75" s="22"/>
      <c r="AP75" s="22"/>
      <c r="AQ75" s="22"/>
      <c r="AR75" s="22"/>
      <c r="AS75" s="22"/>
      <c r="AT75" s="22"/>
      <c r="AU75" s="22"/>
      <c r="AV75" s="22"/>
      <c r="AW75" s="22"/>
      <c r="AX75" s="22"/>
      <c r="AY75" s="22"/>
    </row>
    <row r="76" spans="1:51" s="247" customFormat="1" ht="27" customHeight="1" x14ac:dyDescent="0.55000000000000004">
      <c r="A76" s="433" t="s">
        <v>120</v>
      </c>
      <c r="B76" s="434"/>
      <c r="C76" s="434"/>
      <c r="D76" s="434"/>
      <c r="E76" s="434"/>
      <c r="F76" s="434"/>
      <c r="G76" s="434"/>
      <c r="H76" s="434"/>
      <c r="I76" s="435"/>
      <c r="J76" s="431">
        <f>SUMIFS(Input[Pub Srv E&amp;G],Input[Institution Name],$A$1)</f>
        <v>0</v>
      </c>
      <c r="K76" s="431"/>
      <c r="L76" s="431"/>
      <c r="M76" s="431">
        <f>SUMIFS(Input[Pub Srv Desg],Input[Institution Name],$A$1)</f>
        <v>0</v>
      </c>
      <c r="N76" s="431"/>
      <c r="O76" s="431"/>
      <c r="P76" s="431">
        <f>SUMIFS(Input[Pub Srv Aux],Input[Institution Name],$A$1)</f>
        <v>0</v>
      </c>
      <c r="Q76" s="431"/>
      <c r="R76" s="431"/>
      <c r="S76" s="431">
        <f>SUMIFS(Input[Pub Srv R Exp],Input[Institution Name],$A$1)</f>
        <v>0</v>
      </c>
      <c r="T76" s="431"/>
      <c r="U76" s="431"/>
      <c r="V76" s="431">
        <f>SUMIFS(Input[Pub Srv Loan],Input[Institution Name],$A$1)</f>
        <v>0</v>
      </c>
      <c r="W76" s="431"/>
      <c r="X76" s="431"/>
      <c r="Y76" s="431">
        <f>SUMIFS(Input[Pub Srv Annuity],Input[Institution Name],$A$1)</f>
        <v>0</v>
      </c>
      <c r="Z76" s="431"/>
      <c r="AA76" s="431"/>
      <c r="AB76" s="431">
        <f>SUMIFS(Input[Pub Srv Unexp],Input[Institution Name],$A$1)</f>
        <v>0</v>
      </c>
      <c r="AC76" s="431"/>
      <c r="AD76" s="431"/>
      <c r="AE76" s="431">
        <f>SUMIFS(Input[Pub Srv R of Ind],Input[Institution Name],$A$1)</f>
        <v>0</v>
      </c>
      <c r="AF76" s="431"/>
      <c r="AG76" s="431"/>
      <c r="AH76" s="431">
        <f>SUMIFS(Input[Pub Srv Inv in P],Input[Institution Name],$A$1)</f>
        <v>0</v>
      </c>
      <c r="AI76" s="431"/>
      <c r="AJ76" s="431"/>
      <c r="AK76" s="432">
        <f t="shared" si="49"/>
        <v>0</v>
      </c>
      <c r="AL76" s="432"/>
      <c r="AM76" s="432"/>
      <c r="AN76" s="246"/>
      <c r="AO76" s="22"/>
      <c r="AP76" s="22"/>
      <c r="AQ76" s="22"/>
      <c r="AR76" s="22"/>
      <c r="AS76" s="22"/>
      <c r="AT76" s="22"/>
      <c r="AU76" s="22"/>
      <c r="AV76" s="22"/>
      <c r="AW76" s="22"/>
      <c r="AX76" s="22"/>
      <c r="AY76" s="22"/>
    </row>
    <row r="77" spans="1:51" s="247" customFormat="1" ht="27" customHeight="1" x14ac:dyDescent="0.55000000000000004">
      <c r="A77" s="433" t="s">
        <v>113</v>
      </c>
      <c r="B77" s="434"/>
      <c r="C77" s="434"/>
      <c r="D77" s="434"/>
      <c r="E77" s="434"/>
      <c r="F77" s="434"/>
      <c r="G77" s="434"/>
      <c r="H77" s="434"/>
      <c r="I77" s="435"/>
      <c r="J77" s="431">
        <f>SUMIFS(Input[H&amp;C (OU) E&amp;G],Input[Institution Name],$A$1)</f>
        <v>0</v>
      </c>
      <c r="K77" s="431"/>
      <c r="L77" s="431"/>
      <c r="M77" s="431">
        <f>SUMIFS(Input[H&amp;C (OU) Desg],Input[Institution Name],$A$1)</f>
        <v>0</v>
      </c>
      <c r="N77" s="431"/>
      <c r="O77" s="431"/>
      <c r="P77" s="431">
        <f>SUMIFS(Input[H&amp;C (OU) Aux],Input[Institution Name],$A$1)</f>
        <v>0</v>
      </c>
      <c r="Q77" s="431"/>
      <c r="R77" s="431"/>
      <c r="S77" s="431">
        <f>SUMIFS(Input[H&amp;C (OU) R Exp],Input[Institution Name],$A$1)</f>
        <v>0</v>
      </c>
      <c r="T77" s="431"/>
      <c r="U77" s="431"/>
      <c r="V77" s="431">
        <f>SUMIFS(Input[H&amp;C (OU) Loan],Input[Institution Name],$A$1)</f>
        <v>0</v>
      </c>
      <c r="W77" s="431"/>
      <c r="X77" s="431"/>
      <c r="Y77" s="431">
        <f>SUMIFS(Input[H&amp;C (OU) Annuity],Input[Institution Name],$A$1)</f>
        <v>0</v>
      </c>
      <c r="Z77" s="431"/>
      <c r="AA77" s="431"/>
      <c r="AB77" s="431">
        <f>SUMIFS(Input[H&amp;C (OU) Unexp],Input[Institution Name],$A$1)</f>
        <v>0</v>
      </c>
      <c r="AC77" s="431"/>
      <c r="AD77" s="431"/>
      <c r="AE77" s="431">
        <f>SUMIFS(Input[H&amp;C (OU) R of Ind],Input[Institution Name],$A$1)</f>
        <v>0</v>
      </c>
      <c r="AF77" s="431"/>
      <c r="AG77" s="431"/>
      <c r="AH77" s="431">
        <f>SUMIFS(Input[H&amp;C (OU) Inv in P],Input[Institution Name],$A$1)</f>
        <v>0</v>
      </c>
      <c r="AI77" s="431"/>
      <c r="AJ77" s="431"/>
      <c r="AK77" s="432">
        <f>SUM(J77:AH77)</f>
        <v>0</v>
      </c>
      <c r="AL77" s="432"/>
      <c r="AM77" s="432"/>
      <c r="AN77" s="246"/>
      <c r="AO77" s="22"/>
      <c r="AP77" s="22"/>
      <c r="AQ77" s="22"/>
      <c r="AR77" s="22"/>
      <c r="AS77" s="22"/>
      <c r="AT77" s="22"/>
      <c r="AU77" s="22"/>
      <c r="AV77" s="22"/>
      <c r="AW77" s="22"/>
      <c r="AX77" s="22"/>
      <c r="AY77" s="22"/>
    </row>
    <row r="78" spans="1:51" s="247" customFormat="1" ht="27" customHeight="1" x14ac:dyDescent="0.55000000000000004">
      <c r="A78" s="433" t="s">
        <v>36</v>
      </c>
      <c r="B78" s="434"/>
      <c r="C78" s="434"/>
      <c r="D78" s="434"/>
      <c r="E78" s="434"/>
      <c r="F78" s="434"/>
      <c r="G78" s="434"/>
      <c r="H78" s="434"/>
      <c r="I78" s="435"/>
      <c r="J78" s="431">
        <f>SUMIFS(Input[Acad Sup E&amp;G],Input[Institution Name],$A$1)</f>
        <v>0</v>
      </c>
      <c r="K78" s="431"/>
      <c r="L78" s="431"/>
      <c r="M78" s="431">
        <f>SUMIFS(Input[Acad Sup Desg],Input[Institution Name],$A$1)</f>
        <v>0</v>
      </c>
      <c r="N78" s="431"/>
      <c r="O78" s="431"/>
      <c r="P78" s="431">
        <f>SUMIFS(Input[Acad Sup Aux],Input[Institution Name],$A$1)</f>
        <v>0</v>
      </c>
      <c r="Q78" s="431"/>
      <c r="R78" s="431"/>
      <c r="S78" s="431">
        <f>SUMIFS(Input[Acad Sup R Exp],Input[Institution Name],$A$1)</f>
        <v>0</v>
      </c>
      <c r="T78" s="431"/>
      <c r="U78" s="431"/>
      <c r="V78" s="431">
        <f>SUMIFS(Input[Acad Sup Loan],Input[Institution Name],$A$1)</f>
        <v>0</v>
      </c>
      <c r="W78" s="431"/>
      <c r="X78" s="431"/>
      <c r="Y78" s="431">
        <f>SUMIFS(Input[Acad Sup Annuity],Input[Institution Name],$A$1)</f>
        <v>0</v>
      </c>
      <c r="Z78" s="431"/>
      <c r="AA78" s="431"/>
      <c r="AB78" s="431">
        <f>SUMIFS(Input[Acad Sup Unexp],Input[Institution Name],$A$1)</f>
        <v>0</v>
      </c>
      <c r="AC78" s="431"/>
      <c r="AD78" s="431"/>
      <c r="AE78" s="431">
        <f>SUMIFS(Input[Acad Sup R of Ind],Input[Institution Name],$A$1)</f>
        <v>0</v>
      </c>
      <c r="AF78" s="431"/>
      <c r="AG78" s="431"/>
      <c r="AH78" s="431">
        <f>SUMIFS(Input[Acad Sup Inv in P],Input[Institution Name],$A$1)</f>
        <v>0</v>
      </c>
      <c r="AI78" s="431"/>
      <c r="AJ78" s="431"/>
      <c r="AK78" s="432">
        <f t="shared" si="49"/>
        <v>0</v>
      </c>
      <c r="AL78" s="432"/>
      <c r="AM78" s="432"/>
      <c r="AN78" s="246"/>
      <c r="AO78" s="22"/>
      <c r="AP78" s="22"/>
      <c r="AQ78" s="22"/>
      <c r="AR78" s="22"/>
      <c r="AS78" s="22"/>
      <c r="AT78" s="22"/>
      <c r="AU78" s="22"/>
      <c r="AV78" s="22"/>
      <c r="AW78" s="22"/>
      <c r="AX78" s="22"/>
      <c r="AY78" s="22"/>
    </row>
    <row r="79" spans="1:51" s="247" customFormat="1" ht="27" customHeight="1" x14ac:dyDescent="0.55000000000000004">
      <c r="A79" s="433" t="s">
        <v>37</v>
      </c>
      <c r="B79" s="434"/>
      <c r="C79" s="434"/>
      <c r="D79" s="434"/>
      <c r="E79" s="434"/>
      <c r="F79" s="434"/>
      <c r="G79" s="434"/>
      <c r="H79" s="434"/>
      <c r="I79" s="435"/>
      <c r="J79" s="431">
        <f>SUMIFS(Input[Stu Svc E&amp;G],Input[Institution Name],$A$1)</f>
        <v>0</v>
      </c>
      <c r="K79" s="431"/>
      <c r="L79" s="431"/>
      <c r="M79" s="431">
        <f>SUMIFS(Input[Stu Svc Desg],Input[Institution Name],$A$1)</f>
        <v>0</v>
      </c>
      <c r="N79" s="431"/>
      <c r="O79" s="431"/>
      <c r="P79" s="431">
        <f>SUMIFS(Input[Stu Svc Aux],Input[Institution Name],$A$1)</f>
        <v>0</v>
      </c>
      <c r="Q79" s="431"/>
      <c r="R79" s="431"/>
      <c r="S79" s="431">
        <f>SUMIFS(Input[Stu Svc R Exp],Input[Institution Name],$A$1)</f>
        <v>0</v>
      </c>
      <c r="T79" s="431"/>
      <c r="U79" s="431"/>
      <c r="V79" s="431">
        <f>SUMIFS(Input[Stu Svc Loan],Input[Institution Name],$A$1)</f>
        <v>0</v>
      </c>
      <c r="W79" s="431"/>
      <c r="X79" s="431"/>
      <c r="Y79" s="431">
        <f>SUMIFS(Input[Stu Svc Annuity],Input[Institution Name],$A$1)</f>
        <v>0</v>
      </c>
      <c r="Z79" s="431"/>
      <c r="AA79" s="431"/>
      <c r="AB79" s="431">
        <f>SUMIFS(Input[Stu Svc Unexp],Input[Institution Name],$A$1)</f>
        <v>0</v>
      </c>
      <c r="AC79" s="431"/>
      <c r="AD79" s="431"/>
      <c r="AE79" s="431">
        <f>SUMIFS(Input[Stu Svc R of Ind],Input[Institution Name],$A$1)</f>
        <v>0</v>
      </c>
      <c r="AF79" s="431"/>
      <c r="AG79" s="431"/>
      <c r="AH79" s="431">
        <f>SUMIFS(Input[Stu Svc Inv in P],Input[Institution Name],$A$1)</f>
        <v>0</v>
      </c>
      <c r="AI79" s="431"/>
      <c r="AJ79" s="431"/>
      <c r="AK79" s="432">
        <f t="shared" si="49"/>
        <v>0</v>
      </c>
      <c r="AL79" s="432"/>
      <c r="AM79" s="432"/>
      <c r="AN79" s="246"/>
      <c r="AO79" s="22"/>
      <c r="AP79" s="22"/>
      <c r="AQ79" s="22"/>
      <c r="AR79" s="22"/>
      <c r="AS79" s="22"/>
      <c r="AT79" s="22"/>
      <c r="AU79" s="22"/>
      <c r="AV79" s="22"/>
      <c r="AW79" s="22"/>
      <c r="AX79" s="22"/>
      <c r="AY79" s="22"/>
    </row>
    <row r="80" spans="1:51" s="247" customFormat="1" ht="27" customHeight="1" x14ac:dyDescent="0.55000000000000004">
      <c r="A80" s="433" t="s">
        <v>38</v>
      </c>
      <c r="B80" s="434"/>
      <c r="C80" s="434"/>
      <c r="D80" s="434"/>
      <c r="E80" s="434"/>
      <c r="F80" s="434"/>
      <c r="G80" s="434"/>
      <c r="H80" s="434"/>
      <c r="I80" s="435"/>
      <c r="J80" s="431">
        <f>SUMIFS(Input[Inst. Spt E&amp;G],Input[Institution Name],$A$1)</f>
        <v>0</v>
      </c>
      <c r="K80" s="431"/>
      <c r="L80" s="431"/>
      <c r="M80" s="431">
        <f>SUMIFS(Input[Inst. Spt Desg],Input[Institution Name],$A$1)</f>
        <v>0</v>
      </c>
      <c r="N80" s="431"/>
      <c r="O80" s="431"/>
      <c r="P80" s="431">
        <f>SUMIFS(Input[Inst. Spt Aux],Input[Institution Name],$A$1)</f>
        <v>0</v>
      </c>
      <c r="Q80" s="431"/>
      <c r="R80" s="431"/>
      <c r="S80" s="431">
        <f>SUMIFS(Input[Inst. Spt R Exp],Input[Institution Name],$A$1)</f>
        <v>0</v>
      </c>
      <c r="T80" s="431"/>
      <c r="U80" s="431"/>
      <c r="V80" s="431">
        <f>SUMIFS(Input[Inst. Spt Loan],Input[Institution Name],$A$1)</f>
        <v>0</v>
      </c>
      <c r="W80" s="431"/>
      <c r="X80" s="431"/>
      <c r="Y80" s="431">
        <f>SUMIFS(Input[Inst. Spt Annuity],Input[Institution Name],$A$1)</f>
        <v>0</v>
      </c>
      <c r="Z80" s="431"/>
      <c r="AA80" s="431"/>
      <c r="AB80" s="431">
        <f>SUMIFS(Input[Inst. Spt Unexp],Input[Institution Name],$A$1)</f>
        <v>0</v>
      </c>
      <c r="AC80" s="431"/>
      <c r="AD80" s="431"/>
      <c r="AE80" s="431">
        <f>SUMIFS(Input[Inst. Spt R of Ind],Input[Institution Name],$A$1)</f>
        <v>0</v>
      </c>
      <c r="AF80" s="431"/>
      <c r="AG80" s="431"/>
      <c r="AH80" s="431">
        <f>SUMIFS(Input[Inst. Spt Inv in P],Input[Institution Name],$A$1)</f>
        <v>0</v>
      </c>
      <c r="AI80" s="431"/>
      <c r="AJ80" s="431"/>
      <c r="AK80" s="432">
        <f t="shared" si="49"/>
        <v>0</v>
      </c>
      <c r="AL80" s="432"/>
      <c r="AM80" s="432"/>
      <c r="AN80" s="246"/>
      <c r="AO80" s="22"/>
      <c r="AP80" s="22"/>
      <c r="AQ80" s="22"/>
      <c r="AR80" s="22"/>
      <c r="AS80" s="22"/>
      <c r="AT80" s="22"/>
      <c r="AU80" s="22"/>
      <c r="AV80" s="22"/>
      <c r="AW80" s="22"/>
      <c r="AX80" s="22"/>
      <c r="AY80" s="22"/>
    </row>
    <row r="81" spans="1:51" s="247" customFormat="1" ht="27" customHeight="1" x14ac:dyDescent="0.55000000000000004">
      <c r="A81" s="433" t="s">
        <v>121</v>
      </c>
      <c r="B81" s="434"/>
      <c r="C81" s="434"/>
      <c r="D81" s="434"/>
      <c r="E81" s="434"/>
      <c r="F81" s="434"/>
      <c r="G81" s="434"/>
      <c r="H81" s="434"/>
      <c r="I81" s="435"/>
      <c r="J81" s="431">
        <f>SUMIFS(Input[M&amp;O Plnt E&amp;G],Input[Institution Name],$A$1)</f>
        <v>0</v>
      </c>
      <c r="K81" s="431"/>
      <c r="L81" s="431"/>
      <c r="M81" s="431">
        <f>SUMIFS(Input[M&amp;O Plnt Desg],Input[Institution Name],$A$1)</f>
        <v>0</v>
      </c>
      <c r="N81" s="431"/>
      <c r="O81" s="431"/>
      <c r="P81" s="431">
        <f>SUMIFS(Input[M&amp;O Plnt Aux],Input[Institution Name],$A$1)</f>
        <v>0</v>
      </c>
      <c r="Q81" s="431"/>
      <c r="R81" s="431"/>
      <c r="S81" s="431">
        <f>SUMIFS(Input[M&amp;O Plnt R Exp],Input[Institution Name],$A$1)</f>
        <v>0</v>
      </c>
      <c r="T81" s="431"/>
      <c r="U81" s="431"/>
      <c r="V81" s="431">
        <f>SUMIFS(Input[M&amp;O Plnt Loan],Input[Institution Name],$A$1)</f>
        <v>0</v>
      </c>
      <c r="W81" s="431"/>
      <c r="X81" s="431"/>
      <c r="Y81" s="431">
        <f>SUMIFS(Input[M&amp;O Plnt Annuity],Input[Institution Name],$A$1)</f>
        <v>0</v>
      </c>
      <c r="Z81" s="431"/>
      <c r="AA81" s="431"/>
      <c r="AB81" s="431">
        <f>SUMIFS(Input[M&amp;O Plnt Unexp],Input[Institution Name],$A$1)</f>
        <v>0</v>
      </c>
      <c r="AC81" s="431"/>
      <c r="AD81" s="431"/>
      <c r="AE81" s="431">
        <f>SUMIFS(Input[M&amp;O Plnt R of Ind],Input[Institution Name],$A$1)</f>
        <v>0</v>
      </c>
      <c r="AF81" s="431"/>
      <c r="AG81" s="431"/>
      <c r="AH81" s="431">
        <f>SUMIFS(Input[M&amp;O Plnt Inv in P],Input[Institution Name],$A$1)</f>
        <v>0</v>
      </c>
      <c r="AI81" s="431"/>
      <c r="AJ81" s="431"/>
      <c r="AK81" s="432">
        <f t="shared" si="49"/>
        <v>0</v>
      </c>
      <c r="AL81" s="432"/>
      <c r="AM81" s="432"/>
      <c r="AN81" s="246"/>
      <c r="AO81" s="22"/>
      <c r="AP81" s="22"/>
      <c r="AQ81" s="22"/>
      <c r="AR81" s="22"/>
      <c r="AS81" s="22"/>
      <c r="AT81" s="22"/>
      <c r="AU81" s="22"/>
      <c r="AV81" s="22"/>
      <c r="AW81" s="22"/>
      <c r="AX81" s="22"/>
      <c r="AY81" s="22"/>
    </row>
    <row r="82" spans="1:51" s="247" customFormat="1" ht="27" customHeight="1" x14ac:dyDescent="0.55000000000000004">
      <c r="A82" s="433" t="s">
        <v>122</v>
      </c>
      <c r="B82" s="434"/>
      <c r="C82" s="434"/>
      <c r="D82" s="434"/>
      <c r="E82" s="434"/>
      <c r="F82" s="434"/>
      <c r="G82" s="434"/>
      <c r="H82" s="434"/>
      <c r="I82" s="435"/>
      <c r="J82" s="431">
        <f>SUMIFS(Input[Schl &amp; Fell E&amp;G],Input[Institution Name],$A$1)</f>
        <v>0</v>
      </c>
      <c r="K82" s="431"/>
      <c r="L82" s="431"/>
      <c r="M82" s="431">
        <f>SUMIFS(Input[Schl &amp; Fell Desg],Input[Institution Name],$A$1)</f>
        <v>0</v>
      </c>
      <c r="N82" s="431"/>
      <c r="O82" s="431"/>
      <c r="P82" s="431">
        <f>SUMIFS(Input[Schl &amp; Fell Aux],Input[Institution Name],$A$1)</f>
        <v>0</v>
      </c>
      <c r="Q82" s="431"/>
      <c r="R82" s="431"/>
      <c r="S82" s="431">
        <f>SUMIFS(Input[Schl &amp; Fell R Exp],Input[Institution Name],$A$1)</f>
        <v>0</v>
      </c>
      <c r="T82" s="431"/>
      <c r="U82" s="431"/>
      <c r="V82" s="431">
        <f>SUMIFS(Input[Schl &amp; Fell Loan],Input[Institution Name],$A$1)</f>
        <v>0</v>
      </c>
      <c r="W82" s="431"/>
      <c r="X82" s="431"/>
      <c r="Y82" s="431">
        <f>SUMIFS(Input[Schl &amp; Fell Annuity],Input[Institution Name],$A$1)</f>
        <v>0</v>
      </c>
      <c r="Z82" s="431"/>
      <c r="AA82" s="431"/>
      <c r="AB82" s="431">
        <f>SUMIFS(Input[Schl &amp; Fell Unexp],Input[Institution Name],$A$1)</f>
        <v>0</v>
      </c>
      <c r="AC82" s="431"/>
      <c r="AD82" s="431"/>
      <c r="AE82" s="431">
        <f>SUMIFS(Input[Schl &amp; Fell R of Ind],Input[Institution Name],$A$1)</f>
        <v>0</v>
      </c>
      <c r="AF82" s="431"/>
      <c r="AG82" s="431"/>
      <c r="AH82" s="431">
        <f>SUMIFS(Input[Schl &amp; Fell Inv in P],Input[Institution Name],$A$1)</f>
        <v>0</v>
      </c>
      <c r="AI82" s="431"/>
      <c r="AJ82" s="431"/>
      <c r="AK82" s="432">
        <f t="shared" si="49"/>
        <v>0</v>
      </c>
      <c r="AL82" s="432"/>
      <c r="AM82" s="432"/>
      <c r="AN82" s="246"/>
      <c r="AO82" s="22"/>
      <c r="AP82" s="22"/>
      <c r="AQ82" s="22"/>
      <c r="AR82" s="22"/>
      <c r="AS82" s="22"/>
      <c r="AT82" s="22"/>
      <c r="AU82" s="22"/>
      <c r="AV82" s="22"/>
      <c r="AW82" s="22"/>
      <c r="AX82" s="22"/>
      <c r="AY82" s="22"/>
    </row>
    <row r="83" spans="1:51" s="247" customFormat="1" ht="27" customHeight="1" x14ac:dyDescent="0.55000000000000004">
      <c r="A83" s="433" t="s">
        <v>152</v>
      </c>
      <c r="B83" s="434"/>
      <c r="C83" s="434"/>
      <c r="D83" s="434"/>
      <c r="E83" s="434"/>
      <c r="F83" s="434"/>
      <c r="G83" s="434"/>
      <c r="H83" s="434"/>
      <c r="I83" s="435"/>
      <c r="J83" s="431">
        <f>SUMIFS(Input[Aux Ent E&amp;G],Input[Institution Name],$A$1)</f>
        <v>0</v>
      </c>
      <c r="K83" s="431"/>
      <c r="L83" s="431"/>
      <c r="M83" s="431">
        <f>SUMIFS(Input[Aux Ent Desg],Input[Institution Name],$A$1)</f>
        <v>0</v>
      </c>
      <c r="N83" s="431"/>
      <c r="O83" s="431"/>
      <c r="P83" s="431">
        <f>SUMIFS(Input[Aux Ent Aux],Input[Institution Name],$A$1)</f>
        <v>0</v>
      </c>
      <c r="Q83" s="431"/>
      <c r="R83" s="431"/>
      <c r="S83" s="431">
        <f>SUMIFS(Input[Aux Ent R Exp],Input[Institution Name],$A$1)</f>
        <v>0</v>
      </c>
      <c r="T83" s="431"/>
      <c r="U83" s="431"/>
      <c r="V83" s="431">
        <f>SUMIFS(Input[Aux Ent Loan],Input[Institution Name],$A$1)</f>
        <v>0</v>
      </c>
      <c r="W83" s="431"/>
      <c r="X83" s="431"/>
      <c r="Y83" s="431">
        <f>SUMIFS(Input[Aux Ent Annuity],Input[Institution Name],$A$1)</f>
        <v>0</v>
      </c>
      <c r="Z83" s="431"/>
      <c r="AA83" s="431"/>
      <c r="AB83" s="431">
        <f>SUMIFS(Input[Aux Ent Unexp],Input[Institution Name],$A$1)</f>
        <v>0</v>
      </c>
      <c r="AC83" s="431"/>
      <c r="AD83" s="431"/>
      <c r="AE83" s="431">
        <f>SUMIFS(Input[Aux Ent R of Ind],Input[Institution Name],$A$1)</f>
        <v>0</v>
      </c>
      <c r="AF83" s="431"/>
      <c r="AG83" s="431"/>
      <c r="AH83" s="431">
        <f>SUMIFS(Input[Aux Ent Inv in P],Input[Institution Name],$A$1)</f>
        <v>0</v>
      </c>
      <c r="AI83" s="431"/>
      <c r="AJ83" s="431"/>
      <c r="AK83" s="432">
        <f t="shared" si="49"/>
        <v>0</v>
      </c>
      <c r="AL83" s="432"/>
      <c r="AM83" s="432"/>
      <c r="AN83" s="246"/>
      <c r="AO83" s="22"/>
      <c r="AP83" s="22"/>
      <c r="AQ83" s="22"/>
      <c r="AR83" s="22"/>
      <c r="AS83" s="22"/>
      <c r="AT83" s="22"/>
      <c r="AU83" s="22"/>
      <c r="AV83" s="22"/>
      <c r="AW83" s="22"/>
      <c r="AX83" s="22"/>
      <c r="AY83" s="22"/>
    </row>
    <row r="84" spans="1:51" s="247" customFormat="1" ht="27" customHeight="1" x14ac:dyDescent="0.55000000000000004">
      <c r="A84" s="433" t="s">
        <v>123</v>
      </c>
      <c r="B84" s="434"/>
      <c r="C84" s="434"/>
      <c r="D84" s="434"/>
      <c r="E84" s="434"/>
      <c r="F84" s="434"/>
      <c r="G84" s="434"/>
      <c r="H84" s="434"/>
      <c r="I84" s="435"/>
      <c r="J84" s="431">
        <f>SUMIFS(Input[Cap Out fund E&amp;G],Input[Institution Name],$A$1)</f>
        <v>0</v>
      </c>
      <c r="K84" s="431"/>
      <c r="L84" s="431"/>
      <c r="M84" s="431">
        <f>SUMIFS(Input[Cap Out fund Desg],Input[Institution Name],$A$1)</f>
        <v>0</v>
      </c>
      <c r="N84" s="431"/>
      <c r="O84" s="431"/>
      <c r="P84" s="431">
        <f>SUMIFS(Input[Cap Out fund Aux],Input[Institution Name],$A$1)</f>
        <v>0</v>
      </c>
      <c r="Q84" s="431"/>
      <c r="R84" s="431"/>
      <c r="S84" s="431">
        <f>SUMIFS(Input[Cap Out fund R Exp],Input[Institution Name],$A$1)</f>
        <v>0</v>
      </c>
      <c r="T84" s="431"/>
      <c r="U84" s="431"/>
      <c r="V84" s="431">
        <f>SUMIFS(Input[Cap Out fund Loan],Input[Institution Name],$A$1)</f>
        <v>0</v>
      </c>
      <c r="W84" s="431"/>
      <c r="X84" s="431"/>
      <c r="Y84" s="431">
        <f>SUMIFS(Input[Cap Out fund Annuity],Input[Institution Name],$A$1)</f>
        <v>0</v>
      </c>
      <c r="Z84" s="431"/>
      <c r="AA84" s="431"/>
      <c r="AB84" s="431">
        <f>SUMIFS(Input[Cap Out fund Unexp],Input[Institution Name],$A$1)</f>
        <v>0</v>
      </c>
      <c r="AC84" s="431"/>
      <c r="AD84" s="431"/>
      <c r="AE84" s="431">
        <f>SUMIFS(Input[Cap Out fund R of Ind],Input[Institution Name],$A$1)</f>
        <v>0</v>
      </c>
      <c r="AF84" s="431"/>
      <c r="AG84" s="431"/>
      <c r="AH84" s="431">
        <f>SUMIFS(Input[Cap Out fund Inv in P],Input[Institution Name],$A$1)</f>
        <v>0</v>
      </c>
      <c r="AI84" s="431"/>
      <c r="AJ84" s="431"/>
      <c r="AK84" s="432">
        <f t="shared" si="49"/>
        <v>0</v>
      </c>
      <c r="AL84" s="432"/>
      <c r="AM84" s="432"/>
      <c r="AN84" s="246"/>
      <c r="AO84" s="22"/>
      <c r="AP84" s="22"/>
      <c r="AQ84" s="22"/>
      <c r="AR84" s="22"/>
      <c r="AS84" s="22"/>
      <c r="AT84" s="22"/>
      <c r="AU84" s="22"/>
      <c r="AV84" s="22"/>
      <c r="AW84" s="22"/>
      <c r="AX84" s="22"/>
      <c r="AY84" s="22"/>
    </row>
    <row r="85" spans="1:51" s="247" customFormat="1" ht="27" customHeight="1" x14ac:dyDescent="0.55000000000000004">
      <c r="A85" s="433" t="s">
        <v>155</v>
      </c>
      <c r="B85" s="434"/>
      <c r="C85" s="434"/>
      <c r="D85" s="434"/>
      <c r="E85" s="434"/>
      <c r="F85" s="434"/>
      <c r="G85" s="434"/>
      <c r="H85" s="434"/>
      <c r="I85" s="435"/>
      <c r="J85" s="431">
        <f>SUMIFS(Input[Oth Exp E&amp;G],Input[Institution Name],$A$1)</f>
        <v>0</v>
      </c>
      <c r="K85" s="431"/>
      <c r="L85" s="431"/>
      <c r="M85" s="431">
        <f>SUMIFS(Input[Oth Exp Desg],Input[Institution Name],$A$1)</f>
        <v>0</v>
      </c>
      <c r="N85" s="431"/>
      <c r="O85" s="431"/>
      <c r="P85" s="431">
        <f>SUMIFS(Input[Oth Exp Aux],Input[Institution Name],$A$1)</f>
        <v>0</v>
      </c>
      <c r="Q85" s="431"/>
      <c r="R85" s="431"/>
      <c r="S85" s="431">
        <f>SUMIFS(Input[Oth Exp R Exp],Input[Institution Name],$A$1)</f>
        <v>0</v>
      </c>
      <c r="T85" s="431"/>
      <c r="U85" s="431"/>
      <c r="V85" s="431">
        <f>SUMIFS(Input[Oth Exp Loan],Input[Institution Name],$A$1)</f>
        <v>0</v>
      </c>
      <c r="W85" s="431"/>
      <c r="X85" s="431"/>
      <c r="Y85" s="431">
        <f>SUMIFS(Input[Oth Exp Annuity],Input[Institution Name],$A$1)</f>
        <v>0</v>
      </c>
      <c r="Z85" s="431"/>
      <c r="AA85" s="431"/>
      <c r="AB85" s="431">
        <f>SUMIFS(Input[Oth Exp Unexp],Input[Institution Name],$A$1)</f>
        <v>0</v>
      </c>
      <c r="AC85" s="431"/>
      <c r="AD85" s="431"/>
      <c r="AE85" s="431">
        <f>SUMIFS(Input[Oth Exp R of Ind],Input[Institution Name],$A$1)</f>
        <v>0</v>
      </c>
      <c r="AF85" s="431"/>
      <c r="AG85" s="431"/>
      <c r="AH85" s="431">
        <f>SUMIFS(Input[Oth Exp Inv in P],Input[Institution Name],$A$1)</f>
        <v>0</v>
      </c>
      <c r="AI85" s="431"/>
      <c r="AJ85" s="431"/>
      <c r="AK85" s="432">
        <f t="shared" si="49"/>
        <v>0</v>
      </c>
      <c r="AL85" s="432"/>
      <c r="AM85" s="432"/>
      <c r="AN85" s="246"/>
      <c r="AO85" s="22"/>
      <c r="AP85" s="22"/>
      <c r="AQ85" s="22"/>
      <c r="AR85" s="22"/>
      <c r="AS85" s="22"/>
      <c r="AT85" s="22"/>
      <c r="AU85" s="22"/>
      <c r="AV85" s="22"/>
      <c r="AW85" s="22"/>
      <c r="AX85" s="22"/>
      <c r="AY85" s="22"/>
    </row>
    <row r="86" spans="1:51" s="247" customFormat="1" ht="27" customHeight="1" x14ac:dyDescent="0.55000000000000004">
      <c r="A86" s="485" t="s">
        <v>99</v>
      </c>
      <c r="B86" s="485"/>
      <c r="C86" s="485"/>
      <c r="D86" s="485"/>
      <c r="E86" s="485"/>
      <c r="F86" s="485"/>
      <c r="G86" s="485"/>
      <c r="H86" s="485"/>
      <c r="I86" s="485"/>
      <c r="J86" s="466">
        <f>SUM(J74:L85)</f>
        <v>0</v>
      </c>
      <c r="K86" s="466"/>
      <c r="L86" s="466"/>
      <c r="M86" s="466">
        <f t="shared" ref="M86" si="50">SUM(M74:O85)</f>
        <v>0</v>
      </c>
      <c r="N86" s="466"/>
      <c r="O86" s="466"/>
      <c r="P86" s="466">
        <f t="shared" ref="P86" si="51">SUM(P74:R85)</f>
        <v>0</v>
      </c>
      <c r="Q86" s="466"/>
      <c r="R86" s="466"/>
      <c r="S86" s="466">
        <f t="shared" ref="S86" si="52">SUM(S74:U85)</f>
        <v>0</v>
      </c>
      <c r="T86" s="466"/>
      <c r="U86" s="466"/>
      <c r="V86" s="466">
        <f t="shared" ref="V86" si="53">SUM(V74:X85)</f>
        <v>0</v>
      </c>
      <c r="W86" s="466"/>
      <c r="X86" s="466"/>
      <c r="Y86" s="466">
        <f t="shared" ref="Y86" si="54">SUM(Y74:AA85)</f>
        <v>0</v>
      </c>
      <c r="Z86" s="466"/>
      <c r="AA86" s="466"/>
      <c r="AB86" s="466">
        <f t="shared" ref="AB86" si="55">SUM(AB74:AD85)</f>
        <v>0</v>
      </c>
      <c r="AC86" s="466"/>
      <c r="AD86" s="466"/>
      <c r="AE86" s="466">
        <f t="shared" ref="AE86" si="56">SUM(AE74:AG85)</f>
        <v>0</v>
      </c>
      <c r="AF86" s="466"/>
      <c r="AG86" s="466"/>
      <c r="AH86" s="466">
        <f t="shared" ref="AH86" si="57">SUM(AH74:AJ85)</f>
        <v>0</v>
      </c>
      <c r="AI86" s="466"/>
      <c r="AJ86" s="466"/>
      <c r="AK86" s="466">
        <f t="shared" ref="AK86" si="58">SUM(AK74:AM85)</f>
        <v>0</v>
      </c>
      <c r="AL86" s="466"/>
      <c r="AM86" s="466"/>
      <c r="AN86" s="246"/>
      <c r="AO86" s="22"/>
      <c r="AP86" s="22"/>
      <c r="AQ86" s="22"/>
      <c r="AR86" s="22"/>
      <c r="AS86" s="22"/>
      <c r="AT86" s="22"/>
      <c r="AU86" s="22"/>
      <c r="AV86" s="22"/>
      <c r="AW86" s="22"/>
      <c r="AX86" s="22"/>
      <c r="AY86" s="22"/>
    </row>
    <row r="87" spans="1:51" s="247" customFormat="1" ht="27" customHeight="1" x14ac:dyDescent="0.75">
      <c r="A87" s="253"/>
      <c r="B87" s="253"/>
      <c r="C87" s="253"/>
      <c r="D87" s="253"/>
      <c r="E87" s="253"/>
      <c r="F87" s="253"/>
      <c r="G87" s="253"/>
      <c r="H87" s="253"/>
      <c r="I87" s="253"/>
      <c r="J87" s="252"/>
      <c r="K87" s="252"/>
      <c r="L87" s="252"/>
      <c r="M87" s="252"/>
      <c r="N87" s="252"/>
      <c r="O87" s="252"/>
      <c r="P87" s="252"/>
      <c r="Q87" s="252"/>
      <c r="R87" s="252"/>
      <c r="S87" s="252"/>
      <c r="T87" s="252"/>
      <c r="U87" s="252"/>
      <c r="V87" s="252"/>
      <c r="W87" s="252"/>
      <c r="X87" s="252"/>
      <c r="Y87" s="252"/>
      <c r="Z87" s="252"/>
      <c r="AA87" s="252"/>
      <c r="AB87" s="252"/>
      <c r="AC87" s="252"/>
      <c r="AD87" s="252"/>
      <c r="AE87" s="252"/>
      <c r="AF87" s="252"/>
      <c r="AG87" s="252"/>
      <c r="AH87" s="252"/>
      <c r="AI87" s="252"/>
      <c r="AJ87" s="252"/>
      <c r="AK87" s="252"/>
      <c r="AL87" s="252"/>
      <c r="AM87" s="252"/>
      <c r="AN87" s="246"/>
      <c r="AO87" s="22"/>
      <c r="AP87" s="22"/>
      <c r="AQ87" s="22"/>
      <c r="AR87" s="22"/>
      <c r="AS87" s="22"/>
      <c r="AT87" s="22"/>
      <c r="AU87" s="22"/>
      <c r="AV87" s="22"/>
      <c r="AW87" s="22"/>
      <c r="AX87" s="22"/>
      <c r="AY87" s="22"/>
    </row>
    <row r="88" spans="1:51" s="247" customFormat="1" ht="27" customHeight="1" x14ac:dyDescent="0.55000000000000004">
      <c r="A88" s="442" t="s">
        <v>124</v>
      </c>
      <c r="B88" s="443"/>
      <c r="C88" s="443"/>
      <c r="D88" s="443"/>
      <c r="E88" s="443"/>
      <c r="F88" s="443"/>
      <c r="G88" s="443"/>
      <c r="H88" s="443"/>
      <c r="I88" s="443"/>
      <c r="J88" s="443"/>
      <c r="K88" s="443"/>
      <c r="L88" s="443"/>
      <c r="M88" s="443"/>
      <c r="N88" s="443"/>
      <c r="O88" s="443"/>
      <c r="P88" s="443"/>
      <c r="Q88" s="443"/>
      <c r="R88" s="443"/>
      <c r="S88" s="443"/>
      <c r="T88" s="443"/>
      <c r="U88" s="443"/>
      <c r="V88" s="443"/>
      <c r="W88" s="443"/>
      <c r="X88" s="443"/>
      <c r="Y88" s="443"/>
      <c r="Z88" s="443"/>
      <c r="AA88" s="443"/>
      <c r="AB88" s="443"/>
      <c r="AC88" s="443"/>
      <c r="AD88" s="443"/>
      <c r="AE88" s="443"/>
      <c r="AF88" s="443"/>
      <c r="AG88" s="443"/>
      <c r="AH88" s="443"/>
      <c r="AI88" s="443"/>
      <c r="AJ88" s="443"/>
      <c r="AK88" s="443"/>
      <c r="AL88" s="443"/>
      <c r="AM88" s="444"/>
      <c r="AN88" s="246"/>
      <c r="AO88" s="22"/>
      <c r="AP88" s="22"/>
      <c r="AQ88" s="22"/>
      <c r="AR88" s="22"/>
      <c r="AS88" s="22"/>
      <c r="AT88" s="22"/>
      <c r="AU88" s="22"/>
      <c r="AV88" s="22"/>
      <c r="AW88" s="22"/>
      <c r="AX88" s="22"/>
      <c r="AY88" s="22"/>
    </row>
    <row r="89" spans="1:51" s="247" customFormat="1" ht="27" customHeight="1" x14ac:dyDescent="0.55000000000000004">
      <c r="A89" s="436" t="s">
        <v>125</v>
      </c>
      <c r="B89" s="437"/>
      <c r="C89" s="437"/>
      <c r="D89" s="437"/>
      <c r="E89" s="437"/>
      <c r="F89" s="437"/>
      <c r="G89" s="437"/>
      <c r="H89" s="437"/>
      <c r="I89" s="438"/>
      <c r="J89" s="439">
        <f>SUMIFS(Input[Cap Out n-Fund E&amp;G],Input[Institution Name],$A$1)</f>
        <v>0</v>
      </c>
      <c r="K89" s="439"/>
      <c r="L89" s="439"/>
      <c r="M89" s="439">
        <f>SUMIFS(Input[Cap Out n-Fund Desg],Input[Institution Name],$A$1)</f>
        <v>0</v>
      </c>
      <c r="N89" s="439"/>
      <c r="O89" s="439"/>
      <c r="P89" s="439">
        <f>SUMIFS(Input[Cap Out n-Fund Aux],Input[Institution Name],$A$1)</f>
        <v>0</v>
      </c>
      <c r="Q89" s="439"/>
      <c r="R89" s="439"/>
      <c r="S89" s="439">
        <f>SUMIFS(Input[Cap Out n-Fund R Exp],Input[Institution Name],$A$1)</f>
        <v>0</v>
      </c>
      <c r="T89" s="439"/>
      <c r="U89" s="439"/>
      <c r="V89" s="439">
        <f>SUMIFS(Input[Cap Out n-Fund Loan],Input[Institution Name],$A$1)</f>
        <v>0</v>
      </c>
      <c r="W89" s="439"/>
      <c r="X89" s="439"/>
      <c r="Y89" s="439">
        <f>SUMIFS(Input[Cap Out n-Fund Annuity],Input[Institution Name],$A$1)</f>
        <v>0</v>
      </c>
      <c r="Z89" s="439"/>
      <c r="AA89" s="439"/>
      <c r="AB89" s="439">
        <f>SUMIFS(Input[Cap Out n-Fund Unexp],Input[Institution Name],$A$1)</f>
        <v>0</v>
      </c>
      <c r="AC89" s="439"/>
      <c r="AD89" s="439"/>
      <c r="AE89" s="439">
        <f>SUMIFS(Input[Cap Out n-Fund R of Ind],Input[Institution Name],$A$1)</f>
        <v>0</v>
      </c>
      <c r="AF89" s="439"/>
      <c r="AG89" s="439"/>
      <c r="AH89" s="439">
        <f>SUMIFS(Input[Cap Out n-Fund Inv in P],Input[Institution Name],$A$1)</f>
        <v>0</v>
      </c>
      <c r="AI89" s="439"/>
      <c r="AJ89" s="439"/>
      <c r="AK89" s="440">
        <f t="shared" ref="AK89:AK90" si="59">SUM(J89:AH89)</f>
        <v>0</v>
      </c>
      <c r="AL89" s="440"/>
      <c r="AM89" s="440"/>
      <c r="AN89" s="246"/>
      <c r="AO89" s="22"/>
      <c r="AP89" s="22"/>
      <c r="AQ89" s="22"/>
      <c r="AR89" s="22"/>
      <c r="AS89" s="22"/>
      <c r="AT89" s="22"/>
      <c r="AU89" s="22"/>
      <c r="AV89" s="22"/>
      <c r="AW89" s="22"/>
      <c r="AX89" s="22"/>
      <c r="AY89" s="22"/>
    </row>
    <row r="90" spans="1:51" s="247" customFormat="1" ht="27" customHeight="1" x14ac:dyDescent="0.55000000000000004">
      <c r="A90" s="445" t="s">
        <v>156</v>
      </c>
      <c r="B90" s="446"/>
      <c r="C90" s="446"/>
      <c r="D90" s="446"/>
      <c r="E90" s="446"/>
      <c r="F90" s="446"/>
      <c r="G90" s="446"/>
      <c r="H90" s="446"/>
      <c r="I90" s="447"/>
      <c r="J90" s="448">
        <f>SUMIFS(Input[M&amp;Nm Xfrs E&amp;G],Input[Institution Name],$A$1)</f>
        <v>0</v>
      </c>
      <c r="K90" s="448"/>
      <c r="L90" s="448"/>
      <c r="M90" s="448">
        <f>SUMIFS(Input[M&amp;Nm Xfrs Desg],Input[Institution Name],$A$1)</f>
        <v>0</v>
      </c>
      <c r="N90" s="448"/>
      <c r="O90" s="448"/>
      <c r="P90" s="448">
        <f>SUMIFS(Input[M&amp;Nm Xfrs Aux],Input[Institution Name],$A$1)</f>
        <v>0</v>
      </c>
      <c r="Q90" s="448"/>
      <c r="R90" s="448"/>
      <c r="S90" s="448">
        <f>SUMIFS(Input[M&amp;Nm Xfrs R Exp],Input[Institution Name],$A$1)</f>
        <v>0</v>
      </c>
      <c r="T90" s="448"/>
      <c r="U90" s="448"/>
      <c r="V90" s="448">
        <f>SUMIFS(Input[M&amp;Nm Xfrs Loan],Input[Institution Name],$A$1)</f>
        <v>0</v>
      </c>
      <c r="W90" s="448"/>
      <c r="X90" s="448"/>
      <c r="Y90" s="448">
        <f>SUMIFS(Input[M&amp;Nm Xfrs Annuity],Input[Institution Name],$A$1)</f>
        <v>0</v>
      </c>
      <c r="Z90" s="448"/>
      <c r="AA90" s="448"/>
      <c r="AB90" s="448">
        <f>SUMIFS(Input[M&amp;Nm Xfrs Unexp],Input[Institution Name],$A$1)</f>
        <v>0</v>
      </c>
      <c r="AC90" s="448"/>
      <c r="AD90" s="448"/>
      <c r="AE90" s="448">
        <f>SUMIFS(Input[M&amp;Nm Xfrs R of Ind],Input[Institution Name],$A$1)</f>
        <v>0</v>
      </c>
      <c r="AF90" s="448"/>
      <c r="AG90" s="448"/>
      <c r="AH90" s="448">
        <f>SUMIFS(Input[M&amp;Nm Xfrs Inv in P],Input[Institution Name],$A$1)</f>
        <v>0</v>
      </c>
      <c r="AI90" s="448"/>
      <c r="AJ90" s="448"/>
      <c r="AK90" s="441">
        <f t="shared" si="59"/>
        <v>0</v>
      </c>
      <c r="AL90" s="441"/>
      <c r="AM90" s="441"/>
      <c r="AN90" s="246"/>
      <c r="AO90" s="22"/>
      <c r="AP90" s="22"/>
      <c r="AQ90" s="22"/>
      <c r="AR90" s="22"/>
      <c r="AS90" s="22"/>
      <c r="AT90" s="22"/>
      <c r="AU90" s="22"/>
      <c r="AV90" s="22"/>
      <c r="AW90" s="22"/>
      <c r="AX90" s="22"/>
      <c r="AY90" s="22"/>
    </row>
    <row r="91" spans="1:51" s="247" customFormat="1" ht="27" customHeight="1" x14ac:dyDescent="0.55000000000000004">
      <c r="A91" s="433" t="s">
        <v>157</v>
      </c>
      <c r="B91" s="434"/>
      <c r="C91" s="434"/>
      <c r="D91" s="434"/>
      <c r="E91" s="434"/>
      <c r="F91" s="434"/>
      <c r="G91" s="434"/>
      <c r="H91" s="434"/>
      <c r="I91" s="435"/>
      <c r="J91" s="431">
        <f>SUMIFS(Input[Bond Xfrs In E&amp;G],Input[Institution Name],$A$1)</f>
        <v>0</v>
      </c>
      <c r="K91" s="431"/>
      <c r="L91" s="431"/>
      <c r="M91" s="431">
        <f>SUMIFS(Input[Bond Xfrs In Desg],Input[Institution Name],$A$1)</f>
        <v>0</v>
      </c>
      <c r="N91" s="431"/>
      <c r="O91" s="431"/>
      <c r="P91" s="431">
        <f>SUMIFS(Input[Bond Xfrs In Aux],Input[Institution Name],$A$1)</f>
        <v>0</v>
      </c>
      <c r="Q91" s="431"/>
      <c r="R91" s="431"/>
      <c r="S91" s="431">
        <f>SUMIFS(Input[Bond Xfrs In R Exp],Input[Institution Name],$A$1)</f>
        <v>0</v>
      </c>
      <c r="T91" s="431"/>
      <c r="U91" s="431"/>
      <c r="V91" s="431">
        <f>SUMIFS(Input[Bond Xfrs In Loan],Input[Institution Name],$A$1)</f>
        <v>0</v>
      </c>
      <c r="W91" s="431"/>
      <c r="X91" s="431"/>
      <c r="Y91" s="431">
        <f>SUMIFS(Input[Bond Xfrs In Annuity],Input[Institution Name],$A$1)</f>
        <v>0</v>
      </c>
      <c r="Z91" s="431"/>
      <c r="AA91" s="431"/>
      <c r="AB91" s="431">
        <f>SUMIFS(Input[Bond Xfrs In Unexp],Input[Institution Name],$A$1)</f>
        <v>0</v>
      </c>
      <c r="AC91" s="431"/>
      <c r="AD91" s="431"/>
      <c r="AE91" s="431">
        <f>SUMIFS(Input[Bond Xfrs In R of Ind],Input[Institution Name],$A$1)</f>
        <v>0</v>
      </c>
      <c r="AF91" s="431"/>
      <c r="AG91" s="431"/>
      <c r="AH91" s="431">
        <f>SUMIFS(Input[Bond Xfrs In Inv in P],Input[Institution Name],$A$1)</f>
        <v>0</v>
      </c>
      <c r="AI91" s="431"/>
      <c r="AJ91" s="431"/>
      <c r="AK91" s="432">
        <f>SUM(J91:AH91)</f>
        <v>0</v>
      </c>
      <c r="AL91" s="432"/>
      <c r="AM91" s="432"/>
      <c r="AN91" s="246"/>
      <c r="AO91" s="22"/>
      <c r="AP91" s="22"/>
      <c r="AQ91" s="22"/>
      <c r="AR91" s="22"/>
      <c r="AS91" s="22"/>
      <c r="AT91" s="22"/>
      <c r="AU91" s="22"/>
      <c r="AV91" s="22"/>
      <c r="AW91" s="22"/>
      <c r="AX91" s="22"/>
      <c r="AY91" s="22"/>
    </row>
    <row r="92" spans="1:51" s="247" customFormat="1" ht="27" customHeight="1" x14ac:dyDescent="0.55000000000000004">
      <c r="A92" s="433" t="s">
        <v>158</v>
      </c>
      <c r="B92" s="434"/>
      <c r="C92" s="434"/>
      <c r="D92" s="434"/>
      <c r="E92" s="434"/>
      <c r="F92" s="434"/>
      <c r="G92" s="434"/>
      <c r="H92" s="434"/>
      <c r="I92" s="435"/>
      <c r="J92" s="431">
        <f>SUMIFS(Input[Debt Srv Pay E&amp;G],Input[Institution Name],$A$1)</f>
        <v>0</v>
      </c>
      <c r="K92" s="431"/>
      <c r="L92" s="431"/>
      <c r="M92" s="431">
        <f>SUMIFS(Input[Debt Srv Pay Desg],Input[Institution Name],$A$1)</f>
        <v>0</v>
      </c>
      <c r="N92" s="431"/>
      <c r="O92" s="431"/>
      <c r="P92" s="431">
        <f>SUMIFS(Input[Debt Srv Pay Aux],Input[Institution Name],$A$1)</f>
        <v>0</v>
      </c>
      <c r="Q92" s="431"/>
      <c r="R92" s="431"/>
      <c r="S92" s="431">
        <f>SUMIFS(Input[Debt Srv Pay R Exp],Input[Institution Name],$A$1)</f>
        <v>0</v>
      </c>
      <c r="T92" s="431"/>
      <c r="U92" s="431"/>
      <c r="V92" s="431">
        <f>SUMIFS(Input[Debt Srv Pay Loan],Input[Institution Name],$A$1)</f>
        <v>0</v>
      </c>
      <c r="W92" s="431"/>
      <c r="X92" s="431"/>
      <c r="Y92" s="431">
        <f>SUMIFS(Input[Debt Srv Pay Annuity],Input[Institution Name],$A$1)</f>
        <v>0</v>
      </c>
      <c r="Z92" s="431"/>
      <c r="AA92" s="431"/>
      <c r="AB92" s="431">
        <f>SUMIFS(Input[Debt Srv Pay Unexp],Input[Institution Name],$A$1)</f>
        <v>0</v>
      </c>
      <c r="AC92" s="431"/>
      <c r="AD92" s="431"/>
      <c r="AE92" s="431">
        <f>SUMIFS(Input[Debt Srv Pay R of Ind],Input[Institution Name],$A$1)</f>
        <v>0</v>
      </c>
      <c r="AF92" s="431"/>
      <c r="AG92" s="431"/>
      <c r="AH92" s="431">
        <f>SUMIFS(Input[Debt Srv Pay Inv in P],Input[Institution Name],$A$1)</f>
        <v>0</v>
      </c>
      <c r="AI92" s="431"/>
      <c r="AJ92" s="431"/>
      <c r="AK92" s="432">
        <f>SUM(J92:AH92)</f>
        <v>0</v>
      </c>
      <c r="AL92" s="432"/>
      <c r="AM92" s="432"/>
      <c r="AN92" s="246"/>
      <c r="AO92" s="22"/>
      <c r="AP92" s="22"/>
      <c r="AQ92" s="22"/>
      <c r="AR92" s="22"/>
      <c r="AS92" s="22"/>
      <c r="AT92" s="22"/>
      <c r="AU92" s="22"/>
      <c r="AV92" s="22"/>
      <c r="AW92" s="22"/>
      <c r="AX92" s="22"/>
      <c r="AY92" s="22"/>
    </row>
    <row r="93" spans="1:51" s="247" customFormat="1" ht="27" customHeight="1" x14ac:dyDescent="0.55000000000000004">
      <c r="A93" s="485" t="s">
        <v>99</v>
      </c>
      <c r="B93" s="485"/>
      <c r="C93" s="485"/>
      <c r="D93" s="485"/>
      <c r="E93" s="485"/>
      <c r="F93" s="485"/>
      <c r="G93" s="485"/>
      <c r="H93" s="485"/>
      <c r="I93" s="485"/>
      <c r="J93" s="466">
        <f>SUM(J89:L92)</f>
        <v>0</v>
      </c>
      <c r="K93" s="466"/>
      <c r="L93" s="466"/>
      <c r="M93" s="466">
        <f t="shared" ref="M93" si="60">SUM(M89:O92)</f>
        <v>0</v>
      </c>
      <c r="N93" s="466"/>
      <c r="O93" s="466"/>
      <c r="P93" s="466">
        <f t="shared" ref="P93" si="61">SUM(P89:R92)</f>
        <v>0</v>
      </c>
      <c r="Q93" s="466"/>
      <c r="R93" s="466"/>
      <c r="S93" s="466">
        <f t="shared" ref="S93" si="62">SUM(S89:U92)</f>
        <v>0</v>
      </c>
      <c r="T93" s="466"/>
      <c r="U93" s="466"/>
      <c r="V93" s="466">
        <f t="shared" ref="V93" si="63">SUM(V89:X92)</f>
        <v>0</v>
      </c>
      <c r="W93" s="466"/>
      <c r="X93" s="466"/>
      <c r="Y93" s="466">
        <f t="shared" ref="Y93" si="64">SUM(Y89:AA92)</f>
        <v>0</v>
      </c>
      <c r="Z93" s="466"/>
      <c r="AA93" s="466"/>
      <c r="AB93" s="466">
        <f t="shared" ref="AB93" si="65">SUM(AB89:AD92)</f>
        <v>0</v>
      </c>
      <c r="AC93" s="466"/>
      <c r="AD93" s="466"/>
      <c r="AE93" s="466">
        <f t="shared" ref="AE93" si="66">SUM(AE89:AG92)</f>
        <v>0</v>
      </c>
      <c r="AF93" s="466"/>
      <c r="AG93" s="466"/>
      <c r="AH93" s="466">
        <f t="shared" ref="AH93" si="67">SUM(AH89:AJ92)</f>
        <v>0</v>
      </c>
      <c r="AI93" s="466"/>
      <c r="AJ93" s="466"/>
      <c r="AK93" s="466">
        <f t="shared" ref="AK93" si="68">SUM(AK89:AM92)</f>
        <v>0</v>
      </c>
      <c r="AL93" s="466"/>
      <c r="AM93" s="466"/>
      <c r="AN93" s="246"/>
      <c r="AO93" s="22"/>
      <c r="AP93" s="22"/>
      <c r="AQ93" s="22"/>
      <c r="AR93" s="22"/>
      <c r="AS93" s="22"/>
      <c r="AT93" s="22"/>
      <c r="AU93" s="22"/>
      <c r="AV93" s="22"/>
      <c r="AW93" s="22"/>
      <c r="AX93" s="22"/>
      <c r="AY93" s="22"/>
    </row>
    <row r="94" spans="1:51" s="247" customFormat="1" ht="27" customHeight="1" x14ac:dyDescent="0.75">
      <c r="A94" s="253"/>
      <c r="B94" s="253"/>
      <c r="C94" s="253"/>
      <c r="D94" s="253"/>
      <c r="E94" s="253"/>
      <c r="F94" s="253"/>
      <c r="G94" s="253"/>
      <c r="H94" s="253"/>
      <c r="I94" s="253"/>
      <c r="J94" s="9"/>
      <c r="K94" s="9"/>
      <c r="L94" s="9"/>
      <c r="M94" s="9"/>
      <c r="N94" s="9"/>
      <c r="O94" s="9"/>
      <c r="P94" s="9"/>
      <c r="Q94" s="9"/>
      <c r="R94" s="9"/>
      <c r="S94" s="9"/>
      <c r="T94" s="9"/>
      <c r="U94" s="9"/>
      <c r="V94" s="9"/>
      <c r="W94" s="9"/>
      <c r="X94" s="9"/>
      <c r="Y94" s="9"/>
      <c r="Z94" s="9"/>
      <c r="AA94" s="9"/>
      <c r="AB94" s="9"/>
      <c r="AC94" s="9"/>
      <c r="AD94" s="9"/>
      <c r="AE94" s="9"/>
      <c r="AF94" s="9"/>
      <c r="AG94" s="9"/>
      <c r="AH94" s="9"/>
      <c r="AI94" s="9"/>
      <c r="AJ94" s="9"/>
      <c r="AK94" s="252"/>
      <c r="AL94" s="252"/>
      <c r="AM94" s="252"/>
      <c r="AN94" s="246"/>
      <c r="AO94" s="22"/>
      <c r="AP94" s="22"/>
      <c r="AQ94" s="22"/>
      <c r="AR94" s="22"/>
      <c r="AS94" s="22"/>
      <c r="AT94" s="22"/>
      <c r="AU94" s="22"/>
      <c r="AV94" s="22"/>
      <c r="AW94" s="22"/>
      <c r="AX94" s="22"/>
      <c r="AY94" s="22"/>
    </row>
    <row r="95" spans="1:51" s="247" customFormat="1" ht="27" customHeight="1" x14ac:dyDescent="0.55000000000000004">
      <c r="A95" s="442" t="s">
        <v>126</v>
      </c>
      <c r="B95" s="443"/>
      <c r="C95" s="443"/>
      <c r="D95" s="443"/>
      <c r="E95" s="443"/>
      <c r="F95" s="443"/>
      <c r="G95" s="443"/>
      <c r="H95" s="443"/>
      <c r="I95" s="443"/>
      <c r="J95" s="443"/>
      <c r="K95" s="443"/>
      <c r="L95" s="443"/>
      <c r="M95" s="443"/>
      <c r="N95" s="443"/>
      <c r="O95" s="443"/>
      <c r="P95" s="443"/>
      <c r="Q95" s="443"/>
      <c r="R95" s="443"/>
      <c r="S95" s="443"/>
      <c r="T95" s="443"/>
      <c r="U95" s="443"/>
      <c r="V95" s="443"/>
      <c r="W95" s="443"/>
      <c r="X95" s="443"/>
      <c r="Y95" s="443"/>
      <c r="Z95" s="443"/>
      <c r="AA95" s="443"/>
      <c r="AB95" s="443"/>
      <c r="AC95" s="443"/>
      <c r="AD95" s="443"/>
      <c r="AE95" s="443"/>
      <c r="AF95" s="443"/>
      <c r="AG95" s="443"/>
      <c r="AH95" s="443"/>
      <c r="AI95" s="443"/>
      <c r="AJ95" s="443"/>
      <c r="AK95" s="443"/>
      <c r="AL95" s="443"/>
      <c r="AM95" s="444"/>
      <c r="AN95" s="246"/>
      <c r="AO95" s="22"/>
      <c r="AP95" s="22"/>
      <c r="AQ95" s="22"/>
      <c r="AR95" s="22"/>
      <c r="AS95" s="22"/>
      <c r="AT95" s="22"/>
      <c r="AU95" s="22"/>
      <c r="AV95" s="22"/>
      <c r="AW95" s="22"/>
      <c r="AX95" s="22"/>
      <c r="AY95" s="22"/>
    </row>
    <row r="96" spans="1:51" s="247" customFormat="1" ht="27" customHeight="1" x14ac:dyDescent="0.55000000000000004">
      <c r="A96" s="436" t="s">
        <v>159</v>
      </c>
      <c r="B96" s="437"/>
      <c r="C96" s="437"/>
      <c r="D96" s="437"/>
      <c r="E96" s="437"/>
      <c r="F96" s="437"/>
      <c r="G96" s="437"/>
      <c r="H96" s="437"/>
      <c r="I96" s="438"/>
      <c r="J96" s="439">
        <f>SUMIFS(Input[Unreal G/L E&amp;G],Input[Institution Name],$A$1)</f>
        <v>0</v>
      </c>
      <c r="K96" s="439"/>
      <c r="L96" s="439"/>
      <c r="M96" s="439">
        <f>SUMIFS(Input[Unreal G/L Desg],Input[Institution Name],$A$1)</f>
        <v>0</v>
      </c>
      <c r="N96" s="439"/>
      <c r="O96" s="439"/>
      <c r="P96" s="439">
        <f>SUMIFS(Input[Unreal G/L Aux],Input[Institution Name],$A$1)</f>
        <v>0</v>
      </c>
      <c r="Q96" s="439"/>
      <c r="R96" s="439"/>
      <c r="S96" s="439">
        <f>SUMIFS(Input[Unreal G/L R Exp],Input[Institution Name],$A$1)</f>
        <v>0</v>
      </c>
      <c r="T96" s="439"/>
      <c r="U96" s="439"/>
      <c r="V96" s="439">
        <f>SUMIFS(Input[Unreal G/L Loan],Input[Institution Name],$A$1)</f>
        <v>0</v>
      </c>
      <c r="W96" s="439"/>
      <c r="X96" s="439"/>
      <c r="Y96" s="439">
        <f>SUMIFS(Input[Unreal G/L Annuity],Input[Institution Name],$A$1)</f>
        <v>0</v>
      </c>
      <c r="Z96" s="439"/>
      <c r="AA96" s="439"/>
      <c r="AB96" s="439">
        <f>SUMIFS(Input[Unreal G/L Unexp],Input[Institution Name],$A$1)</f>
        <v>0</v>
      </c>
      <c r="AC96" s="439"/>
      <c r="AD96" s="439"/>
      <c r="AE96" s="439">
        <f>SUMIFS(Input[Unreal G/L R of Ind],Input[Institution Name],$A$1)</f>
        <v>0</v>
      </c>
      <c r="AF96" s="439"/>
      <c r="AG96" s="439"/>
      <c r="AH96" s="439">
        <f>SUMIFS(Input[Unreal G/L Inv in P],Input[Institution Name],$A$1)</f>
        <v>0</v>
      </c>
      <c r="AI96" s="439"/>
      <c r="AJ96" s="439"/>
      <c r="AK96" s="440">
        <f t="shared" ref="AK96:AK97" si="69">SUM(J96:AH96)</f>
        <v>0</v>
      </c>
      <c r="AL96" s="440"/>
      <c r="AM96" s="440"/>
      <c r="AN96" s="246"/>
      <c r="AO96" s="22"/>
      <c r="AP96" s="22"/>
      <c r="AQ96" s="22"/>
      <c r="AR96" s="22"/>
      <c r="AS96" s="22"/>
      <c r="AT96" s="22"/>
      <c r="AU96" s="22"/>
      <c r="AV96" s="22"/>
      <c r="AW96" s="22"/>
      <c r="AX96" s="22"/>
      <c r="AY96" s="22"/>
    </row>
    <row r="97" spans="1:51" s="247" customFormat="1" ht="27" customHeight="1" x14ac:dyDescent="0.55000000000000004">
      <c r="A97" s="445" t="s">
        <v>160</v>
      </c>
      <c r="B97" s="446"/>
      <c r="C97" s="446"/>
      <c r="D97" s="446"/>
      <c r="E97" s="446"/>
      <c r="F97" s="446"/>
      <c r="G97" s="446"/>
      <c r="H97" s="446"/>
      <c r="I97" s="447"/>
      <c r="J97" s="448">
        <f>SUMIFS(Input[Add End E&amp;G],Input[Institution Name],$A$1)</f>
        <v>0</v>
      </c>
      <c r="K97" s="448"/>
      <c r="L97" s="448"/>
      <c r="M97" s="448">
        <f>SUMIFS(Input[Add End Desg],Input[Institution Name],$A$1)</f>
        <v>0</v>
      </c>
      <c r="N97" s="448"/>
      <c r="O97" s="448"/>
      <c r="P97" s="448">
        <f>SUMIFS(Input[Add End Aux],Input[Institution Name],$A$1)</f>
        <v>0</v>
      </c>
      <c r="Q97" s="448"/>
      <c r="R97" s="448"/>
      <c r="S97" s="448">
        <f>SUMIFS(Input[Add End R Exp],Input[Institution Name],$A$1)</f>
        <v>0</v>
      </c>
      <c r="T97" s="448"/>
      <c r="U97" s="448"/>
      <c r="V97" s="448">
        <f>SUMIFS(Input[Add End Loan],Input[Institution Name],$A$1)</f>
        <v>0</v>
      </c>
      <c r="W97" s="448"/>
      <c r="X97" s="448"/>
      <c r="Y97" s="448">
        <f>SUMIFS(Input[Add End Annuity],Input[Institution Name],$A$1)</f>
        <v>0</v>
      </c>
      <c r="Z97" s="448"/>
      <c r="AA97" s="448"/>
      <c r="AB97" s="448">
        <f>SUMIFS(Input[Add End Unexp],Input[Institution Name],$A$1)</f>
        <v>0</v>
      </c>
      <c r="AC97" s="448"/>
      <c r="AD97" s="448"/>
      <c r="AE97" s="448">
        <f>SUMIFS(Input[Add End R of Ind],Input[Institution Name],$A$1)</f>
        <v>0</v>
      </c>
      <c r="AF97" s="448"/>
      <c r="AG97" s="448"/>
      <c r="AH97" s="448">
        <f>SUMIFS(Input[Add End Inv in P],Input[Institution Name],$A$1)</f>
        <v>0</v>
      </c>
      <c r="AI97" s="448"/>
      <c r="AJ97" s="448"/>
      <c r="AK97" s="441">
        <f t="shared" si="69"/>
        <v>0</v>
      </c>
      <c r="AL97" s="441"/>
      <c r="AM97" s="441"/>
      <c r="AN97" s="246"/>
      <c r="AO97" s="22"/>
      <c r="AP97" s="22"/>
      <c r="AQ97" s="22"/>
      <c r="AR97" s="22"/>
      <c r="AS97" s="22"/>
      <c r="AT97" s="22"/>
      <c r="AU97" s="22"/>
      <c r="AV97" s="22"/>
      <c r="AW97" s="22"/>
      <c r="AX97" s="22"/>
      <c r="AY97" s="22"/>
    </row>
    <row r="98" spans="1:51" s="247" customFormat="1" ht="27" customHeight="1" x14ac:dyDescent="0.55000000000000004">
      <c r="A98" s="485" t="s">
        <v>99</v>
      </c>
      <c r="B98" s="485"/>
      <c r="C98" s="485"/>
      <c r="D98" s="485"/>
      <c r="E98" s="485"/>
      <c r="F98" s="485"/>
      <c r="G98" s="485"/>
      <c r="H98" s="485"/>
      <c r="I98" s="485"/>
      <c r="J98" s="466">
        <f>SUM(J96:L97)</f>
        <v>0</v>
      </c>
      <c r="K98" s="466"/>
      <c r="L98" s="466"/>
      <c r="M98" s="466">
        <f t="shared" ref="M98" si="70">SUM(M96:O97)</f>
        <v>0</v>
      </c>
      <c r="N98" s="466"/>
      <c r="O98" s="466"/>
      <c r="P98" s="466">
        <f t="shared" ref="P98" si="71">SUM(P96:R97)</f>
        <v>0</v>
      </c>
      <c r="Q98" s="466"/>
      <c r="R98" s="466"/>
      <c r="S98" s="466">
        <f t="shared" ref="S98" si="72">SUM(S96:U97)</f>
        <v>0</v>
      </c>
      <c r="T98" s="466"/>
      <c r="U98" s="466"/>
      <c r="V98" s="466">
        <f t="shared" ref="V98" si="73">SUM(V96:X97)</f>
        <v>0</v>
      </c>
      <c r="W98" s="466"/>
      <c r="X98" s="466"/>
      <c r="Y98" s="466">
        <f t="shared" ref="Y98" si="74">SUM(Y96:AA97)</f>
        <v>0</v>
      </c>
      <c r="Z98" s="466"/>
      <c r="AA98" s="466"/>
      <c r="AB98" s="466">
        <f t="shared" ref="AB98" si="75">SUM(AB96:AD97)</f>
        <v>0</v>
      </c>
      <c r="AC98" s="466"/>
      <c r="AD98" s="466"/>
      <c r="AE98" s="466">
        <f t="shared" ref="AE98" si="76">SUM(AE96:AG97)</f>
        <v>0</v>
      </c>
      <c r="AF98" s="466"/>
      <c r="AG98" s="466"/>
      <c r="AH98" s="466">
        <f t="shared" ref="AH98" si="77">SUM(AH96:AJ97)</f>
        <v>0</v>
      </c>
      <c r="AI98" s="466"/>
      <c r="AJ98" s="466"/>
      <c r="AK98" s="466">
        <f t="shared" ref="AK98" si="78">SUM(AK96:AM97)</f>
        <v>0</v>
      </c>
      <c r="AL98" s="466"/>
      <c r="AM98" s="466"/>
      <c r="AN98" s="246"/>
      <c r="AO98" s="22"/>
      <c r="AP98" s="22"/>
      <c r="AQ98" s="22"/>
      <c r="AR98" s="22"/>
      <c r="AS98" s="22"/>
      <c r="AT98" s="22"/>
      <c r="AU98" s="22"/>
      <c r="AV98" s="22"/>
      <c r="AW98" s="22"/>
      <c r="AX98" s="22"/>
      <c r="AY98" s="22"/>
    </row>
    <row r="99" spans="1:51" s="247" customFormat="1" ht="27" customHeight="1" x14ac:dyDescent="0.75">
      <c r="A99" s="251"/>
      <c r="B99" s="251"/>
      <c r="C99" s="251"/>
      <c r="D99" s="251"/>
      <c r="E99" s="251"/>
      <c r="F99" s="251"/>
      <c r="G99" s="251"/>
      <c r="H99" s="251"/>
      <c r="I99" s="251"/>
      <c r="J99" s="252"/>
      <c r="K99" s="252"/>
      <c r="L99" s="252"/>
      <c r="M99" s="252"/>
      <c r="N99" s="252"/>
      <c r="O99" s="252"/>
      <c r="P99" s="252"/>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46"/>
      <c r="AO99" s="22"/>
      <c r="AP99" s="22"/>
      <c r="AQ99" s="22"/>
      <c r="AR99" s="22"/>
      <c r="AS99" s="22"/>
      <c r="AT99" s="22"/>
      <c r="AU99" s="22"/>
      <c r="AV99" s="22"/>
      <c r="AW99" s="22"/>
      <c r="AX99" s="22"/>
      <c r="AY99" s="22"/>
    </row>
    <row r="100" spans="1:51" s="247" customFormat="1" ht="27" customHeight="1" x14ac:dyDescent="0.55000000000000004">
      <c r="A100" s="485" t="s">
        <v>1630</v>
      </c>
      <c r="B100" s="485"/>
      <c r="C100" s="485"/>
      <c r="D100" s="485"/>
      <c r="E100" s="485"/>
      <c r="F100" s="485"/>
      <c r="G100" s="485"/>
      <c r="H100" s="485"/>
      <c r="I100" s="485"/>
      <c r="J100" s="466">
        <f>J68-J86+J93+J98</f>
        <v>0</v>
      </c>
      <c r="K100" s="466"/>
      <c r="L100" s="466"/>
      <c r="M100" s="466">
        <f>M68-M86+M93+M98</f>
        <v>0</v>
      </c>
      <c r="N100" s="466"/>
      <c r="O100" s="466"/>
      <c r="P100" s="466">
        <f>P68-P86+P93+P98</f>
        <v>0</v>
      </c>
      <c r="Q100" s="466"/>
      <c r="R100" s="466"/>
      <c r="S100" s="466">
        <f>S68-S86+S93+S98</f>
        <v>0</v>
      </c>
      <c r="T100" s="466"/>
      <c r="U100" s="466"/>
      <c r="V100" s="466">
        <f>V68-V86+V93+V98</f>
        <v>0</v>
      </c>
      <c r="W100" s="466"/>
      <c r="X100" s="466"/>
      <c r="Y100" s="466">
        <f>Y68-Y86+Y93+Y98</f>
        <v>0</v>
      </c>
      <c r="Z100" s="466"/>
      <c r="AA100" s="466"/>
      <c r="AB100" s="466">
        <f>AB68-AB86+AB93+AB98</f>
        <v>0</v>
      </c>
      <c r="AC100" s="466"/>
      <c r="AD100" s="466"/>
      <c r="AE100" s="466">
        <f>AE68-AE86+AE93+AE98</f>
        <v>0</v>
      </c>
      <c r="AF100" s="466"/>
      <c r="AG100" s="466"/>
      <c r="AH100" s="466">
        <f>AH68-AH86+AH93+AH98</f>
        <v>0</v>
      </c>
      <c r="AI100" s="466"/>
      <c r="AJ100" s="466"/>
      <c r="AK100" s="466">
        <f>AK68-AK86+AK93+AK98</f>
        <v>0</v>
      </c>
      <c r="AL100" s="466"/>
      <c r="AM100" s="466"/>
      <c r="AN100" s="246"/>
      <c r="AO100" s="22"/>
      <c r="AP100" s="22"/>
      <c r="AQ100" s="22"/>
      <c r="AR100" s="22"/>
      <c r="AS100" s="22"/>
      <c r="AT100" s="22"/>
      <c r="AU100" s="22"/>
      <c r="AV100" s="22"/>
      <c r="AW100" s="22"/>
      <c r="AX100" s="22"/>
      <c r="AY100" s="22"/>
    </row>
    <row r="101" spans="1:51" s="247" customFormat="1" ht="27" customHeight="1" x14ac:dyDescent="0.75">
      <c r="A101" s="253"/>
      <c r="B101" s="253"/>
      <c r="C101" s="253"/>
      <c r="D101" s="253"/>
      <c r="E101" s="253"/>
      <c r="F101" s="253"/>
      <c r="G101" s="253"/>
      <c r="H101" s="253"/>
      <c r="I101" s="253"/>
      <c r="J101" s="252"/>
      <c r="K101" s="252"/>
      <c r="L101" s="252"/>
      <c r="M101" s="252"/>
      <c r="N101" s="252"/>
      <c r="O101" s="252"/>
      <c r="P101" s="252"/>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46"/>
      <c r="AO101" s="22"/>
      <c r="AP101" s="22"/>
      <c r="AQ101" s="22"/>
      <c r="AR101" s="22"/>
      <c r="AS101" s="22"/>
      <c r="AT101" s="22"/>
      <c r="AU101" s="22"/>
      <c r="AV101" s="22"/>
      <c r="AW101" s="22"/>
      <c r="AX101" s="22"/>
      <c r="AY101" s="22"/>
    </row>
    <row r="102" spans="1:51" s="247" customFormat="1" ht="27" customHeight="1" x14ac:dyDescent="0.55000000000000004">
      <c r="A102" s="442"/>
      <c r="B102" s="443"/>
      <c r="C102" s="443"/>
      <c r="D102" s="443"/>
      <c r="E102" s="443"/>
      <c r="F102" s="443"/>
      <c r="G102" s="443"/>
      <c r="H102" s="443"/>
      <c r="I102" s="443"/>
      <c r="J102" s="443"/>
      <c r="K102" s="443"/>
      <c r="L102" s="443"/>
      <c r="M102" s="443"/>
      <c r="N102" s="443"/>
      <c r="O102" s="443"/>
      <c r="P102" s="443"/>
      <c r="Q102" s="443"/>
      <c r="R102" s="443"/>
      <c r="S102" s="443"/>
      <c r="T102" s="443"/>
      <c r="U102" s="443"/>
      <c r="V102" s="443"/>
      <c r="W102" s="443"/>
      <c r="X102" s="443"/>
      <c r="Y102" s="443"/>
      <c r="Z102" s="443"/>
      <c r="AA102" s="443"/>
      <c r="AB102" s="443"/>
      <c r="AC102" s="443"/>
      <c r="AD102" s="443"/>
      <c r="AE102" s="443"/>
      <c r="AF102" s="443"/>
      <c r="AG102" s="443"/>
      <c r="AH102" s="443"/>
      <c r="AI102" s="443"/>
      <c r="AJ102" s="443"/>
      <c r="AK102" s="443"/>
      <c r="AL102" s="443"/>
      <c r="AM102" s="444"/>
      <c r="AN102" s="246"/>
      <c r="AO102" s="22"/>
      <c r="AP102" s="22"/>
      <c r="AQ102" s="22"/>
      <c r="AR102" s="22"/>
      <c r="AS102" s="22"/>
      <c r="AT102" s="22"/>
      <c r="AU102" s="22"/>
      <c r="AV102" s="22"/>
      <c r="AW102" s="22"/>
      <c r="AX102" s="22"/>
      <c r="AY102" s="22"/>
    </row>
    <row r="103" spans="1:51" s="247" customFormat="1" ht="27" customHeight="1" x14ac:dyDescent="0.55000000000000004">
      <c r="A103" s="436" t="s">
        <v>127</v>
      </c>
      <c r="B103" s="437"/>
      <c r="C103" s="437"/>
      <c r="D103" s="437"/>
      <c r="E103" s="437"/>
      <c r="F103" s="437"/>
      <c r="G103" s="437"/>
      <c r="H103" s="437"/>
      <c r="I103" s="438"/>
      <c r="J103" s="439">
        <f>SUMIFS(Input[Bond Proceeds E&amp;G],Input[Institution Name],$A$1)</f>
        <v>0</v>
      </c>
      <c r="K103" s="439"/>
      <c r="L103" s="439"/>
      <c r="M103" s="439">
        <f>SUMIFS(Input[Bond Proceeds Desg],Input[Institution Name],$A$1)</f>
        <v>0</v>
      </c>
      <c r="N103" s="439"/>
      <c r="O103" s="439"/>
      <c r="P103" s="439">
        <f>SUMIFS(Input[Bond Proceeds Aux],Input[Institution Name],$A$1)</f>
        <v>0</v>
      </c>
      <c r="Q103" s="439"/>
      <c r="R103" s="439"/>
      <c r="S103" s="439">
        <f>SUMIFS(Input[Bond Proceeds R Exp],Input[Institution Name],$A$1)</f>
        <v>0</v>
      </c>
      <c r="T103" s="439"/>
      <c r="U103" s="439"/>
      <c r="V103" s="439">
        <f>SUMIFS(Input[Bond Proceeds Loan],Input[Institution Name],$A$1)</f>
        <v>0</v>
      </c>
      <c r="W103" s="439"/>
      <c r="X103" s="439"/>
      <c r="Y103" s="439">
        <f>SUMIFS(Input[Bond Proceeds Annuity],Input[Institution Name],$A$1)</f>
        <v>0</v>
      </c>
      <c r="Z103" s="439"/>
      <c r="AA103" s="439"/>
      <c r="AB103" s="439">
        <f>SUMIFS(Input[Bond Proceeds Unexp],Input[Institution Name],$A$1)</f>
        <v>0</v>
      </c>
      <c r="AC103" s="439"/>
      <c r="AD103" s="439"/>
      <c r="AE103" s="439">
        <f>SUMIFS(Input[Bond Proceeds R of Ind],Input[Institution Name],$A$1)</f>
        <v>0</v>
      </c>
      <c r="AF103" s="439"/>
      <c r="AG103" s="439"/>
      <c r="AH103" s="439">
        <f>SUMIFS(Input[Bond Proceeds Inv in P],Input[Institution Name],$A$1)</f>
        <v>0</v>
      </c>
      <c r="AI103" s="439"/>
      <c r="AJ103" s="439"/>
      <c r="AK103" s="440">
        <f t="shared" ref="AK103:AK108" si="79">SUM(J103:AH103)</f>
        <v>0</v>
      </c>
      <c r="AL103" s="440"/>
      <c r="AM103" s="440"/>
      <c r="AN103" s="246"/>
      <c r="AO103" s="22"/>
      <c r="AP103" s="22"/>
      <c r="AQ103" s="22"/>
      <c r="AR103" s="22"/>
      <c r="AS103" s="22"/>
      <c r="AT103" s="22"/>
      <c r="AU103" s="22"/>
      <c r="AV103" s="22"/>
      <c r="AW103" s="22"/>
      <c r="AX103" s="22"/>
      <c r="AY103" s="22"/>
    </row>
    <row r="104" spans="1:51" s="247" customFormat="1" ht="27" customHeight="1" x14ac:dyDescent="0.55000000000000004">
      <c r="A104" s="445" t="s">
        <v>128</v>
      </c>
      <c r="B104" s="446"/>
      <c r="C104" s="446"/>
      <c r="D104" s="446"/>
      <c r="E104" s="446"/>
      <c r="F104" s="446"/>
      <c r="G104" s="446"/>
      <c r="H104" s="446"/>
      <c r="I104" s="447"/>
      <c r="J104" s="448">
        <f>SUMIFS(Input[Dep Exp E&amp;G],Input[Institution Name],$A$1)</f>
        <v>0</v>
      </c>
      <c r="K104" s="448"/>
      <c r="L104" s="448"/>
      <c r="M104" s="448">
        <f>SUMIFS(Input[Dep Exp Desg],Input[Institution Name],$A$1)</f>
        <v>0</v>
      </c>
      <c r="N104" s="448"/>
      <c r="O104" s="448"/>
      <c r="P104" s="448">
        <f>SUMIFS(Input[Dep Exp Aux],Input[Institution Name],$A$1)</f>
        <v>0</v>
      </c>
      <c r="Q104" s="448"/>
      <c r="R104" s="448"/>
      <c r="S104" s="448">
        <f>SUMIFS(Input[Dep Exp R Exp],Input[Institution Name],$A$1)</f>
        <v>0</v>
      </c>
      <c r="T104" s="448"/>
      <c r="U104" s="448"/>
      <c r="V104" s="448">
        <f>SUMIFS(Input[Dep Exp Loan],Input[Institution Name],$A$1)</f>
        <v>0</v>
      </c>
      <c r="W104" s="448"/>
      <c r="X104" s="448"/>
      <c r="Y104" s="448">
        <f>SUMIFS(Input[Dep Exp Annuity],Input[Institution Name],$A$1)</f>
        <v>0</v>
      </c>
      <c r="Z104" s="448"/>
      <c r="AA104" s="448"/>
      <c r="AB104" s="448">
        <f>SUMIFS(Input[Dep Exp Unexp],Input[Institution Name],$A$1)</f>
        <v>0</v>
      </c>
      <c r="AC104" s="448"/>
      <c r="AD104" s="448"/>
      <c r="AE104" s="448">
        <f>SUMIFS(Input[Dep Exp R of Ind],Input[Institution Name],$A$1)</f>
        <v>0</v>
      </c>
      <c r="AF104" s="448"/>
      <c r="AG104" s="448"/>
      <c r="AH104" s="448">
        <f>SUMIFS(Input[Dep Exp Inv in P],Input[Institution Name],$A$1)</f>
        <v>0</v>
      </c>
      <c r="AI104" s="448"/>
      <c r="AJ104" s="448"/>
      <c r="AK104" s="441">
        <f t="shared" si="79"/>
        <v>0</v>
      </c>
      <c r="AL104" s="441"/>
      <c r="AM104" s="441"/>
      <c r="AN104" s="246"/>
      <c r="AO104" s="22"/>
      <c r="AP104" s="22"/>
      <c r="AQ104" s="22"/>
      <c r="AR104" s="22"/>
      <c r="AS104" s="22"/>
      <c r="AT104" s="22"/>
      <c r="AU104" s="22"/>
      <c r="AV104" s="22"/>
      <c r="AW104" s="22"/>
      <c r="AX104" s="22"/>
      <c r="AY104" s="22"/>
    </row>
    <row r="105" spans="1:51" s="247" customFormat="1" ht="27" customHeight="1" x14ac:dyDescent="0.55000000000000004">
      <c r="A105" s="433" t="s">
        <v>129</v>
      </c>
      <c r="B105" s="434"/>
      <c r="C105" s="434"/>
      <c r="D105" s="434"/>
      <c r="E105" s="434"/>
      <c r="F105" s="434"/>
      <c r="G105" s="434"/>
      <c r="H105" s="434"/>
      <c r="I105" s="435"/>
      <c r="J105" s="431">
        <f>SUMIFS(Input[Xfr Cap Sys E&amp;G],Input[Institution Name],$A$1)</f>
        <v>0</v>
      </c>
      <c r="K105" s="431"/>
      <c r="L105" s="431"/>
      <c r="M105" s="431">
        <f>SUMIFS(Input[Xfr Cap Sys Desg],Input[Institution Name],$A$1)</f>
        <v>0</v>
      </c>
      <c r="N105" s="431"/>
      <c r="O105" s="431"/>
      <c r="P105" s="431">
        <f>SUMIFS(Input[Xfr Cap Sys Aux],Input[Institution Name],$A$1)</f>
        <v>0</v>
      </c>
      <c r="Q105" s="431"/>
      <c r="R105" s="431"/>
      <c r="S105" s="431">
        <f>SUMIFS(Input[Xfr Cap Sys R Exp],Input[Institution Name],$A$1)</f>
        <v>0</v>
      </c>
      <c r="T105" s="431"/>
      <c r="U105" s="431"/>
      <c r="V105" s="431">
        <f>SUMIFS(Input[Xfr Cap Sys Loan],Input[Institution Name],$A$1)</f>
        <v>0</v>
      </c>
      <c r="W105" s="431"/>
      <c r="X105" s="431"/>
      <c r="Y105" s="431">
        <f>SUMIFS(Input[Xfr Cap Sys Annuity],Input[Institution Name],$A$1)</f>
        <v>0</v>
      </c>
      <c r="Z105" s="431"/>
      <c r="AA105" s="431"/>
      <c r="AB105" s="431">
        <f>SUMIFS(Input[Xfr Cap Sys Unexp],Input[Institution Name],$A$1)</f>
        <v>0</v>
      </c>
      <c r="AC105" s="431"/>
      <c r="AD105" s="431"/>
      <c r="AE105" s="431">
        <f>SUMIFS(Input[Xfr Cap Sys R of Ind],Input[Institution Name],$A$1)</f>
        <v>0</v>
      </c>
      <c r="AF105" s="431"/>
      <c r="AG105" s="431"/>
      <c r="AH105" s="431">
        <f>SUMIFS(Input[Xfr Cap Sys Inv in P],Input[Institution Name],$A$1)</f>
        <v>0</v>
      </c>
      <c r="AI105" s="431"/>
      <c r="AJ105" s="431"/>
      <c r="AK105" s="432">
        <f t="shared" si="79"/>
        <v>0</v>
      </c>
      <c r="AL105" s="432"/>
      <c r="AM105" s="432"/>
      <c r="AN105" s="246"/>
      <c r="AO105" s="22"/>
      <c r="AP105" s="22"/>
      <c r="AQ105" s="22"/>
      <c r="AR105" s="22"/>
      <c r="AS105" s="22"/>
      <c r="AT105" s="22"/>
      <c r="AU105" s="22"/>
      <c r="AV105" s="22"/>
      <c r="AW105" s="22"/>
      <c r="AX105" s="22"/>
      <c r="AY105" s="22"/>
    </row>
    <row r="106" spans="1:51" s="247" customFormat="1" ht="27" customHeight="1" x14ac:dyDescent="0.55000000000000004">
      <c r="A106" s="433" t="s">
        <v>130</v>
      </c>
      <c r="B106" s="434"/>
      <c r="C106" s="434"/>
      <c r="D106" s="434"/>
      <c r="E106" s="434"/>
      <c r="F106" s="434"/>
      <c r="G106" s="434"/>
      <c r="H106" s="434"/>
      <c r="I106" s="435"/>
      <c r="J106" s="431">
        <f>SUMIFS(Input[OPEB Exp E&amp;G],Input[Institution Name],$A$1)</f>
        <v>0</v>
      </c>
      <c r="K106" s="431"/>
      <c r="L106" s="431"/>
      <c r="M106" s="431">
        <f>SUMIFS(Input[OPEB Exp Desg],Input[Institution Name],$A$1)</f>
        <v>0</v>
      </c>
      <c r="N106" s="431"/>
      <c r="O106" s="431"/>
      <c r="P106" s="431">
        <f>SUMIFS(Input[OPEB Exp Aux],Input[Institution Name],$A$1)</f>
        <v>0</v>
      </c>
      <c r="Q106" s="431"/>
      <c r="R106" s="431"/>
      <c r="S106" s="431">
        <f>SUMIFS(Input[OPEB Exp R Exp],Input[Institution Name],$A$1)</f>
        <v>0</v>
      </c>
      <c r="T106" s="431"/>
      <c r="U106" s="431"/>
      <c r="V106" s="431">
        <f>SUMIFS(Input[OPEB Exp Loan],Input[Institution Name],$A$1)</f>
        <v>0</v>
      </c>
      <c r="W106" s="431"/>
      <c r="X106" s="431"/>
      <c r="Y106" s="431">
        <f>SUMIFS(Input[OPEB Exp Annuity],Input[Institution Name],$A$1)</f>
        <v>0</v>
      </c>
      <c r="Z106" s="431"/>
      <c r="AA106" s="431"/>
      <c r="AB106" s="431">
        <f>SUMIFS(Input[OPEB Exp Unexp],Input[Institution Name],$A$1)</f>
        <v>0</v>
      </c>
      <c r="AC106" s="431"/>
      <c r="AD106" s="431"/>
      <c r="AE106" s="431">
        <f>SUMIFS(Input[OPEB Exp R of Ind],Input[Institution Name],$A$1)</f>
        <v>0</v>
      </c>
      <c r="AF106" s="431"/>
      <c r="AG106" s="431"/>
      <c r="AH106" s="431">
        <f>SUMIFS(Input[OPEB Exp Inv in P],Input[Institution Name],$A$1)</f>
        <v>0</v>
      </c>
      <c r="AI106" s="431"/>
      <c r="AJ106" s="431"/>
      <c r="AK106" s="432">
        <f t="shared" si="79"/>
        <v>0</v>
      </c>
      <c r="AL106" s="432"/>
      <c r="AM106" s="432"/>
      <c r="AN106" s="246"/>
      <c r="AO106" s="22"/>
      <c r="AP106" s="22"/>
      <c r="AQ106" s="22"/>
      <c r="AR106" s="22"/>
      <c r="AS106" s="22"/>
      <c r="AT106" s="22"/>
      <c r="AU106" s="22"/>
      <c r="AV106" s="22"/>
      <c r="AW106" s="22"/>
      <c r="AX106" s="22"/>
      <c r="AY106" s="22"/>
    </row>
    <row r="107" spans="1:51" s="247" customFormat="1" ht="27" customHeight="1" x14ac:dyDescent="0.55000000000000004">
      <c r="A107" s="433" t="s">
        <v>131</v>
      </c>
      <c r="B107" s="434"/>
      <c r="C107" s="434"/>
      <c r="D107" s="434"/>
      <c r="E107" s="434"/>
      <c r="F107" s="434"/>
      <c r="G107" s="434"/>
      <c r="H107" s="434"/>
      <c r="I107" s="435"/>
      <c r="J107" s="431">
        <f>SUMIFS(Input[Non-Cash Cap E&amp;G],Input[Institution Name],$A$1)</f>
        <v>0</v>
      </c>
      <c r="K107" s="431"/>
      <c r="L107" s="431"/>
      <c r="M107" s="431">
        <f>SUMIFS(Input[Non-Cash Cap Desg],Input[Institution Name],$A$1)</f>
        <v>0</v>
      </c>
      <c r="N107" s="431"/>
      <c r="O107" s="431"/>
      <c r="P107" s="431">
        <f>SUMIFS(Input[Non-Cash Cap Aux],Input[Institution Name],$A$1)</f>
        <v>0</v>
      </c>
      <c r="Q107" s="431"/>
      <c r="R107" s="431"/>
      <c r="S107" s="431">
        <f>SUMIFS(Input[Non-Cash Cap R Exp],Input[Institution Name],$A$1)</f>
        <v>0</v>
      </c>
      <c r="T107" s="431"/>
      <c r="U107" s="431"/>
      <c r="V107" s="431">
        <f>SUMIFS(Input[Non-Cash Cap Loan],Input[Institution Name],$A$1)</f>
        <v>0</v>
      </c>
      <c r="W107" s="431"/>
      <c r="X107" s="431"/>
      <c r="Y107" s="431">
        <f>SUMIFS(Input[Non-Cash Cap Annuity],Input[Institution Name],$A$1)</f>
        <v>0</v>
      </c>
      <c r="Z107" s="431"/>
      <c r="AA107" s="431"/>
      <c r="AB107" s="431">
        <f>SUMIFS(Input[Non-Cash Cap Unexp],Input[Institution Name],$A$1)</f>
        <v>0</v>
      </c>
      <c r="AC107" s="431"/>
      <c r="AD107" s="431"/>
      <c r="AE107" s="431">
        <f>SUMIFS(Input[Non-Cash Cap R of Ind],Input[Institution Name],$A$1)</f>
        <v>0</v>
      </c>
      <c r="AF107" s="431"/>
      <c r="AG107" s="431"/>
      <c r="AH107" s="431">
        <f>SUMIFS(Input[Non-Cash Cap Inv in P],Input[Institution Name],$A$1)</f>
        <v>0</v>
      </c>
      <c r="AI107" s="431"/>
      <c r="AJ107" s="431"/>
      <c r="AK107" s="432">
        <f t="shared" si="79"/>
        <v>0</v>
      </c>
      <c r="AL107" s="432"/>
      <c r="AM107" s="432"/>
      <c r="AN107" s="246"/>
      <c r="AO107" s="22"/>
      <c r="AP107" s="22"/>
      <c r="AQ107" s="22"/>
      <c r="AR107" s="22"/>
      <c r="AS107" s="22"/>
      <c r="AT107" s="22"/>
      <c r="AU107" s="22"/>
      <c r="AV107" s="22"/>
      <c r="AW107" s="22"/>
      <c r="AX107" s="22"/>
      <c r="AY107" s="22"/>
    </row>
    <row r="108" spans="1:51" s="247" customFormat="1" ht="27" customHeight="1" x14ac:dyDescent="0.55000000000000004">
      <c r="A108" s="433" t="s">
        <v>132</v>
      </c>
      <c r="B108" s="434"/>
      <c r="C108" s="434"/>
      <c r="D108" s="434"/>
      <c r="E108" s="434"/>
      <c r="F108" s="434"/>
      <c r="G108" s="434"/>
      <c r="H108" s="434"/>
      <c r="I108" s="435"/>
      <c r="J108" s="431">
        <f>SUMIFS(Input[Cap Out E&amp;G],Input[Institution Name],$A$1)</f>
        <v>0</v>
      </c>
      <c r="K108" s="431"/>
      <c r="L108" s="431"/>
      <c r="M108" s="431">
        <f>SUMIFS(Input[Cap Out Desg],Input[Institution Name],$A$1)</f>
        <v>0</v>
      </c>
      <c r="N108" s="431"/>
      <c r="O108" s="431"/>
      <c r="P108" s="431">
        <f>SUMIFS(Input[Cap Out Aux],Input[Institution Name],$A$1)</f>
        <v>0</v>
      </c>
      <c r="Q108" s="431"/>
      <c r="R108" s="431"/>
      <c r="S108" s="431">
        <f>SUMIFS(Input[Cap Out R Exp],Input[Institution Name],$A$1)</f>
        <v>0</v>
      </c>
      <c r="T108" s="431"/>
      <c r="U108" s="431"/>
      <c r="V108" s="431">
        <f>SUMIFS(Input[Cap Out Loan],Input[Institution Name],$A$1)</f>
        <v>0</v>
      </c>
      <c r="W108" s="431"/>
      <c r="X108" s="431"/>
      <c r="Y108" s="431">
        <f>SUMIFS(Input[Cap Out Annuity],Input[Institution Name],$A$1)</f>
        <v>0</v>
      </c>
      <c r="Z108" s="431"/>
      <c r="AA108" s="431"/>
      <c r="AB108" s="431">
        <f>SUMIFS(Input[Cap Out Unexp],Input[Institution Name],$A$1)</f>
        <v>0</v>
      </c>
      <c r="AC108" s="431"/>
      <c r="AD108" s="431"/>
      <c r="AE108" s="431">
        <f>SUMIFS(Input[Cap Out R of Ind],Input[Institution Name],$A$1)</f>
        <v>0</v>
      </c>
      <c r="AF108" s="431"/>
      <c r="AG108" s="431"/>
      <c r="AH108" s="431">
        <f>SUMIFS(Input[Cap Out Inv in P],Input[Institution Name],$A$1)</f>
        <v>0</v>
      </c>
      <c r="AI108" s="431"/>
      <c r="AJ108" s="431"/>
      <c r="AK108" s="432">
        <f t="shared" si="79"/>
        <v>0</v>
      </c>
      <c r="AL108" s="432"/>
      <c r="AM108" s="432"/>
      <c r="AN108" s="246"/>
      <c r="AO108" s="22"/>
      <c r="AP108" s="22"/>
      <c r="AQ108" s="22"/>
      <c r="AR108" s="22"/>
      <c r="AS108" s="22"/>
      <c r="AT108" s="22"/>
      <c r="AU108" s="22"/>
      <c r="AV108" s="22"/>
      <c r="AW108" s="22"/>
      <c r="AX108" s="22"/>
      <c r="AY108" s="22"/>
    </row>
    <row r="109" spans="1:51" s="247" customFormat="1" ht="27" customHeight="1" x14ac:dyDescent="0.55000000000000004">
      <c r="A109" s="485"/>
      <c r="B109" s="485"/>
      <c r="C109" s="485"/>
      <c r="D109" s="485"/>
      <c r="E109" s="485"/>
      <c r="F109" s="485"/>
      <c r="G109" s="485"/>
      <c r="H109" s="485"/>
      <c r="I109" s="485"/>
      <c r="J109" s="466">
        <f>SUM(J100,J103:L108)</f>
        <v>0</v>
      </c>
      <c r="K109" s="466"/>
      <c r="L109" s="466"/>
      <c r="M109" s="466">
        <f t="shared" ref="M109" si="80">SUM(M100,M103:O108)</f>
        <v>0</v>
      </c>
      <c r="N109" s="466"/>
      <c r="O109" s="466"/>
      <c r="P109" s="466">
        <f t="shared" ref="P109" si="81">SUM(P100,P103:R108)</f>
        <v>0</v>
      </c>
      <c r="Q109" s="466"/>
      <c r="R109" s="466"/>
      <c r="S109" s="466">
        <f t="shared" ref="S109" si="82">SUM(S100,S103:U108)</f>
        <v>0</v>
      </c>
      <c r="T109" s="466"/>
      <c r="U109" s="466"/>
      <c r="V109" s="466">
        <f t="shared" ref="V109" si="83">SUM(V100,V103:X108)</f>
        <v>0</v>
      </c>
      <c r="W109" s="466"/>
      <c r="X109" s="466"/>
      <c r="Y109" s="466">
        <f t="shared" ref="Y109" si="84">SUM(Y100,Y103:AA108)</f>
        <v>0</v>
      </c>
      <c r="Z109" s="466"/>
      <c r="AA109" s="466"/>
      <c r="AB109" s="466">
        <f t="shared" ref="AB109" si="85">SUM(AB100,AB103:AD108)</f>
        <v>0</v>
      </c>
      <c r="AC109" s="466"/>
      <c r="AD109" s="466"/>
      <c r="AE109" s="466">
        <f t="shared" ref="AE109" si="86">SUM(AE100,AE103:AG108)</f>
        <v>0</v>
      </c>
      <c r="AF109" s="466"/>
      <c r="AG109" s="466"/>
      <c r="AH109" s="466">
        <f t="shared" ref="AH109" si="87">SUM(AH100,AH103:AJ108)</f>
        <v>0</v>
      </c>
      <c r="AI109" s="466"/>
      <c r="AJ109" s="466"/>
      <c r="AK109" s="466">
        <f t="shared" ref="AK109" si="88">SUM(AK100,AK103:AM108)</f>
        <v>0</v>
      </c>
      <c r="AL109" s="466"/>
      <c r="AM109" s="466"/>
      <c r="AN109" s="246"/>
      <c r="AO109" s="22"/>
      <c r="AP109" s="22"/>
      <c r="AQ109" s="22"/>
      <c r="AR109" s="22"/>
      <c r="AS109" s="22"/>
      <c r="AT109" s="22"/>
      <c r="AU109" s="22"/>
      <c r="AV109" s="22"/>
      <c r="AW109" s="22"/>
      <c r="AX109" s="22"/>
      <c r="AY109" s="22"/>
    </row>
    <row r="110" spans="1:51" s="247" customFormat="1" ht="27" customHeight="1" x14ac:dyDescent="0.55000000000000004">
      <c r="A110" s="254"/>
      <c r="B110" s="254"/>
      <c r="C110" s="254"/>
      <c r="D110" s="254"/>
      <c r="E110" s="254"/>
      <c r="F110" s="254"/>
      <c r="G110" s="254"/>
      <c r="H110" s="254"/>
      <c r="I110" s="254"/>
      <c r="J110" s="255"/>
      <c r="K110" s="255"/>
      <c r="L110" s="255"/>
      <c r="M110" s="254"/>
      <c r="N110" s="254"/>
      <c r="O110" s="254"/>
      <c r="P110" s="245"/>
      <c r="Q110" s="245"/>
      <c r="R110" s="245"/>
      <c r="S110" s="245"/>
      <c r="T110" s="245"/>
      <c r="U110" s="245"/>
      <c r="V110" s="245"/>
      <c r="W110" s="245"/>
      <c r="X110" s="245"/>
      <c r="Y110" s="245"/>
      <c r="Z110" s="245"/>
      <c r="AA110" s="245"/>
      <c r="AB110" s="245"/>
      <c r="AC110" s="245"/>
      <c r="AD110" s="245"/>
      <c r="AE110" s="245"/>
      <c r="AF110" s="245"/>
      <c r="AG110" s="245"/>
      <c r="AH110" s="245"/>
      <c r="AI110" s="245"/>
      <c r="AJ110" s="245"/>
      <c r="AK110" s="246"/>
      <c r="AL110" s="246"/>
      <c r="AM110" s="246"/>
      <c r="AN110" s="246"/>
      <c r="AO110" s="22"/>
      <c r="AP110" s="22"/>
      <c r="AQ110" s="22"/>
      <c r="AR110" s="22"/>
      <c r="AS110" s="22"/>
      <c r="AT110" s="22"/>
      <c r="AU110" s="22"/>
      <c r="AV110" s="22"/>
      <c r="AW110" s="22"/>
      <c r="AX110" s="22"/>
      <c r="AY110" s="22"/>
    </row>
    <row r="111" spans="1:51" s="247" customFormat="1" ht="27" customHeight="1" x14ac:dyDescent="0.55000000000000004">
      <c r="A111" s="412"/>
      <c r="B111" s="413"/>
      <c r="C111" s="413"/>
      <c r="D111" s="413"/>
      <c r="E111" s="413"/>
      <c r="F111" s="413"/>
      <c r="G111" s="413"/>
      <c r="H111" s="413"/>
      <c r="I111" s="413"/>
      <c r="J111" s="413"/>
      <c r="K111" s="413"/>
      <c r="L111" s="413"/>
      <c r="M111" s="413"/>
      <c r="N111" s="413"/>
      <c r="O111" s="413"/>
      <c r="P111" s="413"/>
      <c r="Q111" s="413"/>
      <c r="R111" s="413"/>
      <c r="S111" s="413"/>
      <c r="T111" s="413"/>
      <c r="U111" s="413"/>
      <c r="V111" s="413"/>
      <c r="W111" s="413"/>
      <c r="X111" s="414"/>
      <c r="Y111" s="256"/>
      <c r="Z111" s="256"/>
      <c r="AA111" s="415" t="s">
        <v>1632</v>
      </c>
      <c r="AB111" s="415"/>
      <c r="AC111" s="415"/>
      <c r="AD111" s="415"/>
      <c r="AE111" s="415"/>
      <c r="AF111" s="415"/>
      <c r="AG111" s="415"/>
      <c r="AH111" s="415"/>
      <c r="AI111" s="415"/>
      <c r="AJ111" s="415"/>
      <c r="AK111" s="415"/>
      <c r="AL111" s="415"/>
      <c r="AM111" s="415"/>
      <c r="AN111" s="246"/>
      <c r="AO111" s="22"/>
      <c r="AP111" s="22"/>
      <c r="AQ111" s="22"/>
      <c r="AR111" s="22"/>
      <c r="AS111" s="22"/>
      <c r="AT111" s="22"/>
      <c r="AU111" s="22"/>
      <c r="AV111" s="22"/>
      <c r="AW111" s="22"/>
      <c r="AX111" s="22"/>
      <c r="AY111" s="22"/>
    </row>
    <row r="112" spans="1:51" ht="27" customHeight="1" x14ac:dyDescent="0.6">
      <c r="A112" s="416" t="str">
        <f>IFERROR(IF(AK112="N/A","",_xlfn.TEXTJOIN("",TRUE,A132,E127,A133,I128,G128,A134,I129,G129,A135,I130,G130,A136,I131,G131,A137,A138)),"")</f>
        <v/>
      </c>
      <c r="B112" s="417"/>
      <c r="C112" s="417"/>
      <c r="D112" s="417"/>
      <c r="E112" s="417"/>
      <c r="F112" s="417"/>
      <c r="G112" s="417"/>
      <c r="H112" s="417"/>
      <c r="I112" s="417"/>
      <c r="J112" s="417"/>
      <c r="K112" s="417"/>
      <c r="L112" s="417"/>
      <c r="M112" s="417"/>
      <c r="N112" s="417"/>
      <c r="O112" s="417"/>
      <c r="P112" s="417"/>
      <c r="Q112" s="417"/>
      <c r="R112" s="417"/>
      <c r="S112" s="417"/>
      <c r="T112" s="417"/>
      <c r="U112" s="417"/>
      <c r="V112" s="417"/>
      <c r="W112" s="417"/>
      <c r="X112" s="418"/>
      <c r="Y112" s="257"/>
      <c r="Z112" s="257"/>
      <c r="AA112" s="425" t="s">
        <v>1827</v>
      </c>
      <c r="AB112" s="425"/>
      <c r="AC112" s="425"/>
      <c r="AD112" s="425"/>
      <c r="AE112" s="425"/>
      <c r="AF112" s="425"/>
      <c r="AG112" s="425"/>
      <c r="AH112" s="425"/>
      <c r="AI112" s="425"/>
      <c r="AJ112" s="425"/>
      <c r="AK112" s="426" t="str">
        <f>IF($AK$100&lt;=0,"N/A",$AK$100)</f>
        <v>N/A</v>
      </c>
      <c r="AL112" s="426"/>
      <c r="AM112" s="426"/>
      <c r="AN112" s="1"/>
      <c r="AO112" s="22"/>
      <c r="AP112" s="22"/>
      <c r="AQ112" s="22"/>
      <c r="AR112" s="22"/>
      <c r="AS112" s="22"/>
      <c r="AT112" s="22"/>
      <c r="AU112" s="22"/>
      <c r="AV112" s="22"/>
      <c r="AW112" s="22"/>
      <c r="AX112" s="22"/>
      <c r="AY112" s="22"/>
    </row>
    <row r="113" spans="1:51" ht="27" customHeight="1" x14ac:dyDescent="0.6">
      <c r="A113" s="419"/>
      <c r="B113" s="420"/>
      <c r="C113" s="420"/>
      <c r="D113" s="420"/>
      <c r="E113" s="420"/>
      <c r="F113" s="420"/>
      <c r="G113" s="420"/>
      <c r="H113" s="420"/>
      <c r="I113" s="420"/>
      <c r="J113" s="420"/>
      <c r="K113" s="420"/>
      <c r="L113" s="420"/>
      <c r="M113" s="420"/>
      <c r="N113" s="420"/>
      <c r="O113" s="420"/>
      <c r="P113" s="420"/>
      <c r="Q113" s="420"/>
      <c r="R113" s="420"/>
      <c r="S113" s="420"/>
      <c r="T113" s="420"/>
      <c r="U113" s="420"/>
      <c r="V113" s="420"/>
      <c r="W113" s="420"/>
      <c r="X113" s="421"/>
      <c r="Y113" s="257"/>
      <c r="Z113" s="257"/>
      <c r="AA113" s="427" t="s">
        <v>1633</v>
      </c>
      <c r="AB113" s="427"/>
      <c r="AC113" s="427"/>
      <c r="AD113" s="427"/>
      <c r="AE113" s="427"/>
      <c r="AF113" s="427"/>
      <c r="AG113" s="427"/>
      <c r="AH113" s="427"/>
      <c r="AI113" s="427"/>
      <c r="AJ113" s="427"/>
      <c r="AK113" s="428">
        <f>SUMIFS(Input[Footnote Rev Rec''d],Input[Institution Name],$A$1)</f>
        <v>0</v>
      </c>
      <c r="AL113" s="428"/>
      <c r="AM113" s="428"/>
      <c r="AN113" s="1"/>
      <c r="AO113" s="22"/>
      <c r="AP113" s="22"/>
      <c r="AQ113" s="22"/>
      <c r="AR113" s="22"/>
      <c r="AS113" s="22"/>
      <c r="AT113" s="22"/>
      <c r="AU113" s="22"/>
      <c r="AV113" s="22"/>
      <c r="AW113" s="22"/>
      <c r="AX113" s="22"/>
      <c r="AY113" s="22"/>
    </row>
    <row r="114" spans="1:51" ht="27" customHeight="1" x14ac:dyDescent="0.6">
      <c r="A114" s="419"/>
      <c r="B114" s="420"/>
      <c r="C114" s="420"/>
      <c r="D114" s="420"/>
      <c r="E114" s="420"/>
      <c r="F114" s="420"/>
      <c r="G114" s="420"/>
      <c r="H114" s="420"/>
      <c r="I114" s="420"/>
      <c r="J114" s="420"/>
      <c r="K114" s="420"/>
      <c r="L114" s="420"/>
      <c r="M114" s="420"/>
      <c r="N114" s="420"/>
      <c r="O114" s="420"/>
      <c r="P114" s="420"/>
      <c r="Q114" s="420"/>
      <c r="R114" s="420"/>
      <c r="S114" s="420"/>
      <c r="T114" s="420"/>
      <c r="U114" s="420"/>
      <c r="V114" s="420"/>
      <c r="W114" s="420"/>
      <c r="X114" s="421"/>
      <c r="Y114" s="257"/>
      <c r="Z114" s="257"/>
      <c r="AA114" s="427" t="s">
        <v>1634</v>
      </c>
      <c r="AB114" s="427"/>
      <c r="AC114" s="427"/>
      <c r="AD114" s="427"/>
      <c r="AE114" s="427"/>
      <c r="AF114" s="427"/>
      <c r="AG114" s="427"/>
      <c r="AH114" s="427"/>
      <c r="AI114" s="427"/>
      <c r="AJ114" s="427"/>
      <c r="AK114" s="428">
        <f>SUMIFS(Input[Footnote Non Exp],Input[Institution Name],$A$1)</f>
        <v>0</v>
      </c>
      <c r="AL114" s="428"/>
      <c r="AM114" s="428"/>
      <c r="AN114" s="1"/>
      <c r="AO114" s="22"/>
      <c r="AP114" s="22"/>
      <c r="AQ114" s="22"/>
      <c r="AR114" s="22"/>
      <c r="AS114" s="22"/>
      <c r="AT114" s="22"/>
      <c r="AU114" s="22"/>
      <c r="AV114" s="22"/>
      <c r="AW114" s="22"/>
      <c r="AX114" s="22"/>
      <c r="AY114" s="22"/>
    </row>
    <row r="115" spans="1:51" ht="27" customHeight="1" x14ac:dyDescent="0.6">
      <c r="A115" s="419"/>
      <c r="B115" s="420"/>
      <c r="C115" s="420"/>
      <c r="D115" s="420"/>
      <c r="E115" s="420"/>
      <c r="F115" s="420"/>
      <c r="G115" s="420"/>
      <c r="H115" s="420"/>
      <c r="I115" s="420"/>
      <c r="J115" s="420"/>
      <c r="K115" s="420"/>
      <c r="L115" s="420"/>
      <c r="M115" s="420"/>
      <c r="N115" s="420"/>
      <c r="O115" s="420"/>
      <c r="P115" s="420"/>
      <c r="Q115" s="420"/>
      <c r="R115" s="420"/>
      <c r="S115" s="420"/>
      <c r="T115" s="420"/>
      <c r="U115" s="420"/>
      <c r="V115" s="420"/>
      <c r="W115" s="420"/>
      <c r="X115" s="421"/>
      <c r="Y115" s="257"/>
      <c r="Z115" s="257"/>
      <c r="AA115" s="429" t="s">
        <v>1635</v>
      </c>
      <c r="AB115" s="429"/>
      <c r="AC115" s="429"/>
      <c r="AD115" s="429"/>
      <c r="AE115" s="429"/>
      <c r="AF115" s="429"/>
      <c r="AG115" s="429"/>
      <c r="AH115" s="429"/>
      <c r="AI115" s="429"/>
      <c r="AJ115" s="429"/>
      <c r="AK115" s="430">
        <f>IF(AK112="N/A",0,AK112-AK113-AK114)</f>
        <v>0</v>
      </c>
      <c r="AL115" s="430"/>
      <c r="AM115" s="430"/>
      <c r="AN115" s="1"/>
      <c r="AO115" s="22"/>
      <c r="AP115" s="22"/>
      <c r="AQ115" s="22"/>
      <c r="AR115" s="22"/>
      <c r="AS115" s="22"/>
      <c r="AT115" s="22"/>
      <c r="AU115" s="22"/>
      <c r="AV115" s="22"/>
      <c r="AW115" s="22"/>
      <c r="AX115" s="22"/>
      <c r="AY115" s="22"/>
    </row>
    <row r="116" spans="1:51" ht="27" customHeight="1" x14ac:dyDescent="0.55000000000000004">
      <c r="A116" s="422"/>
      <c r="B116" s="423"/>
      <c r="C116" s="423"/>
      <c r="D116" s="423"/>
      <c r="E116" s="423"/>
      <c r="F116" s="423"/>
      <c r="G116" s="423"/>
      <c r="H116" s="423"/>
      <c r="I116" s="423"/>
      <c r="J116" s="423"/>
      <c r="K116" s="423"/>
      <c r="L116" s="423"/>
      <c r="M116" s="423"/>
      <c r="N116" s="423"/>
      <c r="O116" s="423"/>
      <c r="P116" s="423"/>
      <c r="Q116" s="423"/>
      <c r="R116" s="423"/>
      <c r="S116" s="423"/>
      <c r="T116" s="423"/>
      <c r="U116" s="423"/>
      <c r="V116" s="423"/>
      <c r="W116" s="423"/>
      <c r="X116" s="424"/>
      <c r="Y116" s="258"/>
      <c r="Z116" s="258"/>
      <c r="AA116" s="258"/>
      <c r="AB116" s="258"/>
      <c r="AC116" s="258"/>
      <c r="AD116" s="258"/>
      <c r="AE116" s="259"/>
      <c r="AF116" s="259"/>
      <c r="AG116" s="259"/>
      <c r="AH116" s="259"/>
      <c r="AI116" s="259"/>
      <c r="AJ116" s="259"/>
      <c r="AK116" s="259"/>
      <c r="AL116" s="259"/>
      <c r="AM116" s="259"/>
      <c r="AN116" s="1"/>
      <c r="AO116" s="22"/>
      <c r="AP116" s="22"/>
      <c r="AQ116" s="22"/>
      <c r="AR116" s="22"/>
      <c r="AS116" s="22"/>
      <c r="AT116" s="22"/>
      <c r="AU116" s="22"/>
      <c r="AV116" s="22"/>
      <c r="AW116" s="22"/>
      <c r="AX116" s="22"/>
      <c r="AY116" s="22"/>
    </row>
    <row r="117" spans="1:51" ht="27" customHeight="1" x14ac:dyDescent="0.6">
      <c r="A117" s="260"/>
      <c r="B117" s="260"/>
      <c r="C117" s="260"/>
      <c r="D117" s="260"/>
      <c r="E117" s="260"/>
      <c r="F117" s="260"/>
      <c r="G117" s="260"/>
      <c r="H117" s="260"/>
      <c r="I117" s="260"/>
      <c r="J117" s="260"/>
      <c r="K117" s="260"/>
      <c r="L117" s="260"/>
      <c r="M117" s="260"/>
      <c r="N117" s="260"/>
      <c r="O117" s="260"/>
      <c r="P117" s="260"/>
      <c r="Q117" s="260"/>
      <c r="R117" s="260"/>
      <c r="S117" s="260"/>
      <c r="T117" s="260"/>
      <c r="U117" s="260"/>
      <c r="V117" s="260"/>
      <c r="W117" s="260"/>
      <c r="X117" s="260"/>
      <c r="Y117" s="260"/>
      <c r="Z117" s="260"/>
      <c r="AA117" s="260"/>
      <c r="AB117" s="260"/>
      <c r="AC117" s="260"/>
      <c r="AD117" s="260"/>
      <c r="AE117" s="260"/>
      <c r="AF117" s="260"/>
      <c r="AG117" s="260"/>
      <c r="AH117" s="260"/>
      <c r="AI117" s="260"/>
      <c r="AJ117" s="260"/>
      <c r="AK117" s="260"/>
      <c r="AL117" s="260"/>
      <c r="AM117" s="260"/>
      <c r="AN117" s="1"/>
      <c r="AO117" s="22"/>
      <c r="AP117" s="22"/>
      <c r="AQ117" s="22"/>
      <c r="AR117" s="22"/>
      <c r="AS117" s="22"/>
      <c r="AT117" s="22"/>
      <c r="AU117" s="22"/>
      <c r="AV117" s="22"/>
      <c r="AW117" s="22"/>
      <c r="AX117" s="22"/>
      <c r="AY117" s="22"/>
    </row>
    <row r="118" spans="1:51" x14ac:dyDescent="0.55000000000000004">
      <c r="A118" s="261"/>
      <c r="B118" s="261"/>
      <c r="C118" s="261"/>
      <c r="D118" s="261"/>
      <c r="E118" s="261"/>
      <c r="F118" s="261"/>
      <c r="G118" s="261"/>
      <c r="H118" s="261"/>
      <c r="I118" s="261"/>
    </row>
    <row r="119" spans="1:51" x14ac:dyDescent="0.55000000000000004">
      <c r="A119" s="261"/>
      <c r="B119" s="261"/>
      <c r="C119" s="261"/>
      <c r="D119" s="261"/>
      <c r="E119" s="261"/>
      <c r="F119" s="261"/>
      <c r="G119" s="261"/>
      <c r="H119" s="261"/>
      <c r="I119" s="261"/>
    </row>
    <row r="120" spans="1:51" x14ac:dyDescent="0.55000000000000004">
      <c r="A120" s="261"/>
      <c r="B120" s="261"/>
      <c r="C120" s="261"/>
      <c r="D120" s="261"/>
      <c r="E120" s="261"/>
      <c r="F120" s="261"/>
      <c r="G120" s="261"/>
      <c r="H120" s="261"/>
      <c r="I120" s="261"/>
    </row>
    <row r="121" spans="1:51" x14ac:dyDescent="0.55000000000000004">
      <c r="A121" s="261"/>
      <c r="B121" s="261"/>
      <c r="C121" s="261"/>
      <c r="D121" s="261"/>
      <c r="E121" s="261"/>
      <c r="F121" s="261"/>
      <c r="G121" s="261"/>
      <c r="H121" s="261"/>
      <c r="I121" s="261"/>
    </row>
    <row r="122" spans="1:51" ht="19.95" customHeight="1" x14ac:dyDescent="0.55000000000000004">
      <c r="A122" s="261"/>
      <c r="B122" s="261"/>
      <c r="C122" s="261"/>
      <c r="D122" s="261"/>
      <c r="E122" s="261"/>
      <c r="F122" s="261"/>
      <c r="G122" s="261"/>
      <c r="H122" s="261"/>
      <c r="I122" s="261"/>
    </row>
    <row r="123" spans="1:51" ht="19.95" customHeight="1" x14ac:dyDescent="0.55000000000000004">
      <c r="A123" s="261"/>
      <c r="B123" s="261"/>
      <c r="C123" s="261"/>
      <c r="D123" s="261"/>
      <c r="E123" s="261"/>
      <c r="F123" s="261"/>
      <c r="G123" s="261"/>
      <c r="H123" s="261"/>
      <c r="I123" s="261"/>
    </row>
    <row r="124" spans="1:51" ht="19.95" customHeight="1" x14ac:dyDescent="0.55000000000000004">
      <c r="A124" s="261"/>
      <c r="B124" s="261"/>
      <c r="C124" s="261"/>
      <c r="D124" s="261"/>
      <c r="E124" s="261"/>
      <c r="F124" s="261"/>
      <c r="G124" s="261"/>
      <c r="H124" s="261"/>
      <c r="I124" s="261"/>
    </row>
    <row r="125" spans="1:51" ht="19.95" customHeight="1" x14ac:dyDescent="0.55000000000000004"/>
    <row r="126" spans="1:51" ht="19.95" hidden="1" customHeight="1" x14ac:dyDescent="0.55000000000000004">
      <c r="A126" s="500" t="s">
        <v>1825</v>
      </c>
      <c r="B126" s="500"/>
      <c r="C126" s="500"/>
      <c r="D126" s="500"/>
      <c r="E126" s="500"/>
      <c r="F126" s="500"/>
      <c r="G126" s="500"/>
      <c r="H126" s="500"/>
      <c r="I126" s="500"/>
      <c r="J126" s="500"/>
      <c r="K126" s="500"/>
      <c r="L126" s="500"/>
      <c r="M126" s="500"/>
      <c r="N126" s="500"/>
      <c r="O126" s="500"/>
    </row>
    <row r="127" spans="1:51" ht="19.95" hidden="1" customHeight="1" x14ac:dyDescent="0.55000000000000004">
      <c r="A127" s="502">
        <f>SUM('Fund Group Detail (FGD)'!AK112:AM112)</f>
        <v>0</v>
      </c>
      <c r="B127" s="502"/>
      <c r="C127" s="503" t="s">
        <v>1826</v>
      </c>
      <c r="D127" s="503"/>
      <c r="E127" s="501" t="str">
        <f>TEXT(A127,"$* #,##0;$* (#,##0)")</f>
        <v>$0</v>
      </c>
      <c r="F127" s="501"/>
      <c r="G127" s="501"/>
      <c r="H127" s="265"/>
      <c r="I127" s="266"/>
      <c r="J127" s="267"/>
      <c r="K127" s="267"/>
      <c r="L127" s="267"/>
      <c r="M127" s="267"/>
      <c r="N127" s="267"/>
      <c r="O127" s="267"/>
      <c r="P127" s="263"/>
      <c r="Q127" s="263"/>
      <c r="AK127" s="264"/>
      <c r="AL127" s="264"/>
    </row>
    <row r="128" spans="1:51" ht="19.95" hidden="1" customHeight="1" x14ac:dyDescent="0.55000000000000004">
      <c r="A128" s="502">
        <f>SUM('Fund Group Detail (FGD)'!AK113:AM113)</f>
        <v>0</v>
      </c>
      <c r="B128" s="502"/>
      <c r="C128" s="503" t="e" cm="1">
        <f t="array" ref="C128">_xlfn.IFS(ABS($A128)&gt;=1000000000,ABS($A128)/1000000000,ABS($A128)&gt;=1000000,ABS($A128)/1000000,ABS($A128)&gt;=1000,ABS($A128)/1000)</f>
        <v>#N/A</v>
      </c>
      <c r="D128" s="503"/>
      <c r="E128" s="266" t="e">
        <f>IF(A128&gt;1000000, TEXT(C128, "$#,##0.0"), TEXT(C128, "$#,##0"))</f>
        <v>#N/A</v>
      </c>
      <c r="F128" s="266"/>
      <c r="G128" s="266" t="str" cm="1">
        <f t="array" ref="G128">IFERROR(_xlfn.IFS($A128&gt;=1000000000,"B",$A128&gt;=1000000,"M",$A128&gt;=1000,"K",$A128&gt;=100,""),"")</f>
        <v/>
      </c>
      <c r="H128" s="266"/>
      <c r="I128" s="266" t="e">
        <f>IF($A128&lt;=0,"("&amp;E128&amp;")",E128)</f>
        <v>#N/A</v>
      </c>
      <c r="J128" s="267"/>
      <c r="K128" s="267"/>
      <c r="L128" s="267"/>
      <c r="M128" s="267"/>
      <c r="N128" s="267"/>
      <c r="O128" s="267"/>
      <c r="P128" s="263"/>
      <c r="Q128" s="263"/>
      <c r="AK128" s="264"/>
      <c r="AL128" s="264"/>
    </row>
    <row r="129" spans="1:38" ht="19.95" hidden="1" customHeight="1" x14ac:dyDescent="0.55000000000000004">
      <c r="A129" s="502" cm="1">
        <f t="array" ref="A129">SUM('Fund Group Detail (FGD)'!AK112:AM112,-'Fund Group Detail (FGD)'!AK113:AM113)</f>
        <v>0</v>
      </c>
      <c r="B129" s="502"/>
      <c r="C129" s="503" t="e" cm="1">
        <f t="array" ref="C129">_xlfn.IFS(ABS($A129)&gt;=1000000000,ABS($A129)/1000000000,ABS($A129)&gt;=1000000,ABS($A129)/1000000,ABS($A129)&gt;=1000,ABS($A129)/1000)</f>
        <v>#N/A</v>
      </c>
      <c r="D129" s="503"/>
      <c r="E129" s="266" t="e">
        <f t="shared" ref="E129:E131" si="89">IF(A129&gt;1000000, TEXT(C129, "$#,##0.0"), TEXT(C129, "$#,##0"))</f>
        <v>#N/A</v>
      </c>
      <c r="F129" s="266"/>
      <c r="G129" s="266" t="str" cm="1">
        <f t="array" ref="G129">IFERROR(_xlfn.IFS($A129&gt;=1000000000,"B",$A129&gt;=1000000,"M",$A129&gt;=1000,"K",$A129&gt;=100,""),"")</f>
        <v/>
      </c>
      <c r="H129" s="266"/>
      <c r="I129" s="266" t="e">
        <f t="shared" ref="I129:I131" si="90">IF($A129&lt;=0,"("&amp;E129&amp;")",E129)</f>
        <v>#N/A</v>
      </c>
      <c r="J129" s="267"/>
      <c r="K129" s="267"/>
      <c r="L129" s="267"/>
      <c r="M129" s="267"/>
      <c r="N129" s="267"/>
      <c r="O129" s="267"/>
      <c r="P129" s="263"/>
      <c r="Q129" s="263"/>
      <c r="AK129" s="264"/>
      <c r="AL129" s="264"/>
    </row>
    <row r="130" spans="1:38" ht="19.95" hidden="1" customHeight="1" x14ac:dyDescent="0.55000000000000004">
      <c r="A130" s="502">
        <f>SUM('Fund Group Detail (FGD)'!AK114:AM114)</f>
        <v>0</v>
      </c>
      <c r="B130" s="502"/>
      <c r="C130" s="503" t="e" cm="1">
        <f t="array" ref="C130">_xlfn.IFS(ABS($A130)&gt;=1000000000,ABS($A130)/1000000000,ABS($A130)&gt;=1000000,ABS($A130)/1000000,ABS($A130)&gt;=1000,ABS($A130)/1000)</f>
        <v>#N/A</v>
      </c>
      <c r="D130" s="503"/>
      <c r="E130" s="266" t="e">
        <f t="shared" si="89"/>
        <v>#N/A</v>
      </c>
      <c r="F130" s="266"/>
      <c r="G130" s="266" t="str" cm="1">
        <f t="array" ref="G130">IFERROR(_xlfn.IFS($A130&gt;=1000000000,"B",$A130&gt;=1000000,"M",$A130&gt;=1000,"K",$A130&gt;=100,""),"")</f>
        <v/>
      </c>
      <c r="H130" s="266"/>
      <c r="I130" s="266" t="e">
        <f t="shared" si="90"/>
        <v>#N/A</v>
      </c>
      <c r="J130" s="267"/>
      <c r="K130" s="267"/>
      <c r="L130" s="267"/>
      <c r="M130" s="267"/>
      <c r="N130" s="267"/>
      <c r="O130" s="267"/>
      <c r="P130" s="263"/>
      <c r="Q130" s="263"/>
      <c r="AK130" s="264"/>
      <c r="AL130" s="264"/>
    </row>
    <row r="131" spans="1:38" ht="19.95" hidden="1" customHeight="1" x14ac:dyDescent="0.55000000000000004">
      <c r="A131" s="502">
        <f>SUM('Fund Group Detail (FGD)'!AK115:AM115)</f>
        <v>0</v>
      </c>
      <c r="B131" s="502"/>
      <c r="C131" s="503" cm="1">
        <f t="array" ref="C131">_xlfn.IFS($A131&gt;=1000000000,$A131/1000000000,$A131&gt;=1000000,$A131/1000000,$A131&gt;=1000,$A131/1000,$A131&gt;=0,$A131)</f>
        <v>0</v>
      </c>
      <c r="D131" s="503"/>
      <c r="E131" s="266" t="str">
        <f t="shared" si="89"/>
        <v>$0</v>
      </c>
      <c r="F131" s="266"/>
      <c r="G131" s="266" t="str" cm="1">
        <f t="array" ref="G131">IFERROR(_xlfn.IFS($A131&gt;=1000000000,"B",$A131&gt;=1000000,"M",$A131&gt;=1000,"K",$A131&gt;=100,""),"")</f>
        <v/>
      </c>
      <c r="H131" s="266"/>
      <c r="I131" s="266" t="str">
        <f t="shared" si="90"/>
        <v>($0)</v>
      </c>
      <c r="J131" s="267"/>
      <c r="K131" s="267"/>
      <c r="L131" s="267"/>
      <c r="M131" s="267"/>
      <c r="N131" s="267"/>
      <c r="O131" s="267"/>
      <c r="P131" s="263"/>
      <c r="Q131" s="263"/>
      <c r="AK131" s="264"/>
      <c r="AL131" s="264"/>
    </row>
    <row r="132" spans="1:38" ht="19.95" hidden="1" customHeight="1" x14ac:dyDescent="0.55000000000000004">
      <c r="A132" s="268" t="s">
        <v>1828</v>
      </c>
      <c r="B132" s="268"/>
      <c r="C132" s="267"/>
      <c r="D132" s="267"/>
      <c r="E132" s="267"/>
      <c r="F132" s="267"/>
      <c r="G132" s="267"/>
      <c r="H132" s="267"/>
      <c r="I132" s="267"/>
      <c r="J132" s="267"/>
      <c r="K132" s="267"/>
      <c r="L132" s="267"/>
      <c r="M132" s="267"/>
      <c r="N132" s="267"/>
      <c r="O132" s="267"/>
      <c r="P132" s="263"/>
      <c r="Q132" s="263"/>
      <c r="AK132" s="264"/>
      <c r="AL132" s="264"/>
    </row>
    <row r="133" spans="1:38" ht="19.95" hidden="1" customHeight="1" x14ac:dyDescent="0.55000000000000004">
      <c r="A133" s="268" t="s">
        <v>1829</v>
      </c>
      <c r="B133" s="268"/>
      <c r="C133" s="267"/>
      <c r="D133" s="267"/>
      <c r="E133" s="267"/>
      <c r="F133" s="267"/>
      <c r="G133" s="267"/>
      <c r="H133" s="267"/>
      <c r="I133" s="267"/>
      <c r="J133" s="267"/>
      <c r="K133" s="267"/>
      <c r="L133" s="267"/>
      <c r="M133" s="267"/>
      <c r="N133" s="267"/>
      <c r="O133" s="267"/>
      <c r="P133" s="263"/>
      <c r="Q133" s="263"/>
      <c r="AK133" s="264"/>
      <c r="AL133" s="264"/>
    </row>
    <row r="134" spans="1:38" ht="19.95" hidden="1" customHeight="1" x14ac:dyDescent="0.55000000000000004">
      <c r="A134" s="268" t="s">
        <v>1830</v>
      </c>
      <c r="B134" s="268"/>
      <c r="C134" s="267"/>
      <c r="D134" s="267"/>
      <c r="E134" s="267"/>
      <c r="F134" s="267"/>
      <c r="G134" s="267"/>
      <c r="H134" s="267"/>
      <c r="I134" s="267"/>
      <c r="J134" s="267"/>
      <c r="K134" s="267"/>
      <c r="L134" s="267"/>
      <c r="M134" s="267"/>
      <c r="N134" s="267"/>
      <c r="O134" s="267"/>
      <c r="P134" s="263"/>
      <c r="Q134" s="263"/>
      <c r="AK134" s="264"/>
      <c r="AL134" s="264"/>
    </row>
    <row r="135" spans="1:38" ht="19.95" hidden="1" customHeight="1" x14ac:dyDescent="0.55000000000000004">
      <c r="A135" s="268" t="s">
        <v>1831</v>
      </c>
      <c r="B135" s="268"/>
      <c r="C135" s="267"/>
      <c r="D135" s="267"/>
      <c r="E135" s="267"/>
      <c r="F135" s="267"/>
      <c r="G135" s="267"/>
      <c r="H135" s="267"/>
      <c r="I135" s="267"/>
      <c r="J135" s="267"/>
      <c r="K135" s="267"/>
      <c r="L135" s="267"/>
      <c r="M135" s="267"/>
      <c r="N135" s="267"/>
      <c r="O135" s="267"/>
      <c r="P135" s="263"/>
      <c r="Q135" s="263"/>
      <c r="AK135" s="264"/>
      <c r="AL135" s="264"/>
    </row>
    <row r="136" spans="1:38" ht="19.95" hidden="1" customHeight="1" x14ac:dyDescent="0.55000000000000004">
      <c r="A136" s="268" t="str">
        <f>IF(A131=0,""," and ")</f>
        <v/>
      </c>
      <c r="B136" s="268"/>
      <c r="C136" s="267"/>
      <c r="D136" s="267"/>
      <c r="E136" s="267"/>
      <c r="F136" s="267"/>
      <c r="G136" s="267"/>
      <c r="H136" s="267"/>
      <c r="I136" s="267"/>
      <c r="J136" s="267"/>
      <c r="K136" s="267"/>
      <c r="L136" s="267"/>
      <c r="M136" s="267"/>
      <c r="N136" s="267"/>
      <c r="O136" s="267"/>
      <c r="P136" s="263"/>
      <c r="Q136" s="263"/>
      <c r="AK136" s="264"/>
      <c r="AL136" s="264"/>
    </row>
    <row r="137" spans="1:38" ht="19.95" hidden="1" customHeight="1" x14ac:dyDescent="0.55000000000000004">
      <c r="A137" s="268" t="str">
        <f>IF(A131=0,"."," respectively.")</f>
        <v>.</v>
      </c>
      <c r="B137" s="268"/>
      <c r="C137" s="267"/>
      <c r="D137" s="267"/>
      <c r="E137" s="267"/>
      <c r="F137" s="267"/>
      <c r="G137" s="267"/>
      <c r="H137" s="267"/>
      <c r="I137" s="267"/>
      <c r="J137" s="267"/>
      <c r="K137" s="267"/>
      <c r="L137" s="267"/>
      <c r="M137" s="267"/>
      <c r="N137" s="267"/>
      <c r="O137" s="267"/>
      <c r="P137" s="263"/>
      <c r="Q137" s="263"/>
      <c r="AK137" s="264"/>
      <c r="AL137" s="264"/>
    </row>
    <row r="138" spans="1:38" ht="19.95" hidden="1" customHeight="1" x14ac:dyDescent="0.55000000000000004">
      <c r="A138" s="268" t="s">
        <v>1832</v>
      </c>
      <c r="B138" s="268"/>
      <c r="C138" s="267"/>
      <c r="D138" s="267"/>
      <c r="E138" s="267"/>
      <c r="F138" s="267"/>
      <c r="G138" s="267"/>
      <c r="H138" s="267"/>
      <c r="I138" s="267"/>
      <c r="J138" s="267"/>
      <c r="K138" s="267"/>
      <c r="L138" s="267"/>
      <c r="M138" s="267"/>
      <c r="N138" s="267"/>
      <c r="O138" s="267"/>
      <c r="P138" s="263"/>
      <c r="Q138" s="263"/>
      <c r="AK138" s="264"/>
      <c r="AL138" s="264"/>
    </row>
    <row r="139" spans="1:38" ht="19.95" customHeight="1" x14ac:dyDescent="0.55000000000000004"/>
    <row r="140" spans="1:38" ht="19.95" customHeight="1" x14ac:dyDescent="0.55000000000000004"/>
    <row r="141" spans="1:38" ht="19.95" customHeight="1" x14ac:dyDescent="0.55000000000000004"/>
    <row r="142" spans="1:38" ht="19.95" customHeight="1" x14ac:dyDescent="0.55000000000000004"/>
    <row r="143" spans="1:38" ht="19.95" customHeight="1" x14ac:dyDescent="0.55000000000000004"/>
    <row r="144" spans="1:38" ht="19.95" customHeight="1" x14ac:dyDescent="0.55000000000000004"/>
    <row r="145" ht="19.95" customHeight="1" x14ac:dyDescent="0.55000000000000004"/>
    <row r="146" ht="19.95" customHeight="1" x14ac:dyDescent="0.55000000000000004"/>
  </sheetData>
  <sheetProtection algorithmName="SHA-512" hashValue="LWI+A+G7HxjSaprN5OMyex4dchlA5GzpPnxXSQyI3yY9BryNhQPkZcLlu3DGsH/F3HYhoVEqPgTKcZ/rIl7JEQ==" saltValue="QKUBPzJ3DD3T4u+FLZcnlw==" spinCount="100000" sheet="1" objects="1" scenarios="1" formatColumns="0" formatRows="0"/>
  <mergeCells count="836">
    <mergeCell ref="A127:B127"/>
    <mergeCell ref="A128:B128"/>
    <mergeCell ref="A129:B129"/>
    <mergeCell ref="A130:B130"/>
    <mergeCell ref="A131:B131"/>
    <mergeCell ref="C127:D127"/>
    <mergeCell ref="C128:D128"/>
    <mergeCell ref="C129:D129"/>
    <mergeCell ref="C130:D130"/>
    <mergeCell ref="C131:D131"/>
    <mergeCell ref="A126:O126"/>
    <mergeCell ref="E127:G127"/>
    <mergeCell ref="AK7:AM9"/>
    <mergeCell ref="A10:AM10"/>
    <mergeCell ref="A93:I93"/>
    <mergeCell ref="J93:L93"/>
    <mergeCell ref="M93:O93"/>
    <mergeCell ref="Y11:AA11"/>
    <mergeCell ref="AB11:AD11"/>
    <mergeCell ref="AE11:AG11"/>
    <mergeCell ref="AH11:AJ11"/>
    <mergeCell ref="P12:R12"/>
    <mergeCell ref="S12:U12"/>
    <mergeCell ref="P7:R9"/>
    <mergeCell ref="S7:U9"/>
    <mergeCell ref="V7:X9"/>
    <mergeCell ref="Y7:AA9"/>
    <mergeCell ref="AB7:AD9"/>
    <mergeCell ref="AE7:AG9"/>
    <mergeCell ref="AH7:AJ9"/>
    <mergeCell ref="A68:I68"/>
    <mergeCell ref="J68:L68"/>
    <mergeCell ref="M68:O68"/>
    <mergeCell ref="AH22:AJ22"/>
    <mergeCell ref="AK22:AM22"/>
    <mergeCell ref="P23:R23"/>
    <mergeCell ref="A100:I100"/>
    <mergeCell ref="A1:N1"/>
    <mergeCell ref="A3:N3"/>
    <mergeCell ref="A2:N2"/>
    <mergeCell ref="A18:I18"/>
    <mergeCell ref="J18:L18"/>
    <mergeCell ref="M18:O18"/>
    <mergeCell ref="A65:I65"/>
    <mergeCell ref="A7:I9"/>
    <mergeCell ref="J7:L9"/>
    <mergeCell ref="M7:O9"/>
    <mergeCell ref="M12:O12"/>
    <mergeCell ref="A29:I29"/>
    <mergeCell ref="A30:I30"/>
    <mergeCell ref="J22:L22"/>
    <mergeCell ref="M22:O22"/>
    <mergeCell ref="M13:O13"/>
    <mergeCell ref="J31:L31"/>
    <mergeCell ref="M31:O31"/>
    <mergeCell ref="J23:L23"/>
    <mergeCell ref="M23:O23"/>
    <mergeCell ref="A11:I11"/>
    <mergeCell ref="A12:I12"/>
    <mergeCell ref="A13:I13"/>
    <mergeCell ref="A14:I14"/>
    <mergeCell ref="A17:AM17"/>
    <mergeCell ref="A19:AM19"/>
    <mergeCell ref="A20:I20"/>
    <mergeCell ref="A21:I21"/>
    <mergeCell ref="J11:L11"/>
    <mergeCell ref="J12:L12"/>
    <mergeCell ref="J13:L13"/>
    <mergeCell ref="J14:L14"/>
    <mergeCell ref="M11:O11"/>
    <mergeCell ref="P11:R11"/>
    <mergeCell ref="S11:U11"/>
    <mergeCell ref="V11:X11"/>
    <mergeCell ref="Y12:AA12"/>
    <mergeCell ref="AB12:AD12"/>
    <mergeCell ref="AE12:AG12"/>
    <mergeCell ref="AH12:AJ12"/>
    <mergeCell ref="P13:R13"/>
    <mergeCell ref="S13:U13"/>
    <mergeCell ref="V13:X13"/>
    <mergeCell ref="Y13:AA13"/>
    <mergeCell ref="AB13:AD13"/>
    <mergeCell ref="AE13:AG13"/>
    <mergeCell ref="AH13:AJ13"/>
    <mergeCell ref="AB15:AD15"/>
    <mergeCell ref="AE15:AG15"/>
    <mergeCell ref="A22:I22"/>
    <mergeCell ref="A23:I23"/>
    <mergeCell ref="P18:R18"/>
    <mergeCell ref="S18:U18"/>
    <mergeCell ref="V18:X18"/>
    <mergeCell ref="Y18:AA18"/>
    <mergeCell ref="AB18:AD18"/>
    <mergeCell ref="AE18:AG18"/>
    <mergeCell ref="AH18:AJ18"/>
    <mergeCell ref="P20:R20"/>
    <mergeCell ref="S20:U20"/>
    <mergeCell ref="V20:X20"/>
    <mergeCell ref="Y20:AA20"/>
    <mergeCell ref="AB20:AD20"/>
    <mergeCell ref="AE20:AG20"/>
    <mergeCell ref="AH20:AJ20"/>
    <mergeCell ref="Y23:AA23"/>
    <mergeCell ref="AB23:AD23"/>
    <mergeCell ref="AE23:AG23"/>
    <mergeCell ref="AH23:AJ23"/>
    <mergeCell ref="A24:I24"/>
    <mergeCell ref="A25:AM25"/>
    <mergeCell ref="A26:I26"/>
    <mergeCell ref="A27:I27"/>
    <mergeCell ref="A28:I28"/>
    <mergeCell ref="AK20:AM20"/>
    <mergeCell ref="J21:L21"/>
    <mergeCell ref="P22:R22"/>
    <mergeCell ref="S22:U22"/>
    <mergeCell ref="V22:X22"/>
    <mergeCell ref="Y22:AA22"/>
    <mergeCell ref="AB22:AD22"/>
    <mergeCell ref="AE22:AG22"/>
    <mergeCell ref="M21:O21"/>
    <mergeCell ref="P21:R21"/>
    <mergeCell ref="S21:U21"/>
    <mergeCell ref="V21:X21"/>
    <mergeCell ref="Y21:AA21"/>
    <mergeCell ref="AB21:AD21"/>
    <mergeCell ref="AE21:AG21"/>
    <mergeCell ref="AH21:AJ21"/>
    <mergeCell ref="AK21:AM21"/>
    <mergeCell ref="J20:L20"/>
    <mergeCell ref="M20:O20"/>
    <mergeCell ref="AH46:AJ46"/>
    <mergeCell ref="AK46:AM46"/>
    <mergeCell ref="A34:AM34"/>
    <mergeCell ref="A35:I35"/>
    <mergeCell ref="J35:L35"/>
    <mergeCell ref="M35:O35"/>
    <mergeCell ref="P35:R35"/>
    <mergeCell ref="S35:U35"/>
    <mergeCell ref="V35:X35"/>
    <mergeCell ref="Y35:AA35"/>
    <mergeCell ref="AB35:AD35"/>
    <mergeCell ref="AE35:AG35"/>
    <mergeCell ref="AH35:AJ35"/>
    <mergeCell ref="A46:I46"/>
    <mergeCell ref="J46:L46"/>
    <mergeCell ref="M46:O46"/>
    <mergeCell ref="P46:R46"/>
    <mergeCell ref="S46:U46"/>
    <mergeCell ref="V46:X46"/>
    <mergeCell ref="Y46:AA46"/>
    <mergeCell ref="AB46:AD46"/>
    <mergeCell ref="AE46:AG46"/>
    <mergeCell ref="AK35:AM35"/>
    <mergeCell ref="A36:I36"/>
    <mergeCell ref="AH48:AJ48"/>
    <mergeCell ref="AK48:AM48"/>
    <mergeCell ref="A66:I66"/>
    <mergeCell ref="J66:L66"/>
    <mergeCell ref="M66:O66"/>
    <mergeCell ref="P66:R66"/>
    <mergeCell ref="S66:U66"/>
    <mergeCell ref="V66:X66"/>
    <mergeCell ref="Y66:AA66"/>
    <mergeCell ref="AB66:AD66"/>
    <mergeCell ref="AE66:AG66"/>
    <mergeCell ref="AH66:AJ66"/>
    <mergeCell ref="AK66:AM66"/>
    <mergeCell ref="A48:I48"/>
    <mergeCell ref="J48:L48"/>
    <mergeCell ref="M48:O48"/>
    <mergeCell ref="P48:R48"/>
    <mergeCell ref="S48:U48"/>
    <mergeCell ref="V48:X48"/>
    <mergeCell ref="Y48:AA48"/>
    <mergeCell ref="AB48:AD48"/>
    <mergeCell ref="AE48:AG48"/>
    <mergeCell ref="A50:AM50"/>
    <mergeCell ref="A51:I51"/>
    <mergeCell ref="P68:R68"/>
    <mergeCell ref="S68:U68"/>
    <mergeCell ref="V68:X68"/>
    <mergeCell ref="Y68:AA68"/>
    <mergeCell ref="AB68:AD68"/>
    <mergeCell ref="AE68:AG68"/>
    <mergeCell ref="AH68:AJ68"/>
    <mergeCell ref="AK68:AM68"/>
    <mergeCell ref="A86:I86"/>
    <mergeCell ref="J86:L86"/>
    <mergeCell ref="M86:O86"/>
    <mergeCell ref="P86:R86"/>
    <mergeCell ref="S86:U86"/>
    <mergeCell ref="V86:X86"/>
    <mergeCell ref="Y86:AA86"/>
    <mergeCell ref="AB86:AD86"/>
    <mergeCell ref="AE86:AG86"/>
    <mergeCell ref="AH86:AJ86"/>
    <mergeCell ref="AK86:AM86"/>
    <mergeCell ref="A75:I75"/>
    <mergeCell ref="J75:L75"/>
    <mergeCell ref="M75:O75"/>
    <mergeCell ref="P75:R75"/>
    <mergeCell ref="S75:U75"/>
    <mergeCell ref="V75:X75"/>
    <mergeCell ref="Y75:AA75"/>
    <mergeCell ref="AB75:AD75"/>
    <mergeCell ref="AE75:AG75"/>
    <mergeCell ref="AH75:AJ75"/>
    <mergeCell ref="AK75:AM75"/>
    <mergeCell ref="P93:R93"/>
    <mergeCell ref="S93:U93"/>
    <mergeCell ref="V93:X93"/>
    <mergeCell ref="Y93:AA93"/>
    <mergeCell ref="AB93:AD93"/>
    <mergeCell ref="AE93:AG93"/>
    <mergeCell ref="AH93:AJ93"/>
    <mergeCell ref="AK93:AM93"/>
    <mergeCell ref="AH76:AJ76"/>
    <mergeCell ref="AK76:AM76"/>
    <mergeCell ref="AH77:AJ77"/>
    <mergeCell ref="AK77:AM77"/>
    <mergeCell ref="AH78:AJ78"/>
    <mergeCell ref="AK78:AM78"/>
    <mergeCell ref="AH79:AJ79"/>
    <mergeCell ref="AK79:AM79"/>
    <mergeCell ref="AH80:AJ80"/>
    <mergeCell ref="AK80:AM80"/>
    <mergeCell ref="P98:R98"/>
    <mergeCell ref="S98:U98"/>
    <mergeCell ref="V98:X98"/>
    <mergeCell ref="Y98:AA98"/>
    <mergeCell ref="AB98:AD98"/>
    <mergeCell ref="AE98:AG98"/>
    <mergeCell ref="AH98:AJ98"/>
    <mergeCell ref="AK98:AM98"/>
    <mergeCell ref="A97:I97"/>
    <mergeCell ref="J97:L97"/>
    <mergeCell ref="M97:O97"/>
    <mergeCell ref="P97:R97"/>
    <mergeCell ref="S97:U97"/>
    <mergeCell ref="V97:X97"/>
    <mergeCell ref="Y97:AA97"/>
    <mergeCell ref="AB97:AD97"/>
    <mergeCell ref="AE97:AG97"/>
    <mergeCell ref="AH97:AJ97"/>
    <mergeCell ref="AK97:AM97"/>
    <mergeCell ref="A98:I98"/>
    <mergeCell ref="J98:L98"/>
    <mergeCell ref="M98:O98"/>
    <mergeCell ref="J100:L100"/>
    <mergeCell ref="M100:O100"/>
    <mergeCell ref="P100:R100"/>
    <mergeCell ref="S100:U100"/>
    <mergeCell ref="V100:X100"/>
    <mergeCell ref="Y100:AA100"/>
    <mergeCell ref="AB100:AD100"/>
    <mergeCell ref="AE100:AG100"/>
    <mergeCell ref="AH100:AJ100"/>
    <mergeCell ref="AK100:AM100"/>
    <mergeCell ref="A109:I109"/>
    <mergeCell ref="J109:L109"/>
    <mergeCell ref="M109:O109"/>
    <mergeCell ref="P109:R109"/>
    <mergeCell ref="S109:U109"/>
    <mergeCell ref="V109:X109"/>
    <mergeCell ref="Y109:AA109"/>
    <mergeCell ref="AB109:AD109"/>
    <mergeCell ref="AE109:AG109"/>
    <mergeCell ref="AH109:AJ109"/>
    <mergeCell ref="AK109:AM109"/>
    <mergeCell ref="A104:I104"/>
    <mergeCell ref="J104:L104"/>
    <mergeCell ref="M104:O104"/>
    <mergeCell ref="P104:R104"/>
    <mergeCell ref="S104:U104"/>
    <mergeCell ref="V104:X104"/>
    <mergeCell ref="Y104:AA104"/>
    <mergeCell ref="AB104:AD104"/>
    <mergeCell ref="AE104:AG104"/>
    <mergeCell ref="AH104:AJ104"/>
    <mergeCell ref="AK104:AM104"/>
    <mergeCell ref="P105:R105"/>
    <mergeCell ref="AK23:AM23"/>
    <mergeCell ref="J24:L24"/>
    <mergeCell ref="M24:O24"/>
    <mergeCell ref="P24:R24"/>
    <mergeCell ref="S24:U24"/>
    <mergeCell ref="V24:X24"/>
    <mergeCell ref="Y24:AA24"/>
    <mergeCell ref="AB24:AD24"/>
    <mergeCell ref="AE24:AG24"/>
    <mergeCell ref="AH24:AJ24"/>
    <mergeCell ref="AK24:AM24"/>
    <mergeCell ref="S23:U23"/>
    <mergeCell ref="V23:X23"/>
    <mergeCell ref="AK18:AM18"/>
    <mergeCell ref="A4:AM6"/>
    <mergeCell ref="AH15:AJ15"/>
    <mergeCell ref="AK15:AM15"/>
    <mergeCell ref="M14:O14"/>
    <mergeCell ref="P14:R14"/>
    <mergeCell ref="S14:U14"/>
    <mergeCell ref="V14:X14"/>
    <mergeCell ref="Y14:AA14"/>
    <mergeCell ref="AB14:AD14"/>
    <mergeCell ref="AE14:AG14"/>
    <mergeCell ref="AH14:AJ14"/>
    <mergeCell ref="AK11:AM11"/>
    <mergeCell ref="AK12:AM12"/>
    <mergeCell ref="AK13:AM13"/>
    <mergeCell ref="AK14:AM14"/>
    <mergeCell ref="V12:X12"/>
    <mergeCell ref="A15:I15"/>
    <mergeCell ref="J15:L15"/>
    <mergeCell ref="M15:O15"/>
    <mergeCell ref="P15:R15"/>
    <mergeCell ref="S15:U15"/>
    <mergeCell ref="V15:X15"/>
    <mergeCell ref="Y15:AA15"/>
    <mergeCell ref="AK26:AM26"/>
    <mergeCell ref="J27:L27"/>
    <mergeCell ref="M27:O27"/>
    <mergeCell ref="P27:R27"/>
    <mergeCell ref="S27:U27"/>
    <mergeCell ref="V27:X27"/>
    <mergeCell ref="Y27:AA27"/>
    <mergeCell ref="AB27:AD27"/>
    <mergeCell ref="AE27:AG27"/>
    <mergeCell ref="AH27:AJ27"/>
    <mergeCell ref="AK27:AM27"/>
    <mergeCell ref="J26:L26"/>
    <mergeCell ref="M26:O26"/>
    <mergeCell ref="P26:R26"/>
    <mergeCell ref="S26:U26"/>
    <mergeCell ref="V26:X26"/>
    <mergeCell ref="Y26:AA26"/>
    <mergeCell ref="AB26:AD26"/>
    <mergeCell ref="AE26:AG26"/>
    <mergeCell ref="AH26:AJ26"/>
    <mergeCell ref="A31:I31"/>
    <mergeCell ref="AK28:AM28"/>
    <mergeCell ref="J29:L29"/>
    <mergeCell ref="M29:O29"/>
    <mergeCell ref="P29:R29"/>
    <mergeCell ref="S29:U29"/>
    <mergeCell ref="V29:X29"/>
    <mergeCell ref="Y29:AA29"/>
    <mergeCell ref="AB29:AD29"/>
    <mergeCell ref="AE29:AG29"/>
    <mergeCell ref="AH29:AJ29"/>
    <mergeCell ref="AK29:AM29"/>
    <mergeCell ref="J28:L28"/>
    <mergeCell ref="M28:O28"/>
    <mergeCell ref="P28:R28"/>
    <mergeCell ref="S28:U28"/>
    <mergeCell ref="V28:X28"/>
    <mergeCell ref="Y28:AA28"/>
    <mergeCell ref="AB28:AD28"/>
    <mergeCell ref="AE28:AG28"/>
    <mergeCell ref="AH28:AJ28"/>
    <mergeCell ref="P31:R31"/>
    <mergeCell ref="S31:U31"/>
    <mergeCell ref="V31:X31"/>
    <mergeCell ref="J30:L30"/>
    <mergeCell ref="M30:O30"/>
    <mergeCell ref="P30:R30"/>
    <mergeCell ref="S30:U30"/>
    <mergeCell ref="V30:X30"/>
    <mergeCell ref="Y30:AA30"/>
    <mergeCell ref="AB30:AD30"/>
    <mergeCell ref="AE30:AG30"/>
    <mergeCell ref="AH30:AJ30"/>
    <mergeCell ref="A33:I33"/>
    <mergeCell ref="J33:L33"/>
    <mergeCell ref="M33:O33"/>
    <mergeCell ref="P33:R33"/>
    <mergeCell ref="S33:U33"/>
    <mergeCell ref="V33:X33"/>
    <mergeCell ref="Y33:AA33"/>
    <mergeCell ref="AB33:AD33"/>
    <mergeCell ref="AE33:AG33"/>
    <mergeCell ref="M36:O36"/>
    <mergeCell ref="P36:R36"/>
    <mergeCell ref="S36:U36"/>
    <mergeCell ref="V36:X36"/>
    <mergeCell ref="Y36:AA36"/>
    <mergeCell ref="AB36:AD36"/>
    <mergeCell ref="AE36:AG36"/>
    <mergeCell ref="AH36:AJ36"/>
    <mergeCell ref="AK30:AM30"/>
    <mergeCell ref="AH33:AJ33"/>
    <mergeCell ref="AK33:AM33"/>
    <mergeCell ref="AH31:AJ31"/>
    <mergeCell ref="AK31:AM31"/>
    <mergeCell ref="Y31:AA31"/>
    <mergeCell ref="AB31:AD31"/>
    <mergeCell ref="AE31:AG31"/>
    <mergeCell ref="AK36:AM36"/>
    <mergeCell ref="AH37:AJ37"/>
    <mergeCell ref="AK37:AM37"/>
    <mergeCell ref="A38:I38"/>
    <mergeCell ref="J38:L38"/>
    <mergeCell ref="M38:O38"/>
    <mergeCell ref="P38:R38"/>
    <mergeCell ref="S38:U38"/>
    <mergeCell ref="V38:X38"/>
    <mergeCell ref="Y38:AA38"/>
    <mergeCell ref="AB38:AD38"/>
    <mergeCell ref="AE38:AG38"/>
    <mergeCell ref="AH38:AJ38"/>
    <mergeCell ref="AK38:AM38"/>
    <mergeCell ref="A37:I37"/>
    <mergeCell ref="J37:L37"/>
    <mergeCell ref="M37:O37"/>
    <mergeCell ref="P37:R37"/>
    <mergeCell ref="S37:U37"/>
    <mergeCell ref="V37:X37"/>
    <mergeCell ref="Y37:AA37"/>
    <mergeCell ref="AB37:AD37"/>
    <mergeCell ref="AE37:AG37"/>
    <mergeCell ref="J36:L36"/>
    <mergeCell ref="AH39:AJ39"/>
    <mergeCell ref="AK39:AM39"/>
    <mergeCell ref="A40:AM40"/>
    <mergeCell ref="A41:I41"/>
    <mergeCell ref="J41:L41"/>
    <mergeCell ref="M41:O41"/>
    <mergeCell ref="P41:R41"/>
    <mergeCell ref="S41:U41"/>
    <mergeCell ref="V41:X41"/>
    <mergeCell ref="Y41:AA41"/>
    <mergeCell ref="AB41:AD41"/>
    <mergeCell ref="AE41:AG41"/>
    <mergeCell ref="AH41:AJ41"/>
    <mergeCell ref="AK41:AM41"/>
    <mergeCell ref="A39:I39"/>
    <mergeCell ref="J39:L39"/>
    <mergeCell ref="M39:O39"/>
    <mergeCell ref="P39:R39"/>
    <mergeCell ref="S39:U39"/>
    <mergeCell ref="V39:X39"/>
    <mergeCell ref="Y39:AA39"/>
    <mergeCell ref="AB39:AD39"/>
    <mergeCell ref="AE39:AG39"/>
    <mergeCell ref="AH42:AJ42"/>
    <mergeCell ref="AK42:AM42"/>
    <mergeCell ref="A43:I43"/>
    <mergeCell ref="J43:L43"/>
    <mergeCell ref="M43:O43"/>
    <mergeCell ref="P43:R43"/>
    <mergeCell ref="S43:U43"/>
    <mergeCell ref="V43:X43"/>
    <mergeCell ref="Y43:AA43"/>
    <mergeCell ref="AB43:AD43"/>
    <mergeCell ref="AE43:AG43"/>
    <mergeCell ref="AH43:AJ43"/>
    <mergeCell ref="AK43:AM43"/>
    <mergeCell ref="A42:I42"/>
    <mergeCell ref="J42:L42"/>
    <mergeCell ref="M42:O42"/>
    <mergeCell ref="P42:R42"/>
    <mergeCell ref="S42:U42"/>
    <mergeCell ref="V42:X42"/>
    <mergeCell ref="Y42:AA42"/>
    <mergeCell ref="AB42:AD42"/>
    <mergeCell ref="AE42:AG42"/>
    <mergeCell ref="AH44:AJ44"/>
    <mergeCell ref="AK44:AM44"/>
    <mergeCell ref="A45:I45"/>
    <mergeCell ref="J45:L45"/>
    <mergeCell ref="M45:O45"/>
    <mergeCell ref="P45:R45"/>
    <mergeCell ref="S45:U45"/>
    <mergeCell ref="V45:X45"/>
    <mergeCell ref="Y45:AA45"/>
    <mergeCell ref="AB45:AD45"/>
    <mergeCell ref="AE45:AG45"/>
    <mergeCell ref="AH45:AJ45"/>
    <mergeCell ref="AK45:AM45"/>
    <mergeCell ref="A44:I44"/>
    <mergeCell ref="J44:L44"/>
    <mergeCell ref="M44:O44"/>
    <mergeCell ref="P44:R44"/>
    <mergeCell ref="S44:U44"/>
    <mergeCell ref="V44:X44"/>
    <mergeCell ref="Y44:AA44"/>
    <mergeCell ref="AB44:AD44"/>
    <mergeCell ref="AE44:AG44"/>
    <mergeCell ref="AK51:AM51"/>
    <mergeCell ref="A53:AM53"/>
    <mergeCell ref="A54:I54"/>
    <mergeCell ref="J54:L54"/>
    <mergeCell ref="M54:O54"/>
    <mergeCell ref="P54:R54"/>
    <mergeCell ref="S54:U54"/>
    <mergeCell ref="V54:X54"/>
    <mergeCell ref="Y54:AA54"/>
    <mergeCell ref="AB54:AD54"/>
    <mergeCell ref="AE54:AG54"/>
    <mergeCell ref="AH54:AJ54"/>
    <mergeCell ref="AK54:AM54"/>
    <mergeCell ref="J51:L51"/>
    <mergeCell ref="M51:O51"/>
    <mergeCell ref="P51:R51"/>
    <mergeCell ref="S51:U51"/>
    <mergeCell ref="V51:X51"/>
    <mergeCell ref="Y51:AA51"/>
    <mergeCell ref="AB51:AD51"/>
    <mergeCell ref="AE51:AG51"/>
    <mergeCell ref="AH51:AJ51"/>
    <mergeCell ref="A56:AM56"/>
    <mergeCell ref="A57:I57"/>
    <mergeCell ref="J57:L57"/>
    <mergeCell ref="M57:O57"/>
    <mergeCell ref="P57:R57"/>
    <mergeCell ref="S57:U57"/>
    <mergeCell ref="V57:X57"/>
    <mergeCell ref="Y57:AA57"/>
    <mergeCell ref="AB57:AD57"/>
    <mergeCell ref="AE57:AG57"/>
    <mergeCell ref="AH57:AJ57"/>
    <mergeCell ref="AK57:AM57"/>
    <mergeCell ref="A59:AM59"/>
    <mergeCell ref="A60:I60"/>
    <mergeCell ref="J60:L60"/>
    <mergeCell ref="M60:O60"/>
    <mergeCell ref="P60:R60"/>
    <mergeCell ref="S60:U60"/>
    <mergeCell ref="V60:X60"/>
    <mergeCell ref="Y60:AA60"/>
    <mergeCell ref="AB60:AD60"/>
    <mergeCell ref="AE60:AG60"/>
    <mergeCell ref="AH60:AJ60"/>
    <mergeCell ref="AK60:AM60"/>
    <mergeCell ref="AK61:AM61"/>
    <mergeCell ref="A62:I62"/>
    <mergeCell ref="J62:L62"/>
    <mergeCell ref="M62:O62"/>
    <mergeCell ref="P62:R62"/>
    <mergeCell ref="S62:U62"/>
    <mergeCell ref="V62:X62"/>
    <mergeCell ref="Y62:AA62"/>
    <mergeCell ref="AB62:AD62"/>
    <mergeCell ref="AE62:AG62"/>
    <mergeCell ref="AH62:AJ62"/>
    <mergeCell ref="AK62:AM62"/>
    <mergeCell ref="J61:L61"/>
    <mergeCell ref="M61:O61"/>
    <mergeCell ref="P61:R61"/>
    <mergeCell ref="S61:U61"/>
    <mergeCell ref="V61:X61"/>
    <mergeCell ref="Y61:AA61"/>
    <mergeCell ref="AB61:AD61"/>
    <mergeCell ref="AE61:AG61"/>
    <mergeCell ref="AH61:AJ61"/>
    <mergeCell ref="A61:I61"/>
    <mergeCell ref="AK63:AM63"/>
    <mergeCell ref="A64:I64"/>
    <mergeCell ref="J64:L64"/>
    <mergeCell ref="M64:O64"/>
    <mergeCell ref="P64:R64"/>
    <mergeCell ref="S64:U64"/>
    <mergeCell ref="V64:X64"/>
    <mergeCell ref="Y64:AA64"/>
    <mergeCell ref="AB64:AD64"/>
    <mergeCell ref="AE64:AG64"/>
    <mergeCell ref="AH64:AJ64"/>
    <mergeCell ref="AK64:AM64"/>
    <mergeCell ref="J63:L63"/>
    <mergeCell ref="M63:O63"/>
    <mergeCell ref="P63:R63"/>
    <mergeCell ref="S63:U63"/>
    <mergeCell ref="V63:X63"/>
    <mergeCell ref="Y63:AA63"/>
    <mergeCell ref="AB63:AD63"/>
    <mergeCell ref="AE63:AG63"/>
    <mergeCell ref="AH63:AJ63"/>
    <mergeCell ref="A63:I63"/>
    <mergeCell ref="J65:L65"/>
    <mergeCell ref="M65:O65"/>
    <mergeCell ref="P65:R65"/>
    <mergeCell ref="S65:U65"/>
    <mergeCell ref="V65:X65"/>
    <mergeCell ref="Y65:AA65"/>
    <mergeCell ref="AB65:AD65"/>
    <mergeCell ref="AE65:AG65"/>
    <mergeCell ref="AH65:AJ65"/>
    <mergeCell ref="AK65:AM65"/>
    <mergeCell ref="A74:I74"/>
    <mergeCell ref="J74:L74"/>
    <mergeCell ref="M74:O74"/>
    <mergeCell ref="P74:R74"/>
    <mergeCell ref="S74:U74"/>
    <mergeCell ref="V74:X74"/>
    <mergeCell ref="Y74:AA74"/>
    <mergeCell ref="AB74:AD74"/>
    <mergeCell ref="AE74:AG74"/>
    <mergeCell ref="AH74:AJ74"/>
    <mergeCell ref="AK74:AM74"/>
    <mergeCell ref="A73:AM73"/>
    <mergeCell ref="A70:I72"/>
    <mergeCell ref="J70:L72"/>
    <mergeCell ref="M70:O72"/>
    <mergeCell ref="P70:R72"/>
    <mergeCell ref="S70:U72"/>
    <mergeCell ref="V70:X72"/>
    <mergeCell ref="Y70:AA72"/>
    <mergeCell ref="AB70:AD72"/>
    <mergeCell ref="AE70:AG72"/>
    <mergeCell ref="AH70:AJ72"/>
    <mergeCell ref="AK70:AM72"/>
    <mergeCell ref="A77:I77"/>
    <mergeCell ref="J77:L77"/>
    <mergeCell ref="M77:O77"/>
    <mergeCell ref="P77:R77"/>
    <mergeCell ref="S77:U77"/>
    <mergeCell ref="V77:X77"/>
    <mergeCell ref="Y77:AA77"/>
    <mergeCell ref="AB77:AD77"/>
    <mergeCell ref="AE77:AG77"/>
    <mergeCell ref="A76:I76"/>
    <mergeCell ref="J76:L76"/>
    <mergeCell ref="M76:O76"/>
    <mergeCell ref="P76:R76"/>
    <mergeCell ref="S76:U76"/>
    <mergeCell ref="V76:X76"/>
    <mergeCell ref="Y76:AA76"/>
    <mergeCell ref="AB76:AD76"/>
    <mergeCell ref="AE76:AG76"/>
    <mergeCell ref="A79:I79"/>
    <mergeCell ref="J79:L79"/>
    <mergeCell ref="M79:O79"/>
    <mergeCell ref="P79:R79"/>
    <mergeCell ref="S79:U79"/>
    <mergeCell ref="V79:X79"/>
    <mergeCell ref="Y79:AA79"/>
    <mergeCell ref="AB79:AD79"/>
    <mergeCell ref="AE79:AG79"/>
    <mergeCell ref="A78:I78"/>
    <mergeCell ref="J78:L78"/>
    <mergeCell ref="M78:O78"/>
    <mergeCell ref="P78:R78"/>
    <mergeCell ref="S78:U78"/>
    <mergeCell ref="V78:X78"/>
    <mergeCell ref="Y78:AA78"/>
    <mergeCell ref="AB78:AD78"/>
    <mergeCell ref="AE78:AG78"/>
    <mergeCell ref="AH81:AJ81"/>
    <mergeCell ref="AK81:AM81"/>
    <mergeCell ref="A80:I80"/>
    <mergeCell ref="J80:L80"/>
    <mergeCell ref="M80:O80"/>
    <mergeCell ref="P80:R80"/>
    <mergeCell ref="S80:U80"/>
    <mergeCell ref="V80:X80"/>
    <mergeCell ref="Y80:AA80"/>
    <mergeCell ref="AB80:AD80"/>
    <mergeCell ref="AE80:AG80"/>
    <mergeCell ref="A81:I81"/>
    <mergeCell ref="J81:L81"/>
    <mergeCell ref="M81:O81"/>
    <mergeCell ref="P81:R81"/>
    <mergeCell ref="S81:U81"/>
    <mergeCell ref="V81:X81"/>
    <mergeCell ref="Y81:AA81"/>
    <mergeCell ref="AB81:AD81"/>
    <mergeCell ref="AE81:AG81"/>
    <mergeCell ref="AH82:AJ82"/>
    <mergeCell ref="AK82:AM82"/>
    <mergeCell ref="A83:I83"/>
    <mergeCell ref="J83:L83"/>
    <mergeCell ref="M83:O83"/>
    <mergeCell ref="P83:R83"/>
    <mergeCell ref="S83:U83"/>
    <mergeCell ref="V83:X83"/>
    <mergeCell ref="Y83:AA83"/>
    <mergeCell ref="AB83:AD83"/>
    <mergeCell ref="AE83:AG83"/>
    <mergeCell ref="AH83:AJ83"/>
    <mergeCell ref="AK83:AM83"/>
    <mergeCell ref="A82:I82"/>
    <mergeCell ref="J82:L82"/>
    <mergeCell ref="M82:O82"/>
    <mergeCell ref="P82:R82"/>
    <mergeCell ref="S82:U82"/>
    <mergeCell ref="V82:X82"/>
    <mergeCell ref="Y82:AA82"/>
    <mergeCell ref="AB82:AD82"/>
    <mergeCell ref="AE82:AG82"/>
    <mergeCell ref="AH84:AJ84"/>
    <mergeCell ref="AK84:AM84"/>
    <mergeCell ref="A85:I85"/>
    <mergeCell ref="J85:L85"/>
    <mergeCell ref="M85:O85"/>
    <mergeCell ref="P85:R85"/>
    <mergeCell ref="S85:U85"/>
    <mergeCell ref="V85:X85"/>
    <mergeCell ref="Y85:AA85"/>
    <mergeCell ref="AB85:AD85"/>
    <mergeCell ref="AE85:AG85"/>
    <mergeCell ref="AH85:AJ85"/>
    <mergeCell ref="AK85:AM85"/>
    <mergeCell ref="A84:I84"/>
    <mergeCell ref="J84:L84"/>
    <mergeCell ref="M84:O84"/>
    <mergeCell ref="P84:R84"/>
    <mergeCell ref="S84:U84"/>
    <mergeCell ref="V84:X84"/>
    <mergeCell ref="Y84:AA84"/>
    <mergeCell ref="AB84:AD84"/>
    <mergeCell ref="AE84:AG84"/>
    <mergeCell ref="A88:AM88"/>
    <mergeCell ref="A95:AM95"/>
    <mergeCell ref="A102:AM102"/>
    <mergeCell ref="A89:I89"/>
    <mergeCell ref="J89:L89"/>
    <mergeCell ref="M89:O89"/>
    <mergeCell ref="P89:R89"/>
    <mergeCell ref="S89:U89"/>
    <mergeCell ref="V89:X89"/>
    <mergeCell ref="Y89:AA89"/>
    <mergeCell ref="AB89:AD89"/>
    <mergeCell ref="AE89:AG89"/>
    <mergeCell ref="AH89:AJ89"/>
    <mergeCell ref="AK89:AM89"/>
    <mergeCell ref="A90:I90"/>
    <mergeCell ref="J90:L90"/>
    <mergeCell ref="M90:O90"/>
    <mergeCell ref="P90:R90"/>
    <mergeCell ref="S90:U90"/>
    <mergeCell ref="V90:X90"/>
    <mergeCell ref="Y90:AA90"/>
    <mergeCell ref="AB90:AD90"/>
    <mergeCell ref="AE90:AG90"/>
    <mergeCell ref="AH90:AJ90"/>
    <mergeCell ref="AK90:AM90"/>
    <mergeCell ref="A91:I91"/>
    <mergeCell ref="J91:L91"/>
    <mergeCell ref="M91:O91"/>
    <mergeCell ref="P91:R91"/>
    <mergeCell ref="S91:U91"/>
    <mergeCell ref="V91:X91"/>
    <mergeCell ref="Y91:AA91"/>
    <mergeCell ref="AB91:AD91"/>
    <mergeCell ref="AE91:AG91"/>
    <mergeCell ref="AH91:AJ91"/>
    <mergeCell ref="AK91:AM91"/>
    <mergeCell ref="A92:I92"/>
    <mergeCell ref="J92:L92"/>
    <mergeCell ref="M92:O92"/>
    <mergeCell ref="P92:R92"/>
    <mergeCell ref="S92:U92"/>
    <mergeCell ref="V92:X92"/>
    <mergeCell ref="Y92:AA92"/>
    <mergeCell ref="AB92:AD92"/>
    <mergeCell ref="AE92:AG92"/>
    <mergeCell ref="AH92:AJ92"/>
    <mergeCell ref="AK92:AM92"/>
    <mergeCell ref="A103:I103"/>
    <mergeCell ref="J103:L103"/>
    <mergeCell ref="M103:O103"/>
    <mergeCell ref="P103:R103"/>
    <mergeCell ref="S103:U103"/>
    <mergeCell ref="V103:X103"/>
    <mergeCell ref="Y103:AA103"/>
    <mergeCell ref="AB103:AD103"/>
    <mergeCell ref="AE103:AG103"/>
    <mergeCell ref="AH103:AJ103"/>
    <mergeCell ref="AK103:AM103"/>
    <mergeCell ref="A96:I96"/>
    <mergeCell ref="J96:L96"/>
    <mergeCell ref="M96:O96"/>
    <mergeCell ref="P96:R96"/>
    <mergeCell ref="S96:U96"/>
    <mergeCell ref="V96:X96"/>
    <mergeCell ref="Y96:AA96"/>
    <mergeCell ref="AB96:AD96"/>
    <mergeCell ref="AE96:AG96"/>
    <mergeCell ref="AH96:AJ96"/>
    <mergeCell ref="AK96:AM96"/>
    <mergeCell ref="S105:U105"/>
    <mergeCell ref="V105:X105"/>
    <mergeCell ref="Y105:AA105"/>
    <mergeCell ref="AB105:AD105"/>
    <mergeCell ref="AE105:AG105"/>
    <mergeCell ref="AH105:AJ105"/>
    <mergeCell ref="AK105:AM105"/>
    <mergeCell ref="A106:I106"/>
    <mergeCell ref="J106:L106"/>
    <mergeCell ref="M106:O106"/>
    <mergeCell ref="P106:R106"/>
    <mergeCell ref="S106:U106"/>
    <mergeCell ref="V106:X106"/>
    <mergeCell ref="Y106:AA106"/>
    <mergeCell ref="AB106:AD106"/>
    <mergeCell ref="AE106:AG106"/>
    <mergeCell ref="AH106:AJ106"/>
    <mergeCell ref="AK106:AM106"/>
    <mergeCell ref="A105:I105"/>
    <mergeCell ref="J105:L105"/>
    <mergeCell ref="M105:O105"/>
    <mergeCell ref="S107:U107"/>
    <mergeCell ref="V107:X107"/>
    <mergeCell ref="Y107:AA107"/>
    <mergeCell ref="AB107:AD107"/>
    <mergeCell ref="AE107:AG107"/>
    <mergeCell ref="AH107:AJ107"/>
    <mergeCell ref="AK107:AM107"/>
    <mergeCell ref="A108:I108"/>
    <mergeCell ref="J108:L108"/>
    <mergeCell ref="M108:O108"/>
    <mergeCell ref="P108:R108"/>
    <mergeCell ref="S108:U108"/>
    <mergeCell ref="AO1:AX1"/>
    <mergeCell ref="AO2:AW4"/>
    <mergeCell ref="AP5:AR5"/>
    <mergeCell ref="A111:X111"/>
    <mergeCell ref="AA111:AM111"/>
    <mergeCell ref="A112:X116"/>
    <mergeCell ref="AA112:AJ112"/>
    <mergeCell ref="AK112:AM112"/>
    <mergeCell ref="AA113:AJ113"/>
    <mergeCell ref="AK113:AM113"/>
    <mergeCell ref="AA114:AJ114"/>
    <mergeCell ref="AK114:AM114"/>
    <mergeCell ref="AA115:AJ115"/>
    <mergeCell ref="AK115:AM115"/>
    <mergeCell ref="V108:X108"/>
    <mergeCell ref="Y108:AA108"/>
    <mergeCell ref="AB108:AD108"/>
    <mergeCell ref="AE108:AG108"/>
    <mergeCell ref="AH108:AJ108"/>
    <mergeCell ref="AK108:AM108"/>
    <mergeCell ref="A107:I107"/>
    <mergeCell ref="J107:L107"/>
    <mergeCell ref="M107:O107"/>
    <mergeCell ref="P107:R107"/>
  </mergeCells>
  <conditionalFormatting sqref="A2:N2">
    <cfRule type="containsText" dxfId="6" priority="2" operator="containsText" text="Select">
      <formula>NOT(ISERROR(SEARCH("Select",A2)))</formula>
    </cfRule>
  </conditionalFormatting>
  <dataValidations count="2">
    <dataValidation type="whole" allowBlank="1" showInputMessage="1" showErrorMessage="1" error="Number should be reported as a whole dollar." sqref="J51:AJ51 J60:AJ65 J74:AJ74 J76:AJ85 J89:AJ92 J96:AJ97 J103:AJ108" xr:uid="{47865E7A-06D8-4C41-8FDD-1E7F8079FEBF}">
      <formula1>-10000000000</formula1>
      <formula2>15000000000</formula2>
    </dataValidation>
    <dataValidation type="list" allowBlank="1" showInputMessage="1" showErrorMessage="1" sqref="A1" xr:uid="{81454F1F-5E98-42A4-AA3B-0E9A9A33EB5E}">
      <formula1>NameDropdown</formula1>
    </dataValidation>
  </dataValidations>
  <hyperlinks>
    <hyperlink ref="AS5:AW5" r:id="rId1" display="fonts.google.com/specimen/Overpass" xr:uid="{7EDD0D44-9FFA-4463-82DB-1867DD494ECE}"/>
    <hyperlink ref="AS5" r:id="rId2" display="http://fonts.google.com/specimen/Overpass" xr:uid="{848479C1-8AD2-447E-A68E-13106060B7CC}"/>
  </hyperlinks>
  <pageMargins left="0.5" right="0.5" top="0.75" bottom="0.4" header="0.5" footer="0.25"/>
  <pageSetup scale="16" orientation="landscape" r:id="rId3"/>
  <headerFooter>
    <oddHeader>&amp;L&amp;"Besley,Regular"&amp;14updates when printed&amp;C&amp;"-,Bold"&amp;18Fund Group Detail - FY 2023</oddHeader>
    <oddFooter>&amp;RPrinted on: &amp;D</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EA161-72C2-4923-9668-6ADF136C2DB6}">
  <sheetPr codeName="Sheet03">
    <tabColor theme="4"/>
  </sheetPr>
  <dimension ref="A1:AO108"/>
  <sheetViews>
    <sheetView zoomScale="70" zoomScaleNormal="70" workbookViewId="0">
      <selection sqref="A1:N1"/>
    </sheetView>
  </sheetViews>
  <sheetFormatPr defaultColWidth="8.83203125" defaultRowHeight="19.2" x14ac:dyDescent="0.55000000000000004"/>
  <cols>
    <col min="1" max="28" width="6.58203125" style="24" customWidth="1"/>
    <col min="29" max="29" width="6.58203125" style="29" customWidth="1"/>
    <col min="30" max="41" width="6.58203125" style="24" customWidth="1"/>
    <col min="42" max="16384" width="8.83203125" style="24"/>
  </cols>
  <sheetData>
    <row r="1" spans="1:41" ht="45" customHeight="1" x14ac:dyDescent="0.55000000000000004">
      <c r="A1" s="492"/>
      <c r="B1" s="493"/>
      <c r="C1" s="493"/>
      <c r="D1" s="493"/>
      <c r="E1" s="493"/>
      <c r="F1" s="493"/>
      <c r="G1" s="493"/>
      <c r="H1" s="493"/>
      <c r="I1" s="493"/>
      <c r="J1" s="493"/>
      <c r="K1" s="493"/>
      <c r="L1" s="493"/>
      <c r="M1" s="493"/>
      <c r="N1" s="494"/>
      <c r="O1" s="22"/>
      <c r="P1" s="22"/>
      <c r="Q1" s="22"/>
      <c r="R1" s="568" t="str">
        <f>IFERROR(VLOOKUP(A1,Input[],574,FALSE),"")</f>
        <v/>
      </c>
      <c r="S1" s="568"/>
      <c r="T1" s="568"/>
      <c r="U1" s="569" t="s">
        <v>133</v>
      </c>
      <c r="V1" s="570"/>
      <c r="W1" s="571"/>
      <c r="X1" s="22"/>
      <c r="Y1" s="22"/>
      <c r="Z1" s="22"/>
      <c r="AA1" s="22"/>
      <c r="AB1" s="22"/>
      <c r="AC1" s="22"/>
      <c r="AD1" s="22"/>
      <c r="AE1" s="388" t="s">
        <v>1854</v>
      </c>
      <c r="AF1" s="389"/>
      <c r="AG1" s="389"/>
      <c r="AH1" s="389"/>
      <c r="AI1" s="389"/>
      <c r="AJ1" s="389"/>
      <c r="AK1" s="389"/>
      <c r="AL1" s="389"/>
      <c r="AM1" s="389"/>
      <c r="AN1" s="390"/>
      <c r="AO1" s="22"/>
    </row>
    <row r="2" spans="1:41" s="8" customFormat="1" ht="34.950000000000003" customHeight="1" x14ac:dyDescent="0.55000000000000004">
      <c r="A2" s="506" t="str">
        <f>IF(ISBLANK($A$1),"▲ Select institution name from dropdown ▲",VLOOKUP($A$1,SearchNames,2,FALSE))</f>
        <v>▲ Select institution name from dropdown ▲</v>
      </c>
      <c r="B2" s="507"/>
      <c r="C2" s="507"/>
      <c r="D2" s="507"/>
      <c r="E2" s="507"/>
      <c r="F2" s="507"/>
      <c r="G2" s="507"/>
      <c r="H2" s="507"/>
      <c r="I2" s="507"/>
      <c r="J2" s="507"/>
      <c r="K2" s="507"/>
      <c r="L2" s="507"/>
      <c r="M2" s="507"/>
      <c r="N2" s="508"/>
      <c r="O2" s="7"/>
      <c r="P2" s="7"/>
      <c r="Q2" s="7"/>
      <c r="R2" s="7"/>
      <c r="S2" s="7"/>
      <c r="T2" s="22"/>
      <c r="U2" s="22"/>
      <c r="V2" s="22"/>
      <c r="W2" s="22"/>
      <c r="X2" s="41"/>
      <c r="Y2" s="41"/>
      <c r="Z2" s="41"/>
      <c r="AA2" s="41"/>
      <c r="AB2" s="41"/>
      <c r="AC2" s="41"/>
      <c r="AD2" s="41"/>
      <c r="AE2" s="504" t="s">
        <v>1851</v>
      </c>
      <c r="AF2" s="505"/>
      <c r="AG2" s="505"/>
      <c r="AH2" s="505"/>
      <c r="AI2" s="505"/>
      <c r="AJ2" s="505"/>
      <c r="AK2" s="505"/>
      <c r="AL2" s="505"/>
      <c r="AM2" s="505"/>
      <c r="AN2" s="214"/>
      <c r="AO2" s="22"/>
    </row>
    <row r="3" spans="1:41" ht="27" customHeight="1" x14ac:dyDescent="0.55000000000000004">
      <c r="A3" s="495" t="s">
        <v>1419</v>
      </c>
      <c r="B3" s="496"/>
      <c r="C3" s="496"/>
      <c r="D3" s="496"/>
      <c r="E3" s="496"/>
      <c r="F3" s="496"/>
      <c r="G3" s="496"/>
      <c r="H3" s="496"/>
      <c r="I3" s="496"/>
      <c r="J3" s="496"/>
      <c r="K3" s="496"/>
      <c r="L3" s="496"/>
      <c r="M3" s="496"/>
      <c r="N3" s="496"/>
      <c r="O3" s="22"/>
      <c r="P3" s="22"/>
      <c r="Q3" s="22"/>
      <c r="R3" s="22"/>
      <c r="S3" s="22"/>
      <c r="T3" s="22"/>
      <c r="U3" s="22"/>
      <c r="V3" s="22"/>
      <c r="W3" s="22"/>
      <c r="X3" s="22"/>
      <c r="Y3" s="22"/>
      <c r="Z3" s="22"/>
      <c r="AA3" s="22"/>
      <c r="AB3" s="22"/>
      <c r="AC3" s="22"/>
      <c r="AD3" s="22"/>
      <c r="AE3" s="504"/>
      <c r="AF3" s="505"/>
      <c r="AG3" s="505"/>
      <c r="AH3" s="505"/>
      <c r="AI3" s="505"/>
      <c r="AJ3" s="505"/>
      <c r="AK3" s="505"/>
      <c r="AL3" s="505"/>
      <c r="AM3" s="505"/>
      <c r="AN3" s="214"/>
      <c r="AO3" s="22"/>
    </row>
    <row r="4" spans="1:41" ht="27" customHeight="1" x14ac:dyDescent="0.55000000000000004">
      <c r="A4" s="269"/>
      <c r="B4" s="270"/>
      <c r="C4" s="270"/>
      <c r="D4" s="270"/>
      <c r="E4" s="270"/>
      <c r="F4" s="270"/>
      <c r="G4" s="270"/>
      <c r="H4" s="270"/>
      <c r="I4" s="270"/>
      <c r="J4" s="270"/>
      <c r="K4" s="270"/>
      <c r="L4" s="270"/>
      <c r="M4" s="270"/>
      <c r="N4" s="22"/>
      <c r="O4" s="22"/>
      <c r="P4" s="41"/>
      <c r="Q4" s="41"/>
      <c r="R4" s="41"/>
      <c r="S4" s="41"/>
      <c r="T4" s="41"/>
      <c r="U4" s="41"/>
      <c r="V4" s="41"/>
      <c r="W4" s="41"/>
      <c r="X4" s="41"/>
      <c r="Y4" s="22"/>
      <c r="Z4" s="22"/>
      <c r="AA4" s="22"/>
      <c r="AB4" s="22"/>
      <c r="AC4" s="22"/>
      <c r="AD4" s="22"/>
      <c r="AE4" s="504"/>
      <c r="AF4" s="505"/>
      <c r="AG4" s="505"/>
      <c r="AH4" s="505"/>
      <c r="AI4" s="505"/>
      <c r="AJ4" s="505"/>
      <c r="AK4" s="505"/>
      <c r="AL4" s="505"/>
      <c r="AM4" s="505"/>
      <c r="AN4" s="214"/>
      <c r="AO4" s="22"/>
    </row>
    <row r="5" spans="1:41" ht="27" customHeight="1" x14ac:dyDescent="0.55000000000000004">
      <c r="A5" s="271"/>
      <c r="B5" s="22"/>
      <c r="C5" s="22"/>
      <c r="D5" s="22"/>
      <c r="E5" s="22"/>
      <c r="F5" s="22"/>
      <c r="G5" s="22"/>
      <c r="H5" s="22"/>
      <c r="I5" s="22"/>
      <c r="J5" s="22"/>
      <c r="K5" s="22"/>
      <c r="L5" s="22"/>
      <c r="M5" s="22"/>
      <c r="N5" s="22"/>
      <c r="O5" s="22"/>
      <c r="P5" s="41"/>
      <c r="Q5" s="41"/>
      <c r="R5" s="41"/>
      <c r="S5" s="41"/>
      <c r="T5" s="41"/>
      <c r="U5" s="41"/>
      <c r="V5" s="41"/>
      <c r="W5" s="22"/>
      <c r="X5" s="22"/>
      <c r="Y5" s="22"/>
      <c r="Z5" s="22"/>
      <c r="AA5" s="22"/>
      <c r="AB5" s="22"/>
      <c r="AC5" s="22"/>
      <c r="AD5" s="22"/>
      <c r="AE5" s="216"/>
      <c r="AF5" s="391" t="s">
        <v>1852</v>
      </c>
      <c r="AG5" s="391"/>
      <c r="AH5" s="391"/>
      <c r="AI5" s="202" t="s">
        <v>1853</v>
      </c>
      <c r="AJ5" s="202"/>
      <c r="AK5" s="202"/>
      <c r="AL5" s="202"/>
      <c r="AM5" s="202"/>
      <c r="AN5" s="215"/>
      <c r="AO5" s="22"/>
    </row>
    <row r="6" spans="1:41" ht="27" customHeight="1" x14ac:dyDescent="1.05">
      <c r="A6" s="583" t="s">
        <v>135</v>
      </c>
      <c r="B6" s="583"/>
      <c r="C6" s="583"/>
      <c r="D6" s="583"/>
      <c r="E6" s="583"/>
      <c r="F6" s="583"/>
      <c r="G6" s="583"/>
      <c r="H6" s="583"/>
      <c r="I6" s="583"/>
      <c r="J6" s="583"/>
      <c r="K6" s="583"/>
      <c r="L6" s="583"/>
      <c r="M6" s="583"/>
      <c r="N6" s="583"/>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2"/>
      <c r="AN6" s="22"/>
      <c r="AO6" s="22"/>
    </row>
    <row r="7" spans="1:41" ht="27" customHeight="1" thickBot="1" x14ac:dyDescent="1.1000000000000001">
      <c r="A7" s="583"/>
      <c r="B7" s="583"/>
      <c r="C7" s="583"/>
      <c r="D7" s="583"/>
      <c r="E7" s="583"/>
      <c r="F7" s="583"/>
      <c r="G7" s="583"/>
      <c r="H7" s="583"/>
      <c r="I7" s="583"/>
      <c r="J7" s="583"/>
      <c r="K7" s="583"/>
      <c r="L7" s="583"/>
      <c r="M7" s="583"/>
      <c r="N7" s="583"/>
      <c r="O7" s="272"/>
      <c r="P7" s="272"/>
      <c r="Q7" s="272"/>
      <c r="R7" s="272"/>
      <c r="S7" s="272"/>
      <c r="T7" s="272"/>
      <c r="U7" s="272"/>
      <c r="V7" s="272"/>
      <c r="W7" s="272"/>
      <c r="X7" s="272"/>
      <c r="Y7" s="272"/>
      <c r="Z7" s="272"/>
      <c r="AA7" s="272"/>
      <c r="AB7" s="272"/>
      <c r="AC7" s="272"/>
      <c r="AD7" s="272"/>
      <c r="AE7" s="272"/>
      <c r="AF7" s="272"/>
      <c r="AG7" s="272"/>
      <c r="AH7" s="272"/>
      <c r="AI7" s="272"/>
      <c r="AJ7" s="272"/>
      <c r="AK7" s="272"/>
      <c r="AL7" s="272"/>
      <c r="AM7" s="272"/>
      <c r="AN7" s="272"/>
      <c r="AO7" s="22"/>
    </row>
    <row r="8" spans="1:41" ht="31.95" customHeight="1" thickBot="1" x14ac:dyDescent="1.1000000000000001">
      <c r="A8" s="549" t="s">
        <v>93</v>
      </c>
      <c r="B8" s="550"/>
      <c r="C8" s="550"/>
      <c r="D8" s="550"/>
      <c r="E8" s="550"/>
      <c r="F8" s="550"/>
      <c r="G8" s="550"/>
      <c r="H8" s="550"/>
      <c r="I8" s="550"/>
      <c r="J8" s="550"/>
      <c r="K8" s="550"/>
      <c r="L8" s="550"/>
      <c r="M8" s="550"/>
      <c r="N8" s="551"/>
      <c r="O8" s="272"/>
      <c r="P8" s="549" t="s">
        <v>134</v>
      </c>
      <c r="Q8" s="550"/>
      <c r="R8" s="550"/>
      <c r="S8" s="550"/>
      <c r="T8" s="550"/>
      <c r="U8" s="550"/>
      <c r="V8" s="550"/>
      <c r="W8" s="550"/>
      <c r="X8" s="550"/>
      <c r="Y8" s="550"/>
      <c r="Z8" s="550"/>
      <c r="AA8" s="550"/>
      <c r="AB8" s="551"/>
      <c r="AC8" s="45"/>
      <c r="AD8" s="22"/>
      <c r="AE8" s="272"/>
      <c r="AF8" s="272"/>
      <c r="AG8" s="272"/>
      <c r="AH8" s="272"/>
      <c r="AI8" s="272"/>
      <c r="AJ8" s="272"/>
      <c r="AK8" s="272"/>
      <c r="AL8" s="272"/>
      <c r="AM8" s="272"/>
      <c r="AN8" s="272"/>
      <c r="AO8" s="22"/>
    </row>
    <row r="9" spans="1:41" ht="27" customHeight="1" thickBot="1" x14ac:dyDescent="1.1000000000000001">
      <c r="A9" s="543" t="s">
        <v>94</v>
      </c>
      <c r="B9" s="544"/>
      <c r="C9" s="544"/>
      <c r="D9" s="544"/>
      <c r="E9" s="544"/>
      <c r="F9" s="544"/>
      <c r="G9" s="544"/>
      <c r="H9" s="544"/>
      <c r="I9" s="545" t="s">
        <v>135</v>
      </c>
      <c r="J9" s="546"/>
      <c r="K9" s="546"/>
      <c r="L9" s="545" t="s">
        <v>136</v>
      </c>
      <c r="M9" s="546"/>
      <c r="N9" s="547"/>
      <c r="O9" s="272"/>
      <c r="P9" s="543" t="s">
        <v>93</v>
      </c>
      <c r="Q9" s="544"/>
      <c r="R9" s="544"/>
      <c r="S9" s="544"/>
      <c r="T9" s="544"/>
      <c r="U9" s="544"/>
      <c r="V9" s="544"/>
      <c r="W9" s="545" t="s">
        <v>137</v>
      </c>
      <c r="X9" s="546"/>
      <c r="Y9" s="546"/>
      <c r="Z9" s="545" t="s">
        <v>138</v>
      </c>
      <c r="AA9" s="546"/>
      <c r="AB9" s="547"/>
      <c r="AC9" s="273"/>
      <c r="AD9" s="22"/>
      <c r="AE9" s="272"/>
      <c r="AF9" s="272"/>
      <c r="AG9" s="272"/>
      <c r="AH9" s="272"/>
      <c r="AI9" s="272"/>
      <c r="AJ9" s="272"/>
      <c r="AK9" s="272"/>
      <c r="AL9" s="272"/>
      <c r="AM9" s="272"/>
      <c r="AN9" s="272"/>
      <c r="AO9" s="22"/>
    </row>
    <row r="10" spans="1:41" ht="27" customHeight="1" x14ac:dyDescent="1.05">
      <c r="A10" s="522" t="s">
        <v>97</v>
      </c>
      <c r="B10" s="523"/>
      <c r="C10" s="523"/>
      <c r="D10" s="523"/>
      <c r="E10" s="523"/>
      <c r="F10" s="523"/>
      <c r="G10" s="523"/>
      <c r="H10" s="524"/>
      <c r="I10" s="518">
        <f>SUMIFS(Input[St. Ap. E &amp; G],Input[Institution Name],$A$1)+SUMIFS(Input[St. Ap. Desg],Input[Institution Name],$A$1)+SUMIFS(Input[St. Ap. Aux],Input[Institution Name],$A$1)+SUMIFS(Input[St. Ap. R Exp],Input[Institution Name],$A$1)+SUMIFS(Input[St. Ap. Loan],Input[Institution Name],$A$1)+SUMIFS(Input[St. Ap. Annuity],Input[Institution Name],$A$1)+SUMIFS(Input[St. Ap. Unexp],Input[Institution Name],$A$1)+SUMIFS(Input[St. Ap. R of Ind],Input[Institution Name],$A$1)+SUMIFS(Input[St. Ap. Inv in P],Input[Institution Name],$A$1)</f>
        <v>0</v>
      </c>
      <c r="J10" s="518"/>
      <c r="K10" s="518"/>
      <c r="L10" s="529">
        <f>IFERROR(ROUND(I10/$R$1,0),0)</f>
        <v>0</v>
      </c>
      <c r="M10" s="529"/>
      <c r="N10" s="530"/>
      <c r="O10" s="272"/>
      <c r="P10" s="584" t="s">
        <v>94</v>
      </c>
      <c r="Q10" s="585"/>
      <c r="R10" s="585"/>
      <c r="S10" s="585"/>
      <c r="T10" s="585"/>
      <c r="U10" s="585"/>
      <c r="V10" s="586"/>
      <c r="W10" s="448">
        <f>I14</f>
        <v>0</v>
      </c>
      <c r="X10" s="448"/>
      <c r="Y10" s="448"/>
      <c r="Z10" s="587">
        <f>IFERROR(W10/$W$14,0)</f>
        <v>0</v>
      </c>
      <c r="AA10" s="587"/>
      <c r="AB10" s="588"/>
      <c r="AC10" s="2"/>
      <c r="AD10" s="22"/>
      <c r="AE10" s="272"/>
      <c r="AF10" s="272"/>
      <c r="AG10" s="272"/>
      <c r="AH10" s="272"/>
      <c r="AI10" s="272"/>
      <c r="AJ10" s="272"/>
      <c r="AK10" s="272"/>
      <c r="AL10" s="272"/>
      <c r="AM10" s="272"/>
      <c r="AN10" s="272"/>
      <c r="AO10" s="22"/>
    </row>
    <row r="11" spans="1:41" ht="27" customHeight="1" x14ac:dyDescent="1.05">
      <c r="A11" s="525" t="s">
        <v>847</v>
      </c>
      <c r="B11" s="434"/>
      <c r="C11" s="434"/>
      <c r="D11" s="434"/>
      <c r="E11" s="434"/>
      <c r="F11" s="434"/>
      <c r="G11" s="434"/>
      <c r="H11" s="435"/>
      <c r="I11" s="519">
        <f>SUMIFS(Input[St. C&amp;G E&amp;G],Input[Institution Name],$A$1)+SUMIFS(Input[St. C&amp;G Desg],Input[Institution Name],$A$1)+SUMIFS(Input[St. C&amp;G Aux],Input[Institution Name],$A$1)+SUMIFS(Input[St. C&amp;G R Exp],Input[Institution Name],$A$1)+SUMIFS(Input[St. C&amp;G Loan],Input[Institution Name],$A$1)+SUMIFS(Input[St. C&amp;G Annuity],Input[Institution Name],$A$1)+SUMIFS(Input[St. C&amp;G Unexp],Input[Institution Name],$A$1)+SUMIFS(Input[St. C&amp;G R of Ind],Input[Institution Name],$A$1)+SUMIFS(Input[St. C&amp;G Inv in P],Input[Institution Name],$A$1)</f>
        <v>0</v>
      </c>
      <c r="J11" s="519"/>
      <c r="K11" s="519"/>
      <c r="L11" s="432">
        <f t="shared" ref="L11:L13" si="0">IFERROR(ROUND(I11/$R$1,0),0)</f>
        <v>0</v>
      </c>
      <c r="M11" s="432"/>
      <c r="N11" s="536"/>
      <c r="O11" s="272"/>
      <c r="P11" s="557" t="s">
        <v>100</v>
      </c>
      <c r="Q11" s="558"/>
      <c r="R11" s="558"/>
      <c r="S11" s="558"/>
      <c r="T11" s="558"/>
      <c r="U11" s="558"/>
      <c r="V11" s="559"/>
      <c r="W11" s="431">
        <f>I47</f>
        <v>0</v>
      </c>
      <c r="X11" s="431"/>
      <c r="Y11" s="431"/>
      <c r="Z11" s="560">
        <f t="shared" ref="Z11:Z13" si="1">IFERROR(W11/$W$14,0)</f>
        <v>0</v>
      </c>
      <c r="AA11" s="560"/>
      <c r="AB11" s="561"/>
      <c r="AC11" s="2"/>
      <c r="AD11" s="22"/>
      <c r="AE11" s="272"/>
      <c r="AF11" s="272"/>
      <c r="AG11" s="272"/>
      <c r="AH11" s="272"/>
      <c r="AI11" s="272"/>
      <c r="AJ11" s="272"/>
      <c r="AK11" s="272"/>
      <c r="AL11" s="272"/>
      <c r="AM11" s="272"/>
      <c r="AN11" s="272"/>
      <c r="AO11" s="22"/>
    </row>
    <row r="12" spans="1:41" ht="27" customHeight="1" x14ac:dyDescent="1.05">
      <c r="A12" s="525" t="s">
        <v>98</v>
      </c>
      <c r="B12" s="434"/>
      <c r="C12" s="434"/>
      <c r="D12" s="434"/>
      <c r="E12" s="434"/>
      <c r="F12" s="434"/>
      <c r="G12" s="434"/>
      <c r="H12" s="435"/>
      <c r="I12" s="519">
        <f>SUMIFS(Input[HEF E&amp;G],Input[Institution Name],$A$1)+SUMIFS(Input[HEF Desg],Input[Institution Name],$A$1)+SUMIFS(Input[HEF Aux],Input[Institution Name],$A$1)+SUMIFS(Input[HEF R Exp],Input[Institution Name],$A$1)+SUMIFS(Input[HEF Loan],Input[Institution Name],$A$1)+SUMIFS(Input[HEF Annuity],Input[Institution Name],$A$1)+SUMIFS(Input[HEF Unexp],Input[Institution Name],$A$1)+SUMIFS(Input[HEF R of Ind],Input[Institution Name],$A$1)+SUMIFS(Input[HEF Inv in P],Input[Institution Name],$A$1)</f>
        <v>0</v>
      </c>
      <c r="J12" s="519"/>
      <c r="K12" s="519"/>
      <c r="L12" s="432">
        <f t="shared" si="0"/>
        <v>0</v>
      </c>
      <c r="M12" s="432"/>
      <c r="N12" s="536"/>
      <c r="O12" s="272"/>
      <c r="P12" s="557" t="s">
        <v>727</v>
      </c>
      <c r="Q12" s="558"/>
      <c r="R12" s="558"/>
      <c r="S12" s="558"/>
      <c r="T12" s="558"/>
      <c r="U12" s="558"/>
      <c r="V12" s="559"/>
      <c r="W12" s="431">
        <f>I50</f>
        <v>0</v>
      </c>
      <c r="X12" s="431"/>
      <c r="Y12" s="431"/>
      <c r="Z12" s="560">
        <f t="shared" si="1"/>
        <v>0</v>
      </c>
      <c r="AA12" s="560"/>
      <c r="AB12" s="561"/>
      <c r="AC12" s="2"/>
      <c r="AD12" s="22"/>
      <c r="AE12" s="272"/>
      <c r="AF12" s="272"/>
      <c r="AG12" s="272"/>
      <c r="AH12" s="272"/>
      <c r="AI12" s="272"/>
      <c r="AJ12" s="272"/>
      <c r="AK12" s="272"/>
      <c r="AL12" s="272"/>
      <c r="AM12" s="272"/>
      <c r="AN12" s="272"/>
      <c r="AO12" s="22"/>
    </row>
    <row r="13" spans="1:41" ht="27" customHeight="1" thickBot="1" x14ac:dyDescent="1.1000000000000001">
      <c r="A13" s="548" t="s">
        <v>139</v>
      </c>
      <c r="B13" s="490"/>
      <c r="C13" s="490"/>
      <c r="D13" s="490"/>
      <c r="E13" s="490"/>
      <c r="F13" s="490"/>
      <c r="G13" s="490"/>
      <c r="H13" s="491"/>
      <c r="I13" s="520">
        <f>SUMIFS(Input[Available E&amp;G],Input[Institution Name],$A$1)+SUMIFS(Input[Available Desg],Input[Institution Name],$A$1)+SUMIFS(Input[Available Aux],Input[Institution Name],$A$1)+SUMIFS(Input[Available R Exp],Input[Institution Name],$A$1)+SUMIFS(Input[Available Loan],Input[Institution Name],$A$1)+SUMIFS(Input[Available Annuity],Input[Institution Name],$A$1)+SUMIFS(Input[Available Unexp],Input[Institution Name],$A$1)+SUMIFS(Input[Available R of Ind],Input[Institution Name],$A$1)+SUMIFS(Input[Available Inv in P],Input[Institution Name],$A$1)</f>
        <v>0</v>
      </c>
      <c r="J13" s="520"/>
      <c r="K13" s="520"/>
      <c r="L13" s="534">
        <f t="shared" si="0"/>
        <v>0</v>
      </c>
      <c r="M13" s="534"/>
      <c r="N13" s="535"/>
      <c r="O13" s="272"/>
      <c r="P13" s="562" t="s">
        <v>170</v>
      </c>
      <c r="Q13" s="563"/>
      <c r="R13" s="563"/>
      <c r="S13" s="563"/>
      <c r="T13" s="563"/>
      <c r="U13" s="563"/>
      <c r="V13" s="564"/>
      <c r="W13" s="431">
        <f>SUM(I53,I56,I65)</f>
        <v>0</v>
      </c>
      <c r="X13" s="431"/>
      <c r="Y13" s="431"/>
      <c r="Z13" s="560">
        <f t="shared" si="1"/>
        <v>0</v>
      </c>
      <c r="AA13" s="560"/>
      <c r="AB13" s="561"/>
      <c r="AC13" s="2"/>
      <c r="AD13" s="22"/>
      <c r="AE13" s="272"/>
      <c r="AF13" s="272"/>
      <c r="AG13" s="272"/>
      <c r="AH13" s="272"/>
      <c r="AI13" s="272"/>
      <c r="AJ13" s="272"/>
      <c r="AK13" s="272"/>
      <c r="AL13" s="272"/>
      <c r="AM13" s="272"/>
      <c r="AN13" s="272"/>
      <c r="AO13" s="22"/>
    </row>
    <row r="14" spans="1:41" ht="27" customHeight="1" thickBot="1" x14ac:dyDescent="1.1000000000000001">
      <c r="A14" s="509" t="s">
        <v>99</v>
      </c>
      <c r="B14" s="510"/>
      <c r="C14" s="510"/>
      <c r="D14" s="510"/>
      <c r="E14" s="510"/>
      <c r="F14" s="510"/>
      <c r="G14" s="510"/>
      <c r="H14" s="510"/>
      <c r="I14" s="516">
        <f>SUM(I10:I13)</f>
        <v>0</v>
      </c>
      <c r="J14" s="516"/>
      <c r="K14" s="516"/>
      <c r="L14" s="516">
        <f>IFERROR(ROUND(I14/$R$1,0),0)</f>
        <v>0</v>
      </c>
      <c r="M14" s="516"/>
      <c r="N14" s="517"/>
      <c r="O14" s="272"/>
      <c r="P14" s="552"/>
      <c r="Q14" s="553"/>
      <c r="R14" s="553"/>
      <c r="S14" s="553"/>
      <c r="T14" s="553"/>
      <c r="U14" s="553"/>
      <c r="V14" s="553"/>
      <c r="W14" s="554">
        <f>SUM(W10:W13)</f>
        <v>0</v>
      </c>
      <c r="X14" s="554"/>
      <c r="Y14" s="554"/>
      <c r="Z14" s="555">
        <f>SUM(Z10:Z13)</f>
        <v>0</v>
      </c>
      <c r="AA14" s="555"/>
      <c r="AB14" s="556"/>
      <c r="AC14" s="2"/>
      <c r="AD14" s="22"/>
      <c r="AE14" s="272"/>
      <c r="AF14" s="272"/>
      <c r="AG14" s="272"/>
      <c r="AH14" s="272"/>
      <c r="AI14" s="272"/>
      <c r="AJ14" s="272"/>
      <c r="AK14" s="272"/>
      <c r="AL14" s="272"/>
      <c r="AM14" s="272"/>
      <c r="AN14" s="272"/>
      <c r="AO14" s="22"/>
    </row>
    <row r="15" spans="1:41" ht="27" customHeight="1" thickBot="1" x14ac:dyDescent="1.1000000000000001">
      <c r="A15" s="274"/>
      <c r="B15" s="275"/>
      <c r="C15" s="275"/>
      <c r="D15" s="275"/>
      <c r="E15" s="275"/>
      <c r="F15" s="275"/>
      <c r="G15" s="275"/>
      <c r="H15" s="275"/>
      <c r="I15" s="275"/>
      <c r="J15" s="275"/>
      <c r="K15" s="275"/>
      <c r="L15" s="276"/>
      <c r="M15" s="22"/>
      <c r="N15" s="22"/>
      <c r="O15" s="272"/>
      <c r="P15" s="22"/>
      <c r="Q15" s="22"/>
      <c r="R15" s="22"/>
      <c r="S15" s="22"/>
      <c r="T15" s="22"/>
      <c r="U15" s="22"/>
      <c r="V15" s="22"/>
      <c r="W15" s="22"/>
      <c r="X15" s="22"/>
      <c r="Y15" s="22"/>
      <c r="Z15" s="22"/>
      <c r="AA15" s="22"/>
      <c r="AB15" s="22"/>
      <c r="AC15" s="22"/>
      <c r="AD15" s="22"/>
      <c r="AE15" s="272"/>
      <c r="AF15" s="272"/>
      <c r="AG15" s="272"/>
      <c r="AH15" s="272"/>
      <c r="AI15" s="272"/>
      <c r="AJ15" s="272"/>
      <c r="AK15" s="272"/>
      <c r="AL15" s="272"/>
      <c r="AM15" s="272"/>
      <c r="AN15" s="272"/>
      <c r="AO15" s="22"/>
    </row>
    <row r="16" spans="1:41" ht="27" customHeight="1" thickBot="1" x14ac:dyDescent="1.1000000000000001">
      <c r="A16" s="543" t="s">
        <v>100</v>
      </c>
      <c r="B16" s="544"/>
      <c r="C16" s="544"/>
      <c r="D16" s="544"/>
      <c r="E16" s="544"/>
      <c r="F16" s="544"/>
      <c r="G16" s="544"/>
      <c r="H16" s="544"/>
      <c r="I16" s="545" t="s">
        <v>135</v>
      </c>
      <c r="J16" s="546"/>
      <c r="K16" s="546"/>
      <c r="L16" s="545" t="s">
        <v>136</v>
      </c>
      <c r="M16" s="546"/>
      <c r="N16" s="547"/>
      <c r="O16" s="272"/>
      <c r="P16" s="67"/>
      <c r="Q16" s="67"/>
      <c r="R16" s="67"/>
      <c r="S16" s="67"/>
      <c r="T16" s="67"/>
      <c r="U16" s="67"/>
      <c r="V16" s="67"/>
      <c r="W16" s="67"/>
      <c r="X16" s="67"/>
      <c r="Y16" s="67"/>
      <c r="Z16" s="68"/>
      <c r="AA16" s="68"/>
      <c r="AB16" s="68"/>
      <c r="AC16" s="22"/>
      <c r="AD16" s="22"/>
      <c r="AE16" s="272"/>
      <c r="AF16" s="272"/>
      <c r="AG16" s="272"/>
      <c r="AH16" s="272"/>
      <c r="AI16" s="272"/>
      <c r="AJ16" s="272"/>
      <c r="AK16" s="272"/>
      <c r="AL16" s="272"/>
      <c r="AM16" s="272"/>
      <c r="AN16" s="272"/>
      <c r="AO16" s="22"/>
    </row>
    <row r="17" spans="1:41" s="29" customFormat="1" ht="27" customHeight="1" thickBot="1" x14ac:dyDescent="1.1000000000000001">
      <c r="A17" s="511" t="s">
        <v>101</v>
      </c>
      <c r="B17" s="512"/>
      <c r="C17" s="512"/>
      <c r="D17" s="512"/>
      <c r="E17" s="512"/>
      <c r="F17" s="512"/>
      <c r="G17" s="512"/>
      <c r="H17" s="512"/>
      <c r="I17" s="516" cm="1">
        <f t="array" ref="I17">SUM(I23,-I19:J22)</f>
        <v>0</v>
      </c>
      <c r="J17" s="516"/>
      <c r="K17" s="516"/>
      <c r="L17" s="516">
        <f>IFERROR(ROUND(I17/$R$1,0),0)</f>
        <v>0</v>
      </c>
      <c r="M17" s="516"/>
      <c r="N17" s="517"/>
      <c r="O17" s="272"/>
      <c r="P17" s="580" t="s">
        <v>1787</v>
      </c>
      <c r="Q17" s="581"/>
      <c r="R17" s="581"/>
      <c r="S17" s="581"/>
      <c r="T17" s="581"/>
      <c r="U17" s="581"/>
      <c r="V17" s="581"/>
      <c r="W17" s="581"/>
      <c r="X17" s="581"/>
      <c r="Y17" s="582"/>
      <c r="Z17" s="69"/>
      <c r="AA17" s="68"/>
      <c r="AB17" s="68"/>
      <c r="AC17" s="22"/>
      <c r="AD17" s="22"/>
      <c r="AE17" s="272"/>
      <c r="AF17" s="272"/>
      <c r="AG17" s="272"/>
      <c r="AH17" s="272"/>
      <c r="AI17" s="272"/>
      <c r="AJ17" s="272"/>
      <c r="AK17" s="272"/>
      <c r="AL17" s="272"/>
      <c r="AM17" s="272"/>
      <c r="AN17" s="272"/>
      <c r="AO17" s="22"/>
    </row>
    <row r="18" spans="1:41" ht="27" customHeight="1" thickBot="1" x14ac:dyDescent="1.1000000000000001">
      <c r="A18" s="513" t="s">
        <v>1727</v>
      </c>
      <c r="B18" s="514"/>
      <c r="C18" s="514"/>
      <c r="D18" s="514"/>
      <c r="E18" s="514"/>
      <c r="F18" s="514"/>
      <c r="G18" s="514"/>
      <c r="H18" s="514"/>
      <c r="I18" s="514"/>
      <c r="J18" s="514"/>
      <c r="K18" s="514"/>
      <c r="L18" s="514"/>
      <c r="M18" s="514"/>
      <c r="N18" s="515"/>
      <c r="O18" s="272"/>
      <c r="P18" s="579" t="s">
        <v>1783</v>
      </c>
      <c r="Q18" s="446"/>
      <c r="R18" s="446"/>
      <c r="S18" s="446"/>
      <c r="T18" s="446"/>
      <c r="U18" s="446"/>
      <c r="V18" s="447"/>
      <c r="W18" s="448">
        <f>SUM(I23,I38)</f>
        <v>0</v>
      </c>
      <c r="X18" s="448"/>
      <c r="Y18" s="612"/>
      <c r="Z18" s="69"/>
      <c r="AA18" s="68"/>
      <c r="AB18" s="68"/>
      <c r="AC18" s="22"/>
      <c r="AD18" s="22"/>
      <c r="AE18" s="22"/>
      <c r="AF18" s="22"/>
      <c r="AG18" s="22"/>
      <c r="AH18" s="22"/>
      <c r="AI18" s="22"/>
      <c r="AJ18" s="22"/>
      <c r="AK18" s="22"/>
      <c r="AL18" s="22"/>
      <c r="AM18" s="22"/>
      <c r="AN18" s="22"/>
      <c r="AO18" s="22"/>
    </row>
    <row r="19" spans="1:41" ht="27" customHeight="1" x14ac:dyDescent="1.05">
      <c r="A19" s="522" t="s">
        <v>102</v>
      </c>
      <c r="B19" s="523"/>
      <c r="C19" s="523"/>
      <c r="D19" s="523"/>
      <c r="E19" s="523"/>
      <c r="F19" s="523"/>
      <c r="G19" s="523"/>
      <c r="H19" s="524"/>
      <c r="I19" s="518">
        <f>SUMIFS(Input[T. W. - Stat (NR AFR) E&amp;G],Input[Institution Name],$A$1)+SUMIFS(Input[T. W. - Stat (NR AFR) Desg],Input[Institution Name],$A$1)+SUMIFS(Input[T. W. - Stat (NR AFR) Aux],Input[Institution Name],$A$1)+SUMIFS(Input[T. W. - Stat (NR AFR) R Exp],Input[Institution Name],$A$1)+SUMIFS(Input[T. W. - Stat (NR AFR) Loan],Input[Institution Name],$A$1)+SUMIFS(Input[T. W. - Stat (NR AFR) Annuity],Input[Institution Name],$A$1)+SUMIFS(Input[T. W. - Stat (NR AFR) Unexp],Input[Institution Name],$A$1)+SUMIFS(Input[T. W. - Stat (NR AFR) R of Ind],Input[Institution Name],$A$1)+SUMIFS(Input[T. W. - Stat (NR AFR) Inv in P],Input[Institution Name],$A$1)</f>
        <v>0</v>
      </c>
      <c r="J19" s="518"/>
      <c r="K19" s="518"/>
      <c r="L19" s="529">
        <f>IFERROR(ROUND(I19/$R$1,0),0)</f>
        <v>0</v>
      </c>
      <c r="M19" s="529"/>
      <c r="N19" s="530"/>
      <c r="O19" s="272"/>
      <c r="P19" s="525" t="s">
        <v>1784</v>
      </c>
      <c r="Q19" s="434"/>
      <c r="R19" s="434"/>
      <c r="S19" s="434"/>
      <c r="T19" s="434"/>
      <c r="U19" s="434"/>
      <c r="V19" s="435"/>
      <c r="W19" s="431">
        <f>SUM(I25:K29,I40:K44)</f>
        <v>0</v>
      </c>
      <c r="X19" s="431"/>
      <c r="Y19" s="613"/>
      <c r="Z19" s="69"/>
      <c r="AA19" s="68"/>
      <c r="AB19" s="68"/>
      <c r="AC19" s="22"/>
      <c r="AD19" s="598" t="str">
        <f>IF(ISBLANK(A1),"","Figure 1: Total Revenue by Operating Source Category")</f>
        <v/>
      </c>
      <c r="AE19" s="598"/>
      <c r="AF19" s="598"/>
      <c r="AG19" s="598"/>
      <c r="AH19" s="598"/>
      <c r="AI19" s="598"/>
      <c r="AJ19" s="598"/>
      <c r="AK19" s="598"/>
      <c r="AL19" s="598"/>
      <c r="AM19" s="598"/>
      <c r="AN19" s="22"/>
      <c r="AO19" s="22"/>
    </row>
    <row r="20" spans="1:41" ht="27" customHeight="1" thickBot="1" x14ac:dyDescent="1.1000000000000001">
      <c r="A20" s="525" t="s">
        <v>103</v>
      </c>
      <c r="B20" s="434"/>
      <c r="C20" s="434"/>
      <c r="D20" s="434"/>
      <c r="E20" s="434"/>
      <c r="F20" s="434"/>
      <c r="G20" s="434"/>
      <c r="H20" s="435"/>
      <c r="I20" s="519">
        <f>SUMIFS(Input[T. W. - Inst. (NR AFR) E&amp;G],Input[Institution Name],$A$1)+SUMIFS(Input[T. W. - Inst. (NR AFR) Desg],Input[Institution Name],$A$1)+SUMIFS(Input[T. W. - Inst. (NR AFR) Aux],Input[Institution Name],$A$1)+SUMIFS(Input[T. W. - Inst. (NR AFR) R Exp],Input[Institution Name],$A$1)+SUMIFS(Input[T. W. - Inst. (NR AFR) Loan],Input[Institution Name],$A$1)+SUMIFS(Input[T. W. - Inst. (NR AFR) Annuity],Input[Institution Name],$A$1)+SUMIFS(Input[T. W. - Inst. (NR AFR) Unexp],Input[Institution Name],$A$1)+SUMIFS(Input[T. W. - Inst. (NR AFR) R of Ind],Input[Institution Name],$A$1)+SUMIFS(Input[T. W. - Inst. (NR AFR) Inv in P],Input[Institution Name],$A$1)</f>
        <v>0</v>
      </c>
      <c r="J20" s="519"/>
      <c r="K20" s="519"/>
      <c r="L20" s="432">
        <f t="shared" ref="L20:L22" si="2">IFERROR(ROUND(I20/$R$1,0),0)</f>
        <v>0</v>
      </c>
      <c r="M20" s="432"/>
      <c r="N20" s="536"/>
      <c r="O20" s="272"/>
      <c r="P20" s="552" t="s">
        <v>1785</v>
      </c>
      <c r="Q20" s="553"/>
      <c r="R20" s="553"/>
      <c r="S20" s="553"/>
      <c r="T20" s="553"/>
      <c r="U20" s="553"/>
      <c r="V20" s="553"/>
      <c r="W20" s="554">
        <f>SUM(W18:Y19)</f>
        <v>0</v>
      </c>
      <c r="X20" s="554"/>
      <c r="Y20" s="603"/>
      <c r="Z20" s="69"/>
      <c r="AA20" s="68"/>
      <c r="AB20" s="68"/>
      <c r="AC20" s="42"/>
      <c r="AD20" s="22"/>
      <c r="AE20" s="22"/>
      <c r="AF20" s="22"/>
      <c r="AG20" s="22"/>
      <c r="AH20" s="22"/>
      <c r="AI20" s="22"/>
      <c r="AJ20" s="22"/>
      <c r="AK20" s="4"/>
      <c r="AL20" s="22"/>
      <c r="AM20" s="22"/>
      <c r="AN20" s="22"/>
      <c r="AO20" s="22"/>
    </row>
    <row r="21" spans="1:41" ht="27" customHeight="1" x14ac:dyDescent="1.05">
      <c r="A21" s="525" t="s">
        <v>104</v>
      </c>
      <c r="B21" s="434"/>
      <c r="C21" s="434"/>
      <c r="D21" s="434"/>
      <c r="E21" s="434"/>
      <c r="F21" s="434"/>
      <c r="G21" s="434"/>
      <c r="H21" s="435"/>
      <c r="I21" s="519">
        <f>SUMIFS(Input[T. Exp. - Stat (NR AFR) E&amp;G],Input[Institution Name],$A$1)+SUMIFS(Input[T. Exp. - Stat (NR AFR) Desg],Input[Institution Name],$A$1)+SUMIFS(Input[T. Exp. - Stat (NR AFR) Aux],Input[Institution Name],$A$1)+SUMIFS(Input[T. Exp. - Stat (NR AFR) R Exp],Input[Institution Name],$A$1)+SUMIFS(Input[T. Exp. - Stat (NR AFR) Loan],Input[Institution Name],$A$1)+SUMIFS(Input[T. Exp. - Stat (NR AFR) Annuity],Input[Institution Name],$A$1)+SUMIFS(Input[T. Exp. - Stat (NR AFR) Unexp],Input[Institution Name],$A$1)+SUMIFS(Input[T. Exp. - Stat (NR AFR) R of Ind],Input[Institution Name],$A$1)+SUMIFS(Input[T. Exp. - Stat (NR AFR) Inv in P],Input[Institution Name],$A$1)</f>
        <v>0</v>
      </c>
      <c r="J21" s="519"/>
      <c r="K21" s="519"/>
      <c r="L21" s="432">
        <f t="shared" si="2"/>
        <v>0</v>
      </c>
      <c r="M21" s="432"/>
      <c r="N21" s="536"/>
      <c r="O21" s="272"/>
      <c r="P21" s="22"/>
      <c r="Q21" s="22"/>
      <c r="R21" s="22"/>
      <c r="S21" s="22"/>
      <c r="T21" s="22"/>
      <c r="U21" s="22"/>
      <c r="V21" s="22"/>
      <c r="W21" s="22"/>
      <c r="X21" s="22"/>
      <c r="Y21" s="22"/>
      <c r="Z21" s="22"/>
      <c r="AA21" s="22"/>
      <c r="AB21" s="22"/>
      <c r="AC21" s="22"/>
      <c r="AD21" s="22"/>
      <c r="AE21" s="22"/>
      <c r="AF21" s="22"/>
      <c r="AG21" s="22"/>
      <c r="AH21" s="22"/>
      <c r="AI21" s="22"/>
      <c r="AJ21" s="22"/>
      <c r="AK21" s="4"/>
      <c r="AL21" s="43"/>
      <c r="AM21" s="22"/>
      <c r="AN21" s="22"/>
      <c r="AO21" s="22"/>
    </row>
    <row r="22" spans="1:41" ht="27" customHeight="1" thickBot="1" x14ac:dyDescent="1.1000000000000001">
      <c r="A22" s="531" t="s">
        <v>105</v>
      </c>
      <c r="B22" s="532"/>
      <c r="C22" s="532"/>
      <c r="D22" s="532"/>
      <c r="E22" s="532"/>
      <c r="F22" s="532"/>
      <c r="G22" s="532"/>
      <c r="H22" s="533"/>
      <c r="I22" s="520">
        <f>SUMIFS(Input[T. Exp. - Inst. (NR AFR) E&amp;G],Input[Institution Name],$A$1)+SUMIFS(Input[T. Exp. - Inst. (NR AFR) Desg],Input[Institution Name],$A$1)+SUMIFS(Input[T. Exp. - Inst. (NR AFR) Aux],Input[Institution Name],$A$1)+SUMIFS(Input[T. Exp. - Inst. (NR AFR) R Exp],Input[Institution Name],$A$1)+SUMIFS(Input[T. Exp. - Inst. (NR AFR) Loan],Input[Institution Name],$A$1)+SUMIFS(Input[T. Exp. - Inst. (NR AFR) Annuity],Input[Institution Name],$A$1)+SUMIFS(Input[T. Exp. - Inst. (NR AFR) Unexp],Input[Institution Name],$A$1)+SUMIFS(Input[T. Exp. - Inst. (NR AFR) R of Ind],Input[Institution Name],$A$1)+SUMIFS(Input[T. Exp. - Inst. (NR AFR) Inv in P],Input[Institution Name],$A$1)</f>
        <v>0</v>
      </c>
      <c r="J22" s="520"/>
      <c r="K22" s="520"/>
      <c r="L22" s="534">
        <f t="shared" si="2"/>
        <v>0</v>
      </c>
      <c r="M22" s="534"/>
      <c r="N22" s="535"/>
      <c r="O22" s="272"/>
      <c r="P22" s="22"/>
      <c r="Q22" s="22"/>
      <c r="R22" s="22"/>
      <c r="S22" s="22"/>
      <c r="T22" s="22"/>
      <c r="U22" s="22"/>
      <c r="V22" s="22"/>
      <c r="W22" s="22"/>
      <c r="X22" s="22"/>
      <c r="Y22" s="22"/>
      <c r="Z22" s="22"/>
      <c r="AA22" s="22"/>
      <c r="AB22" s="22"/>
      <c r="AC22" s="22"/>
      <c r="AD22" s="22"/>
      <c r="AE22" s="22"/>
      <c r="AF22" s="22"/>
      <c r="AG22" s="22"/>
      <c r="AH22" s="22"/>
      <c r="AI22" s="22"/>
      <c r="AJ22" s="22"/>
      <c r="AK22" s="4"/>
      <c r="AL22" s="2"/>
      <c r="AM22" s="22"/>
      <c r="AN22" s="22"/>
      <c r="AO22" s="22"/>
    </row>
    <row r="23" spans="1:41" ht="27" customHeight="1" thickBot="1" x14ac:dyDescent="1.1000000000000001">
      <c r="A23" s="526" t="s">
        <v>848</v>
      </c>
      <c r="B23" s="527"/>
      <c r="C23" s="527"/>
      <c r="D23" s="527"/>
      <c r="E23" s="527"/>
      <c r="F23" s="527"/>
      <c r="G23" s="527"/>
      <c r="H23" s="528"/>
      <c r="I23" s="521">
        <f>SUMIFS(Input[T. - Gross E&amp;G],Input[Institution Name],$A$1)+SUMIFS(Input[T. - Gross Desg],Input[Institution Name],$A$1)+SUMIFS(Input[T. - Gross Aux],Input[Institution Name],$A$1)+SUMIFS(Input[T. - Gross R Exp],Input[Institution Name],$A$1)+SUMIFS(Input[T. - Gross Loan],Input[Institution Name],$A$1)+SUMIFS(Input[T. - Gross Annuity],Input[Institution Name],$A$1)+SUMIFS(Input[T. - Gross Unexp],Input[Institution Name],$A$1)+SUMIFS(Input[T. - Gross R of Ind],Input[Institution Name],$A$1)+SUMIFS(Input[T. - Gross Inv in P],Input[Institution Name],$A$1)</f>
        <v>0</v>
      </c>
      <c r="J23" s="521"/>
      <c r="K23" s="521"/>
      <c r="L23" s="516">
        <f>IFERROR(ROUND(I23/$R$1,0),0)</f>
        <v>0</v>
      </c>
      <c r="M23" s="516"/>
      <c r="N23" s="517"/>
      <c r="O23" s="272"/>
      <c r="P23" s="22"/>
      <c r="Q23" s="22"/>
      <c r="R23" s="22"/>
      <c r="S23" s="22"/>
      <c r="T23" s="22"/>
      <c r="U23" s="22"/>
      <c r="V23" s="22"/>
      <c r="W23" s="22"/>
      <c r="X23" s="22"/>
      <c r="Y23" s="22"/>
      <c r="Z23" s="22"/>
      <c r="AA23" s="22"/>
      <c r="AB23" s="22"/>
      <c r="AC23" s="22"/>
      <c r="AD23" s="22"/>
      <c r="AE23" s="22"/>
      <c r="AF23" s="22"/>
      <c r="AG23" s="22"/>
      <c r="AH23" s="22"/>
      <c r="AI23" s="22"/>
      <c r="AJ23" s="22"/>
      <c r="AK23" s="4"/>
      <c r="AL23" s="2"/>
      <c r="AM23" s="22"/>
      <c r="AN23" s="22"/>
      <c r="AO23" s="22"/>
    </row>
    <row r="24" spans="1:41" ht="27" customHeight="1" thickBot="1" x14ac:dyDescent="1.1000000000000001">
      <c r="A24" s="513" t="s">
        <v>1644</v>
      </c>
      <c r="B24" s="514"/>
      <c r="C24" s="514"/>
      <c r="D24" s="514"/>
      <c r="E24" s="514"/>
      <c r="F24" s="514"/>
      <c r="G24" s="514"/>
      <c r="H24" s="514"/>
      <c r="I24" s="514"/>
      <c r="J24" s="514"/>
      <c r="K24" s="514"/>
      <c r="L24" s="514"/>
      <c r="M24" s="514"/>
      <c r="N24" s="515"/>
      <c r="O24" s="272"/>
      <c r="P24" s="22"/>
      <c r="Q24" s="22"/>
      <c r="R24" s="22"/>
      <c r="S24" s="22"/>
      <c r="T24" s="22"/>
      <c r="U24" s="22"/>
      <c r="V24" s="22"/>
      <c r="W24" s="22"/>
      <c r="X24" s="22"/>
      <c r="Y24" s="22"/>
      <c r="Z24" s="22"/>
      <c r="AA24" s="22"/>
      <c r="AB24" s="22"/>
      <c r="AC24" s="22"/>
      <c r="AD24" s="22"/>
      <c r="AE24" s="22"/>
      <c r="AF24" s="22"/>
      <c r="AG24" s="22"/>
      <c r="AH24" s="22"/>
      <c r="AI24" s="22"/>
      <c r="AJ24" s="22"/>
      <c r="AK24" s="4"/>
      <c r="AL24" s="2"/>
      <c r="AM24" s="22"/>
      <c r="AN24" s="22"/>
      <c r="AO24" s="22"/>
    </row>
    <row r="25" spans="1:41" ht="27" customHeight="1" thickBot="1" x14ac:dyDescent="1.1000000000000001">
      <c r="A25" s="522" t="s">
        <v>102</v>
      </c>
      <c r="B25" s="523"/>
      <c r="C25" s="523"/>
      <c r="D25" s="523"/>
      <c r="E25" s="523"/>
      <c r="F25" s="523"/>
      <c r="G25" s="523"/>
      <c r="H25" s="524"/>
      <c r="I25" s="518">
        <f>SUMIFS(Input[T. W. - Stat (R AFR) E&amp;G],Input[Institution Name],$A$1)+SUMIFS(Input[T. W. - Stat (R AFR) Desg],Input[Institution Name],$A$1)+SUMIFS(Input[T. W. - Stat (R AFR) Aux],Input[Institution Name],$A$1)+SUMIFS(Input[T. W. - Stat (R AFR) R Exp],Input[Institution Name],$A$1)+SUMIFS(Input[T. W. - Stat (R AFR) Loan],Input[Institution Name],$A$1)+SUMIFS(Input[T. W. - Stat (R AFR) Annuity],Input[Institution Name],$A$1)+SUMIFS(Input[T. W. - Stat (R AFR) Unexp],Input[Institution Name],$A$1)+SUMIFS(Input[T. W. - Stat (R AFR) R of Ind],Input[Institution Name],$A$1)+SUMIFS(Input[T. W. - Stat (R AFR) Inv in P],Input[Institution Name],$A$1)</f>
        <v>0</v>
      </c>
      <c r="J25" s="518"/>
      <c r="K25" s="518"/>
      <c r="L25" s="529">
        <f>IFERROR(ROUND(I25/$R$1,0),0)</f>
        <v>0</v>
      </c>
      <c r="M25" s="529"/>
      <c r="N25" s="530"/>
      <c r="O25" s="272"/>
      <c r="P25" s="22"/>
      <c r="Q25" s="22"/>
      <c r="R25" s="22"/>
      <c r="S25" s="22"/>
      <c r="T25" s="22"/>
      <c r="U25" s="22"/>
      <c r="V25" s="22"/>
      <c r="W25" s="22"/>
      <c r="X25" s="22"/>
      <c r="Y25" s="22"/>
      <c r="Z25" s="22"/>
      <c r="AA25" s="22"/>
      <c r="AB25" s="22"/>
      <c r="AC25" s="22"/>
      <c r="AD25" s="22"/>
      <c r="AE25" s="22"/>
      <c r="AF25" s="22"/>
      <c r="AG25" s="22"/>
      <c r="AH25" s="22"/>
      <c r="AI25" s="22"/>
      <c r="AJ25" s="22"/>
      <c r="AK25" s="4"/>
      <c r="AL25" s="2"/>
      <c r="AM25" s="22"/>
      <c r="AN25" s="22"/>
      <c r="AO25" s="22"/>
    </row>
    <row r="26" spans="1:41" ht="27" customHeight="1" thickBot="1" x14ac:dyDescent="1.1000000000000001">
      <c r="A26" s="525" t="s">
        <v>103</v>
      </c>
      <c r="B26" s="434"/>
      <c r="C26" s="434"/>
      <c r="D26" s="434"/>
      <c r="E26" s="434"/>
      <c r="F26" s="434"/>
      <c r="G26" s="434"/>
      <c r="H26" s="435"/>
      <c r="I26" s="519">
        <f>SUMIFS(Input[T. W. - Inst. (R AFR) E&amp;G],Input[Institution Name],$A$1)+SUMIFS(Input[T. W. - Inst. (R AFR) Desg],Input[Institution Name],$A$1)+SUMIFS(Input[T. W. - Inst. (R AFR) Aux],Input[Institution Name],$A$1)+SUMIFS(Input[T. W. - Inst. (R AFR) R Exp],Input[Institution Name],$A$1)+SUMIFS(Input[T. W. - Inst. (R AFR) Loan],Input[Institution Name],$A$1)+SUMIFS(Input[T. W. - Inst. (R AFR) Annuity],Input[Institution Name],$A$1)+SUMIFS(Input[T. W. - Inst. (R AFR) Unexp],Input[Institution Name],$A$1)+SUMIFS(Input[T. W. - Inst. (R AFR) R of Ind],Input[Institution Name],$A$1)+SUMIFS(Input[T. W. - Inst. (R AFR) Inv in P],Input[Institution Name],$A$1)</f>
        <v>0</v>
      </c>
      <c r="J26" s="519"/>
      <c r="K26" s="519"/>
      <c r="L26" s="432">
        <f t="shared" ref="L26:L28" si="3">IFERROR(ROUND(I26/$R$1,0),0)</f>
        <v>0</v>
      </c>
      <c r="M26" s="432"/>
      <c r="N26" s="536"/>
      <c r="O26" s="272"/>
      <c r="P26" s="549" t="s">
        <v>1786</v>
      </c>
      <c r="Q26" s="550"/>
      <c r="R26" s="550"/>
      <c r="S26" s="550"/>
      <c r="T26" s="550"/>
      <c r="U26" s="550"/>
      <c r="V26" s="550"/>
      <c r="W26" s="550"/>
      <c r="X26" s="550"/>
      <c r="Y26" s="550"/>
      <c r="Z26" s="550"/>
      <c r="AA26" s="550"/>
      <c r="AB26" s="551"/>
      <c r="AC26" s="45"/>
      <c r="AD26" s="599" t="s">
        <v>729</v>
      </c>
      <c r="AE26" s="600"/>
      <c r="AF26" s="600"/>
      <c r="AG26" s="600"/>
      <c r="AH26" s="600"/>
      <c r="AI26" s="600"/>
      <c r="AJ26" s="600"/>
      <c r="AK26" s="601"/>
      <c r="AL26" s="600"/>
      <c r="AM26" s="602"/>
      <c r="AN26" s="22"/>
      <c r="AO26" s="22"/>
    </row>
    <row r="27" spans="1:41" ht="27" customHeight="1" thickBot="1" x14ac:dyDescent="1.1000000000000001">
      <c r="A27" s="525" t="s">
        <v>104</v>
      </c>
      <c r="B27" s="434"/>
      <c r="C27" s="434"/>
      <c r="D27" s="434"/>
      <c r="E27" s="434"/>
      <c r="F27" s="434"/>
      <c r="G27" s="434"/>
      <c r="H27" s="435"/>
      <c r="I27" s="519">
        <f>SUMIFS(Input[T. Exp. - Stat (R AFR) E&amp;G],Input[Institution Name],$A$1)+SUMIFS(Input[T. Exp. - Stat (R AFR) Desg],Input[Institution Name],$A$1)+SUMIFS(Input[T. Exp. - Stat (R AFR) Aux],Input[Institution Name],$A$1)+SUMIFS(Input[T. Exp. - Stat (R AFR) R Exp],Input[Institution Name],$A$1)+SUMIFS(Input[T. Exp. - Stat (R AFR) Loan],Input[Institution Name],$A$1)+SUMIFS(Input[T. Exp. - Stat (R AFR) Annuity],Input[Institution Name],$A$1)+SUMIFS(Input[T. Exp. - Stat (R AFR) Unexp],Input[Institution Name],$A$1)+SUMIFS(Input[T. Exp. - Stat (R AFR) R of Ind],Input[Institution Name],$A$1)+SUMIFS(Input[T. Exp. - Stat (R AFR) Inv in P],Input[Institution Name],$A$1)</f>
        <v>0</v>
      </c>
      <c r="J27" s="519"/>
      <c r="K27" s="519"/>
      <c r="L27" s="432">
        <f t="shared" si="3"/>
        <v>0</v>
      </c>
      <c r="M27" s="432"/>
      <c r="N27" s="536"/>
      <c r="O27" s="272"/>
      <c r="P27" s="543" t="s">
        <v>93</v>
      </c>
      <c r="Q27" s="544"/>
      <c r="R27" s="544"/>
      <c r="S27" s="544"/>
      <c r="T27" s="544"/>
      <c r="U27" s="544"/>
      <c r="V27" s="544"/>
      <c r="W27" s="545" t="s">
        <v>137</v>
      </c>
      <c r="X27" s="546"/>
      <c r="Y27" s="546"/>
      <c r="Z27" s="545" t="s">
        <v>138</v>
      </c>
      <c r="AA27" s="546"/>
      <c r="AB27" s="547"/>
      <c r="AC27" s="273"/>
      <c r="AD27" s="543" t="s">
        <v>140</v>
      </c>
      <c r="AE27" s="544"/>
      <c r="AF27" s="544"/>
      <c r="AG27" s="544"/>
      <c r="AH27" s="544"/>
      <c r="AI27" s="544"/>
      <c r="AJ27" s="544"/>
      <c r="AK27" s="545" t="s">
        <v>137</v>
      </c>
      <c r="AL27" s="546"/>
      <c r="AM27" s="547"/>
      <c r="AN27" s="22"/>
      <c r="AO27" s="22"/>
    </row>
    <row r="28" spans="1:41" ht="27" customHeight="1" x14ac:dyDescent="1.05">
      <c r="A28" s="525" t="s">
        <v>105</v>
      </c>
      <c r="B28" s="434"/>
      <c r="C28" s="434"/>
      <c r="D28" s="434"/>
      <c r="E28" s="434"/>
      <c r="F28" s="434"/>
      <c r="G28" s="434"/>
      <c r="H28" s="435"/>
      <c r="I28" s="519">
        <f>SUMIFS(Input[T. Exp. - Inst. (R AFR) E&amp;G],Input[Institution Name],$A$1)+SUMIFS(Input[T. Exp. - Inst. (R AFR) Desg],Input[Institution Name],$A$1)+SUMIFS(Input[T. Exp. - Inst. (R AFR) Aux],Input[Institution Name],$A$1)+SUMIFS(Input[T. Exp. - Inst. (R AFR) R Exp],Input[Institution Name],$A$1)+SUMIFS(Input[T. Exp. - Inst. (R AFR) Loan],Input[Institution Name],$A$1)+SUMIFS(Input[T. Exp. - Inst. (R AFR) Annuity],Input[Institution Name],$A$1)+SUMIFS(Input[T. Exp. - Inst. (R AFR) Unexp],Input[Institution Name],$A$1)+SUMIFS(Input[T. Exp. - Inst. (R AFR) R of Ind],Input[Institution Name],$A$1)+SUMIFS(Input[T. Exp. - Inst. (R AFR) Inv in P],Input[Institution Name],$A$1)</f>
        <v>0</v>
      </c>
      <c r="J28" s="519"/>
      <c r="K28" s="519"/>
      <c r="L28" s="432">
        <f t="shared" si="3"/>
        <v>0</v>
      </c>
      <c r="M28" s="432"/>
      <c r="N28" s="536"/>
      <c r="O28" s="272"/>
      <c r="P28" s="604" t="s">
        <v>97</v>
      </c>
      <c r="Q28" s="605"/>
      <c r="R28" s="605"/>
      <c r="S28" s="605"/>
      <c r="T28" s="605"/>
      <c r="U28" s="605"/>
      <c r="V28" s="606"/>
      <c r="W28" s="518">
        <f>I10</f>
        <v>0</v>
      </c>
      <c r="X28" s="518"/>
      <c r="Y28" s="518"/>
      <c r="Z28" s="607">
        <f>IFERROR(W28/$W$14,0)</f>
        <v>0</v>
      </c>
      <c r="AA28" s="607"/>
      <c r="AB28" s="608"/>
      <c r="AC28" s="2"/>
      <c r="AD28" s="277"/>
      <c r="AE28" s="278" t="str" cm="1">
        <f t="array" ref="AE28">IF(ISBLANK(A1),"",INDEX(P28:P41,MATCH(LARGE(W28:W41,ROW(1:5)),W28:W41,0)))</f>
        <v/>
      </c>
      <c r="AF28" s="278"/>
      <c r="AG28" s="278"/>
      <c r="AH28" s="278"/>
      <c r="AI28" s="278"/>
      <c r="AJ28" s="279"/>
      <c r="AK28" s="426" t="str">
        <f>IFERROR(VLOOKUP(AE28,$P$28:$Y$41,8,FALSE),"")</f>
        <v/>
      </c>
      <c r="AL28" s="426"/>
      <c r="AM28" s="597"/>
      <c r="AN28" s="22"/>
      <c r="AO28" s="22"/>
    </row>
    <row r="29" spans="1:41" ht="27" customHeight="1" thickBot="1" x14ac:dyDescent="1.1000000000000001">
      <c r="A29" s="525" t="s">
        <v>141</v>
      </c>
      <c r="B29" s="434"/>
      <c r="C29" s="434"/>
      <c r="D29" s="434"/>
      <c r="E29" s="434"/>
      <c r="F29" s="434"/>
      <c r="G29" s="434"/>
      <c r="H29" s="435"/>
      <c r="I29" s="520">
        <f>SUMIFS(Input[T. Schlr E&amp;G],Input[Institution Name],$A$1)+SUMIFS(Input[T. Schlr Desg],Input[Institution Name],$A$1)+SUMIFS(Input[T. Schlr Aux],Input[Institution Name],$A$1)+SUMIFS(Input[T. Schlr R Exp],Input[Institution Name],$A$1)+SUMIFS(Input[T. Schlr Loan],Input[Institution Name],$A$1)+SUMIFS(Input[T. Schlr Annuity],Input[Institution Name],$A$1)+SUMIFS(Input[T. Schlr Unexp],Input[Institution Name],$A$1)+SUMIFS(Input[T. Schlr R of Ind],Input[Institution Name],$A$1)+SUMIFS(Input[T. Schlr Inv in P],Input[Institution Name],$A$1)</f>
        <v>0</v>
      </c>
      <c r="J29" s="520"/>
      <c r="K29" s="520"/>
      <c r="L29" s="534">
        <f t="shared" ref="L29" si="4">IFERROR(ROUND(I29/$R$1,0),0)</f>
        <v>0</v>
      </c>
      <c r="M29" s="534"/>
      <c r="N29" s="535"/>
      <c r="O29" s="272"/>
      <c r="P29" s="579" t="s">
        <v>142</v>
      </c>
      <c r="Q29" s="446"/>
      <c r="R29" s="446"/>
      <c r="S29" s="446"/>
      <c r="T29" s="446"/>
      <c r="U29" s="446"/>
      <c r="V29" s="447"/>
      <c r="W29" s="519">
        <f>I11</f>
        <v>0</v>
      </c>
      <c r="X29" s="519"/>
      <c r="Y29" s="519"/>
      <c r="Z29" s="572">
        <f t="shared" ref="Z29:Z33" si="5">IFERROR(W29/$W$14,0)</f>
        <v>0</v>
      </c>
      <c r="AA29" s="572"/>
      <c r="AB29" s="573"/>
      <c r="AC29" s="2"/>
      <c r="AD29" s="280"/>
      <c r="AE29" s="281"/>
      <c r="AF29" s="281"/>
      <c r="AG29" s="281"/>
      <c r="AH29" s="281"/>
      <c r="AI29" s="281"/>
      <c r="AJ29" s="282"/>
      <c r="AK29" s="591" t="str">
        <f>IFERROR(VLOOKUP(AE29,$P$28:$Y$41,8,FALSE),"")</f>
        <v/>
      </c>
      <c r="AL29" s="592"/>
      <c r="AM29" s="593"/>
      <c r="AN29" s="22"/>
      <c r="AO29" s="22"/>
    </row>
    <row r="30" spans="1:41" ht="27" customHeight="1" thickBot="1" x14ac:dyDescent="1.1000000000000001">
      <c r="A30" s="509" t="s">
        <v>106</v>
      </c>
      <c r="B30" s="510"/>
      <c r="C30" s="510"/>
      <c r="D30" s="510"/>
      <c r="E30" s="510"/>
      <c r="F30" s="510"/>
      <c r="G30" s="510"/>
      <c r="H30" s="510"/>
      <c r="I30" s="516">
        <f>SUM(I23,I25:I29)</f>
        <v>0</v>
      </c>
      <c r="J30" s="516"/>
      <c r="K30" s="516"/>
      <c r="L30" s="516">
        <f>IFERROR(ROUND(I30/$R$1,0),0)</f>
        <v>0</v>
      </c>
      <c r="M30" s="516"/>
      <c r="N30" s="517"/>
      <c r="O30" s="272"/>
      <c r="P30" s="579" t="s">
        <v>98</v>
      </c>
      <c r="Q30" s="446"/>
      <c r="R30" s="446"/>
      <c r="S30" s="446"/>
      <c r="T30" s="446"/>
      <c r="U30" s="446"/>
      <c r="V30" s="447"/>
      <c r="W30" s="519">
        <f>I12</f>
        <v>0</v>
      </c>
      <c r="X30" s="519"/>
      <c r="Y30" s="519"/>
      <c r="Z30" s="572">
        <f t="shared" si="5"/>
        <v>0</v>
      </c>
      <c r="AA30" s="572"/>
      <c r="AB30" s="573"/>
      <c r="AC30" s="2"/>
      <c r="AD30" s="280"/>
      <c r="AE30" s="281"/>
      <c r="AF30" s="281"/>
      <c r="AG30" s="281"/>
      <c r="AH30" s="281"/>
      <c r="AI30" s="281"/>
      <c r="AJ30" s="282"/>
      <c r="AK30" s="591" t="str">
        <f>IFERROR(VLOOKUP(AE30,$P$28:$Y$41,8,FALSE),"")</f>
        <v/>
      </c>
      <c r="AL30" s="592"/>
      <c r="AM30" s="593"/>
      <c r="AN30" s="22"/>
      <c r="AO30" s="22"/>
    </row>
    <row r="31" spans="1:41" ht="27" customHeight="1" thickBot="1" x14ac:dyDescent="1.1000000000000001">
      <c r="A31" s="274"/>
      <c r="B31" s="275"/>
      <c r="C31" s="275"/>
      <c r="D31" s="275"/>
      <c r="E31" s="275"/>
      <c r="F31" s="275"/>
      <c r="G31" s="275"/>
      <c r="H31" s="275"/>
      <c r="I31" s="283"/>
      <c r="J31" s="283"/>
      <c r="K31" s="283"/>
      <c r="L31" s="284"/>
      <c r="M31" s="22"/>
      <c r="N31" s="22"/>
      <c r="O31" s="272"/>
      <c r="P31" s="579" t="s">
        <v>139</v>
      </c>
      <c r="Q31" s="446"/>
      <c r="R31" s="446"/>
      <c r="S31" s="446"/>
      <c r="T31" s="446"/>
      <c r="U31" s="446"/>
      <c r="V31" s="447"/>
      <c r="W31" s="519">
        <f>I13</f>
        <v>0</v>
      </c>
      <c r="X31" s="519"/>
      <c r="Y31" s="519"/>
      <c r="Z31" s="572">
        <f t="shared" si="5"/>
        <v>0</v>
      </c>
      <c r="AA31" s="572"/>
      <c r="AB31" s="573"/>
      <c r="AC31" s="2"/>
      <c r="AD31" s="280"/>
      <c r="AE31" s="281"/>
      <c r="AF31" s="281"/>
      <c r="AG31" s="281"/>
      <c r="AH31" s="281"/>
      <c r="AI31" s="281"/>
      <c r="AJ31" s="282"/>
      <c r="AK31" s="591" t="str">
        <f>IFERROR(VLOOKUP(AE31,$P$28:$Y$41,8,FALSE),"")</f>
        <v/>
      </c>
      <c r="AL31" s="592"/>
      <c r="AM31" s="593"/>
      <c r="AN31" s="22"/>
      <c r="AO31" s="22"/>
    </row>
    <row r="32" spans="1:41" ht="27" customHeight="1" thickBot="1" x14ac:dyDescent="1.1000000000000001">
      <c r="A32" s="511" t="s">
        <v>107</v>
      </c>
      <c r="B32" s="512"/>
      <c r="C32" s="512"/>
      <c r="D32" s="512"/>
      <c r="E32" s="512"/>
      <c r="F32" s="512"/>
      <c r="G32" s="512"/>
      <c r="H32" s="512"/>
      <c r="I32" s="516" cm="1">
        <f t="array" ref="I32">SUM(I38,-I34:J37)</f>
        <v>0</v>
      </c>
      <c r="J32" s="516"/>
      <c r="K32" s="516"/>
      <c r="L32" s="516">
        <f>IFERROR(ROUND(I32/$R$1,0),0)</f>
        <v>0</v>
      </c>
      <c r="M32" s="516"/>
      <c r="N32" s="517"/>
      <c r="O32" s="272"/>
      <c r="P32" s="579" t="s">
        <v>143</v>
      </c>
      <c r="Q32" s="446"/>
      <c r="R32" s="446"/>
      <c r="S32" s="446"/>
      <c r="T32" s="446"/>
      <c r="U32" s="446"/>
      <c r="V32" s="447"/>
      <c r="W32" s="519">
        <f>I30+I45</f>
        <v>0</v>
      </c>
      <c r="X32" s="519"/>
      <c r="Y32" s="519"/>
      <c r="Z32" s="572">
        <f t="shared" si="5"/>
        <v>0</v>
      </c>
      <c r="AA32" s="572"/>
      <c r="AB32" s="573"/>
      <c r="AC32" s="2"/>
      <c r="AD32" s="285"/>
      <c r="AE32" s="286"/>
      <c r="AF32" s="286"/>
      <c r="AG32" s="286"/>
      <c r="AH32" s="286"/>
      <c r="AI32" s="286"/>
      <c r="AJ32" s="287"/>
      <c r="AK32" s="594" t="str">
        <f>IFERROR(VLOOKUP(AE32,$P$28:$Y$41,8,FALSE),"")</f>
        <v/>
      </c>
      <c r="AL32" s="595"/>
      <c r="AM32" s="596"/>
      <c r="AN32" s="22"/>
      <c r="AO32" s="22"/>
    </row>
    <row r="33" spans="1:41" ht="27" customHeight="1" thickBot="1" x14ac:dyDescent="1.1000000000000001">
      <c r="A33" s="513" t="s">
        <v>1728</v>
      </c>
      <c r="B33" s="514"/>
      <c r="C33" s="514"/>
      <c r="D33" s="514"/>
      <c r="E33" s="514"/>
      <c r="F33" s="514"/>
      <c r="G33" s="514"/>
      <c r="H33" s="514"/>
      <c r="I33" s="514"/>
      <c r="J33" s="514"/>
      <c r="K33" s="514"/>
      <c r="L33" s="514"/>
      <c r="M33" s="514"/>
      <c r="N33" s="515"/>
      <c r="O33" s="272"/>
      <c r="P33" s="579" t="s">
        <v>144</v>
      </c>
      <c r="Q33" s="446"/>
      <c r="R33" s="446"/>
      <c r="S33" s="446"/>
      <c r="T33" s="446"/>
      <c r="U33" s="446"/>
      <c r="V33" s="447"/>
      <c r="W33" s="519">
        <f>I50</f>
        <v>0</v>
      </c>
      <c r="X33" s="519"/>
      <c r="Y33" s="519"/>
      <c r="Z33" s="572">
        <f t="shared" si="5"/>
        <v>0</v>
      </c>
      <c r="AA33" s="572"/>
      <c r="AB33" s="573"/>
      <c r="AC33" s="2"/>
      <c r="AD33" s="89"/>
      <c r="AE33" s="89"/>
      <c r="AF33" s="89"/>
      <c r="AG33" s="89"/>
      <c r="AH33" s="89"/>
      <c r="AI33" s="89"/>
      <c r="AJ33" s="89"/>
      <c r="AK33" s="89"/>
      <c r="AL33" s="89"/>
      <c r="AM33" s="89"/>
      <c r="AN33" s="22"/>
      <c r="AO33" s="22"/>
    </row>
    <row r="34" spans="1:41" ht="27" customHeight="1" x14ac:dyDescent="1.05">
      <c r="A34" s="522" t="s">
        <v>102</v>
      </c>
      <c r="B34" s="523"/>
      <c r="C34" s="523"/>
      <c r="D34" s="523"/>
      <c r="E34" s="523"/>
      <c r="F34" s="523"/>
      <c r="G34" s="523"/>
      <c r="H34" s="524"/>
      <c r="I34" s="518">
        <f>SUMIFS(Input[F. W. - Stat (NR AFR) E&amp;G],Input[Institution Name],$A$1)+SUMIFS(Input[F. W. - Stat (NR AFR) Desg],Input[Institution Name],$A$1)+SUMIFS(Input[F. W. - Stat (NR AFR) Aux],Input[Institution Name],$A$1)+SUMIFS(Input[F. W. - Stat (NR AFR) R Exp],Input[Institution Name],$A$1)+SUMIFS(Input[F. W. - Stat (NR AFR) Loan],Input[Institution Name],$A$1)+SUMIFS(Input[F. W. - Stat (NR AFR) Annuity],Input[Institution Name],$A$1)+SUMIFS(Input[F. W. - Stat (NR AFR) Unexp],Input[Institution Name],$A$1)+SUMIFS(Input[F. W. - Stat (NR AFR) R of Ind],Input[Institution Name],$A$1)+SUMIFS(Input[F. W. - Stat (NR AFR) Inv in P],Input[Institution Name],$A$1)</f>
        <v>0</v>
      </c>
      <c r="J34" s="518"/>
      <c r="K34" s="518"/>
      <c r="L34" s="529">
        <f>IFERROR(ROUND(I34/$R$1,0),0)</f>
        <v>0</v>
      </c>
      <c r="M34" s="529"/>
      <c r="N34" s="530"/>
      <c r="O34" s="272"/>
      <c r="P34" s="579" t="s">
        <v>112</v>
      </c>
      <c r="Q34" s="446"/>
      <c r="R34" s="446"/>
      <c r="S34" s="446"/>
      <c r="T34" s="446"/>
      <c r="U34" s="446"/>
      <c r="V34" s="447"/>
      <c r="W34" s="519">
        <f>IF($A$2&lt;&gt;"Health - Related Institutions",0,I53)</f>
        <v>0</v>
      </c>
      <c r="X34" s="519"/>
      <c r="Y34" s="519"/>
      <c r="Z34" s="572">
        <f>IFERROR(W34/SUM($W$28:$W$41),0)</f>
        <v>0</v>
      </c>
      <c r="AA34" s="572"/>
      <c r="AB34" s="573"/>
      <c r="AC34" s="2"/>
      <c r="AD34" s="288"/>
      <c r="AE34" s="288"/>
      <c r="AF34" s="288"/>
      <c r="AG34" s="288"/>
      <c r="AH34" s="288"/>
      <c r="AI34" s="288"/>
      <c r="AJ34" s="288"/>
      <c r="AK34" s="289" t="str">
        <f t="shared" ref="AK34:AK42" si="6">IFERROR(VLOOKUP(AD34,$P$28:$Z$41,2,FALSE),"")</f>
        <v/>
      </c>
      <c r="AL34" s="22"/>
      <c r="AM34" s="22"/>
      <c r="AN34" s="22"/>
      <c r="AO34" s="22"/>
    </row>
    <row r="35" spans="1:41" ht="27" customHeight="1" x14ac:dyDescent="1.05">
      <c r="A35" s="525" t="s">
        <v>103</v>
      </c>
      <c r="B35" s="434"/>
      <c r="C35" s="434"/>
      <c r="D35" s="434"/>
      <c r="E35" s="434"/>
      <c r="F35" s="434"/>
      <c r="G35" s="434"/>
      <c r="H35" s="435"/>
      <c r="I35" s="519">
        <f>SUMIFS(Input[F. W. - Inst. (NR AFR) E&amp;G],Input[Institution Name],$A$1)+SUMIFS(Input[F. W. - Inst. (NR AFR) Desg],Input[Institution Name],$A$1)+SUMIFS(Input[F. W. - Inst. (NR AFR) Aux],Input[Institution Name],$A$1)+SUMIFS(Input[F. W. - Inst. (NR AFR) R Exp],Input[Institution Name],$A$1)+SUMIFS(Input[F. W. - Inst. (NR AFR) Loan],Input[Institution Name],$A$1)+SUMIFS(Input[F. W. - Inst. (NR AFR) Annuity],Input[Institution Name],$A$1)+SUMIFS(Input[F. W. - Inst. (NR AFR) Unexp],Input[Institution Name],$A$1)+SUMIFS(Input[F. W. - Inst. (NR AFR) R of Ind],Input[Institution Name],$A$1)+SUMIFS(Input[F. W. - Inst. (NR AFR) Inv in P],Input[Institution Name],$A$1)</f>
        <v>0</v>
      </c>
      <c r="J35" s="519"/>
      <c r="K35" s="519"/>
      <c r="L35" s="432">
        <f t="shared" ref="L35:L37" si="7">IFERROR(ROUND(I35/$R$1,0),0)</f>
        <v>0</v>
      </c>
      <c r="M35" s="432"/>
      <c r="N35" s="536"/>
      <c r="O35" s="272"/>
      <c r="P35" s="579" t="s">
        <v>113</v>
      </c>
      <c r="Q35" s="446"/>
      <c r="R35" s="446"/>
      <c r="S35" s="446"/>
      <c r="T35" s="446"/>
      <c r="U35" s="446"/>
      <c r="V35" s="447"/>
      <c r="W35" s="519">
        <f>IF($A$2&lt;&gt;"Health - Related Institutions",0,I56)</f>
        <v>0</v>
      </c>
      <c r="X35" s="519"/>
      <c r="Y35" s="519"/>
      <c r="Z35" s="572">
        <f>IFERROR(W35/SUM($W$28:$W$41),0)</f>
        <v>0</v>
      </c>
      <c r="AA35" s="572"/>
      <c r="AB35" s="573"/>
      <c r="AC35" s="2"/>
      <c r="AD35" s="288"/>
      <c r="AE35" s="288"/>
      <c r="AF35" s="288"/>
      <c r="AG35" s="288"/>
      <c r="AH35" s="288"/>
      <c r="AI35" s="288"/>
      <c r="AJ35" s="288"/>
      <c r="AK35" s="289" t="str">
        <f t="shared" si="6"/>
        <v/>
      </c>
      <c r="AL35" s="22"/>
      <c r="AM35" s="22"/>
      <c r="AN35" s="22"/>
      <c r="AO35" s="22"/>
    </row>
    <row r="36" spans="1:41" ht="27" customHeight="1" x14ac:dyDescent="1.05">
      <c r="A36" s="525" t="s">
        <v>104</v>
      </c>
      <c r="B36" s="434"/>
      <c r="C36" s="434"/>
      <c r="D36" s="434"/>
      <c r="E36" s="434"/>
      <c r="F36" s="434"/>
      <c r="G36" s="434"/>
      <c r="H36" s="435"/>
      <c r="I36" s="519">
        <f>SUMIFS(Input[F. Exp. - Stat (NR AFR) E&amp;G],Input[Institution Name],$A$1)+SUMIFS(Input[F. Exp. - Stat (NR AFR) Desg],Input[Institution Name],$A$1)+SUMIFS(Input[F. Exp. - Stat (NR AFR) Aux],Input[Institution Name],$A$1)+SUMIFS(Input[F. Exp. - Stat (NR AFR) R Exp],Input[Institution Name],$A$1)+SUMIFS(Input[F. Exp. - Stat (NR AFR) Loan],Input[Institution Name],$A$1)+SUMIFS(Input[F. Exp. - Stat (NR AFR) Annuity],Input[Institution Name],$A$1)+SUMIFS(Input[F. Exp. - Stat (NR AFR) Unexp],Input[Institution Name],$A$1)+SUMIFS(Input[F. Exp. - Stat (NR AFR) R of Ind],Input[Institution Name],$A$1)+SUMIFS(Input[F. Exp. - Stat (NR AFR) Inv in P],Input[Institution Name],$A$1)</f>
        <v>0</v>
      </c>
      <c r="J36" s="519"/>
      <c r="K36" s="519"/>
      <c r="L36" s="432">
        <f t="shared" si="7"/>
        <v>0</v>
      </c>
      <c r="M36" s="432"/>
      <c r="N36" s="536"/>
      <c r="O36" s="272"/>
      <c r="P36" s="579" t="s">
        <v>145</v>
      </c>
      <c r="Q36" s="446"/>
      <c r="R36" s="446"/>
      <c r="S36" s="446"/>
      <c r="T36" s="446"/>
      <c r="U36" s="446"/>
      <c r="V36" s="447"/>
      <c r="W36" s="519">
        <f t="shared" ref="W36:W41" si="8">I59</f>
        <v>0</v>
      </c>
      <c r="X36" s="519"/>
      <c r="Y36" s="519"/>
      <c r="Z36" s="572">
        <f>IFERROR(W36/SUM($W$28:$W$41),0)</f>
        <v>0</v>
      </c>
      <c r="AA36" s="572"/>
      <c r="AB36" s="573"/>
      <c r="AC36" s="2"/>
      <c r="AD36" s="288"/>
      <c r="AE36" s="288"/>
      <c r="AF36" s="288"/>
      <c r="AG36" s="288"/>
      <c r="AH36" s="288"/>
      <c r="AI36" s="288"/>
      <c r="AJ36" s="288"/>
      <c r="AK36" s="289" t="str">
        <f t="shared" si="6"/>
        <v/>
      </c>
      <c r="AL36" s="22"/>
      <c r="AM36" s="22"/>
      <c r="AN36" s="22"/>
      <c r="AO36" s="22"/>
    </row>
    <row r="37" spans="1:41" ht="27" customHeight="1" thickBot="1" x14ac:dyDescent="1.1000000000000001">
      <c r="A37" s="531" t="s">
        <v>105</v>
      </c>
      <c r="B37" s="532"/>
      <c r="C37" s="532"/>
      <c r="D37" s="532"/>
      <c r="E37" s="532"/>
      <c r="F37" s="532"/>
      <c r="G37" s="532"/>
      <c r="H37" s="533"/>
      <c r="I37" s="520">
        <f>SUMIFS(Input[F. Exp. - Inst. (NR AFR) E&amp;G],Input[Institution Name],$A$1)+SUMIFS(Input[F. Exp. - Inst. (NR AFR) Desg],Input[Institution Name],$A$1)+SUMIFS(Input[F. Exp. - Inst. (NR AFR) Aux],Input[Institution Name],$A$1)+SUMIFS(Input[F. Exp. - Inst. (NR AFR) R Exp],Input[Institution Name],$A$1)+SUMIFS(Input[F. Exp. - Inst. (NR AFR) Loan],Input[Institution Name],$A$1)+SUMIFS(Input[F. Exp. - Inst. (NR AFR) Annuity],Input[Institution Name],$A$1)+SUMIFS(Input[F. Exp. - Inst. (NR AFR) Unexp],Input[Institution Name],$A$1)+SUMIFS(Input[F. Exp. - Inst. (NR AFR) R of Ind],Input[Institution Name],$A$1)+SUMIFS(Input[F. Exp. - Inst. (NR AFR) Inv in P],Input[Institution Name],$A$1)</f>
        <v>0</v>
      </c>
      <c r="J37" s="520"/>
      <c r="K37" s="520"/>
      <c r="L37" s="534">
        <f t="shared" si="7"/>
        <v>0</v>
      </c>
      <c r="M37" s="534"/>
      <c r="N37" s="535"/>
      <c r="O37" s="272"/>
      <c r="P37" s="579" t="s">
        <v>146</v>
      </c>
      <c r="Q37" s="446"/>
      <c r="R37" s="446"/>
      <c r="S37" s="446"/>
      <c r="T37" s="446"/>
      <c r="U37" s="446"/>
      <c r="V37" s="447"/>
      <c r="W37" s="519">
        <f t="shared" si="8"/>
        <v>0</v>
      </c>
      <c r="X37" s="519"/>
      <c r="Y37" s="519"/>
      <c r="Z37" s="572">
        <f t="shared" ref="Z37:Z41" si="9">IFERROR(W37/SUM($W$28:$W$41),0)</f>
        <v>0</v>
      </c>
      <c r="AA37" s="572"/>
      <c r="AB37" s="573"/>
      <c r="AC37" s="2"/>
      <c r="AD37" s="288"/>
      <c r="AE37" s="288"/>
      <c r="AF37" s="288"/>
      <c r="AG37" s="288"/>
      <c r="AH37" s="288"/>
      <c r="AI37" s="288"/>
      <c r="AJ37" s="288"/>
      <c r="AK37" s="289" t="str">
        <f t="shared" si="6"/>
        <v/>
      </c>
      <c r="AL37" s="22"/>
      <c r="AM37" s="22"/>
      <c r="AN37" s="22"/>
      <c r="AO37" s="22"/>
    </row>
    <row r="38" spans="1:41" ht="27" customHeight="1" thickBot="1" x14ac:dyDescent="1.1000000000000001">
      <c r="A38" s="526" t="s">
        <v>108</v>
      </c>
      <c r="B38" s="527"/>
      <c r="C38" s="527"/>
      <c r="D38" s="527"/>
      <c r="E38" s="527"/>
      <c r="F38" s="527"/>
      <c r="G38" s="527"/>
      <c r="H38" s="528"/>
      <c r="I38" s="521">
        <f>SUMIFS(Input[Fees - Gross E&amp;G],Input[Institution Name],$A$1)+SUMIFS(Input[Fees - Gross Desg],Input[Institution Name],$A$1)+SUMIFS(Input[Fees - Gross Aux],Input[Institution Name],$A$1)+SUMIFS(Input[Fees - Gross R Exp],Input[Institution Name],$A$1)+SUMIFS(Input[Fees - Gross Loan],Input[Institution Name],$A$1)+SUMIFS(Input[Fees - Gross Annuity],Input[Institution Name],$A$1)+SUMIFS(Input[Fees - Gross Unexp],Input[Institution Name],$A$1)+SUMIFS(Input[Fees - Gross R of Ind],Input[Institution Name],$A$1)+SUMIFS(Input[Fees - Gross Inv in P],Input[Institution Name],$A$1)</f>
        <v>0</v>
      </c>
      <c r="J38" s="521"/>
      <c r="K38" s="521"/>
      <c r="L38" s="516">
        <f>IFERROR(ROUND(I38/$R$1,0),0)</f>
        <v>0</v>
      </c>
      <c r="M38" s="516"/>
      <c r="N38" s="517"/>
      <c r="O38" s="272"/>
      <c r="P38" s="579" t="s">
        <v>147</v>
      </c>
      <c r="Q38" s="446"/>
      <c r="R38" s="446"/>
      <c r="S38" s="446"/>
      <c r="T38" s="446"/>
      <c r="U38" s="446"/>
      <c r="V38" s="447"/>
      <c r="W38" s="519">
        <f t="shared" si="8"/>
        <v>0</v>
      </c>
      <c r="X38" s="519"/>
      <c r="Y38" s="519"/>
      <c r="Z38" s="572">
        <f t="shared" si="9"/>
        <v>0</v>
      </c>
      <c r="AA38" s="572"/>
      <c r="AB38" s="573"/>
      <c r="AC38" s="2"/>
      <c r="AD38" s="288"/>
      <c r="AE38" s="288"/>
      <c r="AF38" s="288"/>
      <c r="AG38" s="288"/>
      <c r="AH38" s="288"/>
      <c r="AI38" s="288"/>
      <c r="AJ38" s="288"/>
      <c r="AK38" s="289" t="str">
        <f t="shared" si="6"/>
        <v/>
      </c>
      <c r="AL38" s="22"/>
      <c r="AM38" s="22"/>
      <c r="AN38" s="22"/>
      <c r="AO38" s="22"/>
    </row>
    <row r="39" spans="1:41" ht="27" customHeight="1" thickBot="1" x14ac:dyDescent="1.1000000000000001">
      <c r="A39" s="513" t="s">
        <v>1644</v>
      </c>
      <c r="B39" s="514"/>
      <c r="C39" s="514"/>
      <c r="D39" s="514"/>
      <c r="E39" s="514"/>
      <c r="F39" s="514"/>
      <c r="G39" s="514"/>
      <c r="H39" s="514"/>
      <c r="I39" s="514"/>
      <c r="J39" s="514"/>
      <c r="K39" s="514"/>
      <c r="L39" s="514"/>
      <c r="M39" s="514"/>
      <c r="N39" s="515"/>
      <c r="O39" s="272"/>
      <c r="P39" s="579" t="s">
        <v>148</v>
      </c>
      <c r="Q39" s="446"/>
      <c r="R39" s="446"/>
      <c r="S39" s="446"/>
      <c r="T39" s="446"/>
      <c r="U39" s="446"/>
      <c r="V39" s="447"/>
      <c r="W39" s="519">
        <f t="shared" si="8"/>
        <v>0</v>
      </c>
      <c r="X39" s="519"/>
      <c r="Y39" s="519"/>
      <c r="Z39" s="572">
        <f t="shared" si="9"/>
        <v>0</v>
      </c>
      <c r="AA39" s="572"/>
      <c r="AB39" s="573"/>
      <c r="AC39" s="2"/>
      <c r="AD39" s="288"/>
      <c r="AE39" s="288"/>
      <c r="AF39" s="288"/>
      <c r="AG39" s="288"/>
      <c r="AH39" s="288"/>
      <c r="AI39" s="288"/>
      <c r="AJ39" s="288"/>
      <c r="AK39" s="289" t="str">
        <f t="shared" si="6"/>
        <v/>
      </c>
      <c r="AL39" s="22"/>
      <c r="AM39" s="22"/>
      <c r="AN39" s="22"/>
      <c r="AO39" s="22"/>
    </row>
    <row r="40" spans="1:41" ht="27" customHeight="1" x14ac:dyDescent="1.05">
      <c r="A40" s="522" t="s">
        <v>102</v>
      </c>
      <c r="B40" s="523"/>
      <c r="C40" s="523"/>
      <c r="D40" s="523"/>
      <c r="E40" s="523"/>
      <c r="F40" s="523"/>
      <c r="G40" s="523"/>
      <c r="H40" s="524"/>
      <c r="I40" s="518">
        <f>SUMIFS(Input[F. W. - Stat (R AFR) E&amp;G],Input[Institution Name],$A$1)+SUMIFS(Input[F. W. - Stat (R AFR) Desg],Input[Institution Name],$A$1)+SUMIFS(Input[F. W. - Stat (R AFR) Aux],Input[Institution Name],$A$1)+SUMIFS(Input[F. W. - Stat (R AFR) R Exp],Input[Institution Name],$A$1)+SUMIFS(Input[F. W. - Stat (R AFR) Loan],Input[Institution Name],$A$1)+SUMIFS(Input[F. W. - Stat (R AFR) Annuity],Input[Institution Name],$A$1)+SUMIFS(Input[F. W. - Stat (R AFR) Unexp],Input[Institution Name],$A$1)+SUMIFS(Input[F. W. - Stat (R AFR) R of Ind],Input[Institution Name],$A$1)+SUMIFS(Input[F. W. - Stat (R AFR) Inv in P],Input[Institution Name],$A$1)</f>
        <v>0</v>
      </c>
      <c r="J40" s="518"/>
      <c r="K40" s="518"/>
      <c r="L40" s="529">
        <f>IFERROR(ROUND(I40/$R$1,0),0)</f>
        <v>0</v>
      </c>
      <c r="M40" s="529"/>
      <c r="N40" s="530"/>
      <c r="O40" s="272"/>
      <c r="P40" s="579" t="s">
        <v>116</v>
      </c>
      <c r="Q40" s="446"/>
      <c r="R40" s="446"/>
      <c r="S40" s="446"/>
      <c r="T40" s="446"/>
      <c r="U40" s="446"/>
      <c r="V40" s="447"/>
      <c r="W40" s="519">
        <f t="shared" si="8"/>
        <v>0</v>
      </c>
      <c r="X40" s="519"/>
      <c r="Y40" s="519"/>
      <c r="Z40" s="572">
        <f t="shared" si="9"/>
        <v>0</v>
      </c>
      <c r="AA40" s="572"/>
      <c r="AB40" s="573"/>
      <c r="AC40" s="2"/>
      <c r="AD40" s="288"/>
      <c r="AE40" s="288"/>
      <c r="AF40" s="288"/>
      <c r="AG40" s="288"/>
      <c r="AH40" s="288"/>
      <c r="AI40" s="288"/>
      <c r="AJ40" s="288"/>
      <c r="AK40" s="289" t="str">
        <f t="shared" si="6"/>
        <v/>
      </c>
      <c r="AL40" s="22"/>
      <c r="AM40" s="22"/>
      <c r="AN40" s="22"/>
      <c r="AO40" s="22"/>
    </row>
    <row r="41" spans="1:41" ht="27" customHeight="1" thickBot="1" x14ac:dyDescent="1.1000000000000001">
      <c r="A41" s="525" t="s">
        <v>103</v>
      </c>
      <c r="B41" s="434"/>
      <c r="C41" s="434"/>
      <c r="D41" s="434"/>
      <c r="E41" s="434"/>
      <c r="F41" s="434"/>
      <c r="G41" s="434"/>
      <c r="H41" s="435"/>
      <c r="I41" s="519">
        <f>SUMIFS(Input[F. W. - Inst. (R AFR) E&amp;G],Input[Institution Name],$A$1)+SUMIFS(Input[F. W. - Inst. (R AFR) Desg],Input[Institution Name],$A$1)+SUMIFS(Input[F. W. - Inst. (R AFR) Aux],Input[Institution Name],$A$1)+SUMIFS(Input[F. W. - Inst. (R AFR) R Exp],Input[Institution Name],$A$1)+SUMIFS(Input[F. W. - Inst. (R AFR) Loan],Input[Institution Name],$A$1)+SUMIFS(Input[F. W. - Inst. (R AFR) Annuity],Input[Institution Name],$A$1)+SUMIFS(Input[F. W. - Inst. (R AFR) Unexp],Input[Institution Name],$A$1)+SUMIFS(Input[F. W. - Inst. (R AFR) R of Ind],Input[Institution Name],$A$1)+SUMIFS(Input[F. W. - Inst. (R AFR) Inv in P],Input[Institution Name],$A$1)</f>
        <v>0</v>
      </c>
      <c r="J41" s="519"/>
      <c r="K41" s="519"/>
      <c r="L41" s="432">
        <f t="shared" ref="L41:L44" si="10">IFERROR(ROUND(I41/$R$1,0),0)</f>
        <v>0</v>
      </c>
      <c r="M41" s="432"/>
      <c r="N41" s="536"/>
      <c r="O41" s="272"/>
      <c r="P41" s="574" t="s">
        <v>149</v>
      </c>
      <c r="Q41" s="575"/>
      <c r="R41" s="575"/>
      <c r="S41" s="575"/>
      <c r="T41" s="575"/>
      <c r="U41" s="575"/>
      <c r="V41" s="576"/>
      <c r="W41" s="520">
        <f t="shared" si="8"/>
        <v>0</v>
      </c>
      <c r="X41" s="520"/>
      <c r="Y41" s="520"/>
      <c r="Z41" s="577">
        <f t="shared" si="9"/>
        <v>0</v>
      </c>
      <c r="AA41" s="577"/>
      <c r="AB41" s="578"/>
      <c r="AC41" s="2"/>
      <c r="AD41" s="288"/>
      <c r="AE41" s="288"/>
      <c r="AF41" s="288"/>
      <c r="AG41" s="288"/>
      <c r="AH41" s="288"/>
      <c r="AI41" s="288"/>
      <c r="AJ41" s="288"/>
      <c r="AK41" s="289" t="str">
        <f t="shared" si="6"/>
        <v/>
      </c>
      <c r="AL41" s="22"/>
      <c r="AM41" s="22"/>
      <c r="AN41" s="22"/>
      <c r="AO41" s="22"/>
    </row>
    <row r="42" spans="1:41" ht="27" customHeight="1" x14ac:dyDescent="1.05">
      <c r="A42" s="525" t="s">
        <v>104</v>
      </c>
      <c r="B42" s="434"/>
      <c r="C42" s="434"/>
      <c r="D42" s="434"/>
      <c r="E42" s="434"/>
      <c r="F42" s="434"/>
      <c r="G42" s="434"/>
      <c r="H42" s="435"/>
      <c r="I42" s="519">
        <f>SUMIFS(Input[F. Exp. - Stat (R AFR) E&amp;G],Input[Institution Name],$A$1)+SUMIFS(Input[F. Exp. - Stat (R AFR) Desg],Input[Institution Name],$A$1)+SUMIFS(Input[F. Exp. - Stat (R AFR) Aux],Input[Institution Name],$A$1)+SUMIFS(Input[F. Exp. - Stat (R AFR) R Exp],Input[Institution Name],$A$1)+SUMIFS(Input[F. Exp. - Stat (R AFR) Loan],Input[Institution Name],$A$1)+SUMIFS(Input[F. Exp. - Stat (R AFR) Annuity],Input[Institution Name],$A$1)+SUMIFS(Input[F. Exp. - Stat (R AFR) Unexp],Input[Institution Name],$A$1)+SUMIFS(Input[F. Exp. - Stat (R AFR) R of Ind],Input[Institution Name],$A$1)+SUMIFS(Input[F. Exp. - Stat (R AFR) Inv in P],Input[Institution Name],$A$1)</f>
        <v>0</v>
      </c>
      <c r="J42" s="519"/>
      <c r="K42" s="519"/>
      <c r="L42" s="432">
        <f t="shared" si="10"/>
        <v>0</v>
      </c>
      <c r="M42" s="432"/>
      <c r="N42" s="536"/>
      <c r="O42" s="272"/>
      <c r="P42" s="22"/>
      <c r="Q42" s="22"/>
      <c r="R42" s="22"/>
      <c r="S42" s="22"/>
      <c r="T42" s="22"/>
      <c r="U42" s="22"/>
      <c r="V42" s="22"/>
      <c r="W42" s="22"/>
      <c r="X42" s="22"/>
      <c r="Y42" s="22"/>
      <c r="Z42" s="22"/>
      <c r="AA42" s="22"/>
      <c r="AB42" s="22"/>
      <c r="AC42" s="22"/>
      <c r="AD42" s="288"/>
      <c r="AE42" s="288"/>
      <c r="AF42" s="288"/>
      <c r="AG42" s="288"/>
      <c r="AH42" s="288"/>
      <c r="AI42" s="288"/>
      <c r="AJ42" s="288"/>
      <c r="AK42" s="289" t="str">
        <f t="shared" si="6"/>
        <v/>
      </c>
      <c r="AL42" s="22"/>
      <c r="AM42" s="22"/>
      <c r="AN42" s="22"/>
      <c r="AO42" s="22"/>
    </row>
    <row r="43" spans="1:41" ht="27" customHeight="1" x14ac:dyDescent="1.05">
      <c r="A43" s="525" t="s">
        <v>105</v>
      </c>
      <c r="B43" s="434"/>
      <c r="C43" s="434"/>
      <c r="D43" s="434"/>
      <c r="E43" s="434"/>
      <c r="F43" s="434"/>
      <c r="G43" s="434"/>
      <c r="H43" s="435"/>
      <c r="I43" s="519">
        <f>SUMIFS(Input[F. Exp. - Inst. (R AFR) E&amp;G],Input[Institution Name],$A$1)+SUMIFS(Input[F. Exp. - Inst. (R AFR) Desg],Input[Institution Name],$A$1)+SUMIFS(Input[F. Exp. - Inst. (R AFR) Aux],Input[Institution Name],$A$1)+SUMIFS(Input[F. Exp. - Inst. (R AFR) R Exp],Input[Institution Name],$A$1)+SUMIFS(Input[F. Exp. - Inst. (R AFR) Loan],Input[Institution Name],$A$1)+SUMIFS(Input[F. Exp. - Inst. (R AFR) Annuity],Input[Institution Name],$A$1)+SUMIFS(Input[F. Exp. - Inst. (R AFR) Unexp],Input[Institution Name],$A$1)+SUMIFS(Input[F. Exp. - Inst. (R AFR) R of Ind],Input[Institution Name],$A$1)+SUMIFS(Input[F. Exp. - Inst. (R AFR) Inv in P],Input[Institution Name],$A$1)</f>
        <v>0</v>
      </c>
      <c r="J43" s="519"/>
      <c r="K43" s="519"/>
      <c r="L43" s="432">
        <f t="shared" si="10"/>
        <v>0</v>
      </c>
      <c r="M43" s="432"/>
      <c r="N43" s="536"/>
      <c r="O43" s="272"/>
      <c r="P43" s="22"/>
      <c r="Q43" s="22"/>
      <c r="R43" s="22"/>
      <c r="S43" s="22"/>
      <c r="T43" s="22"/>
      <c r="U43" s="22"/>
      <c r="V43" s="22"/>
      <c r="W43" s="22"/>
      <c r="X43" s="22"/>
      <c r="Y43" s="22"/>
      <c r="Z43" s="22"/>
      <c r="AA43" s="22"/>
      <c r="AB43" s="22"/>
      <c r="AC43" s="22"/>
      <c r="AD43" s="22"/>
      <c r="AE43" s="22"/>
      <c r="AF43" s="22"/>
      <c r="AG43" s="22"/>
      <c r="AH43" s="22"/>
      <c r="AI43" s="22"/>
      <c r="AJ43" s="22"/>
      <c r="AK43" s="22"/>
      <c r="AL43" s="22"/>
      <c r="AM43" s="22"/>
      <c r="AN43" s="22"/>
      <c r="AO43" s="22"/>
    </row>
    <row r="44" spans="1:41" ht="27" customHeight="1" thickBot="1" x14ac:dyDescent="1.1000000000000001">
      <c r="A44" s="525" t="s">
        <v>141</v>
      </c>
      <c r="B44" s="434"/>
      <c r="C44" s="434"/>
      <c r="D44" s="434"/>
      <c r="E44" s="434"/>
      <c r="F44" s="434"/>
      <c r="G44" s="434"/>
      <c r="H44" s="435"/>
      <c r="I44" s="520">
        <f>SUMIFS(Input[Fee Schlr E&amp;G],Input[Institution Name],$A$1)+SUMIFS(Input[Fee Schlr Desg],Input[Institution Name],$A$1)+SUMIFS(Input[Fee Schlr Aux],Input[Institution Name],$A$1)+SUMIFS(Input[Fee Schlr R Exp],Input[Institution Name],$A$1)+SUMIFS(Input[Fee Schlr Loan],Input[Institution Name],$A$1)+SUMIFS(Input[Fee Schlr Annuity],Input[Institution Name],$A$1)+SUMIFS(Input[Fee Schlr Unexp],Input[Institution Name],$A$1)+SUMIFS(Input[Fee Schlr R of Ind],Input[Institution Name],$A$1)+SUMIFS(Input[Fee Schlr Inv in P],Input[Institution Name],$A$1)</f>
        <v>0</v>
      </c>
      <c r="J44" s="520"/>
      <c r="K44" s="520"/>
      <c r="L44" s="534">
        <f t="shared" si="10"/>
        <v>0</v>
      </c>
      <c r="M44" s="534"/>
      <c r="N44" s="535"/>
      <c r="O44" s="272"/>
      <c r="P44" s="22"/>
      <c r="Q44" s="22"/>
      <c r="R44" s="22"/>
      <c r="S44" s="22"/>
      <c r="T44" s="22"/>
      <c r="U44" s="22"/>
      <c r="V44" s="22"/>
      <c r="W44" s="22"/>
      <c r="X44" s="22"/>
      <c r="Y44" s="22"/>
      <c r="Z44" s="22"/>
      <c r="AA44" s="22"/>
      <c r="AB44" s="22"/>
      <c r="AC44" s="22"/>
      <c r="AD44" s="22"/>
      <c r="AE44" s="22"/>
      <c r="AF44" s="22"/>
      <c r="AG44" s="22"/>
      <c r="AH44" s="22"/>
      <c r="AI44" s="22"/>
      <c r="AJ44" s="22"/>
      <c r="AK44" s="22"/>
      <c r="AL44" s="22"/>
      <c r="AM44" s="22"/>
      <c r="AN44" s="22"/>
      <c r="AO44" s="22"/>
    </row>
    <row r="45" spans="1:41" ht="27" customHeight="1" thickBot="1" x14ac:dyDescent="1.1000000000000001">
      <c r="A45" s="509" t="s">
        <v>109</v>
      </c>
      <c r="B45" s="510"/>
      <c r="C45" s="510"/>
      <c r="D45" s="510"/>
      <c r="E45" s="510"/>
      <c r="F45" s="510"/>
      <c r="G45" s="510"/>
      <c r="H45" s="510"/>
      <c r="I45" s="516">
        <f>SUM(I38,I40:I44)</f>
        <v>0</v>
      </c>
      <c r="J45" s="516"/>
      <c r="K45" s="516"/>
      <c r="L45" s="516">
        <f t="shared" ref="L45" si="11">IFERROR(I45/$R$1,0)</f>
        <v>0</v>
      </c>
      <c r="M45" s="516"/>
      <c r="N45" s="517"/>
      <c r="O45" s="272"/>
      <c r="P45" s="290"/>
      <c r="Q45" s="290"/>
      <c r="R45" s="290"/>
      <c r="S45" s="290"/>
      <c r="T45" s="290"/>
      <c r="U45" s="290"/>
      <c r="V45" s="290"/>
      <c r="W45" s="290"/>
      <c r="X45" s="290"/>
      <c r="Y45" s="290"/>
      <c r="Z45" s="290"/>
      <c r="AA45" s="290"/>
      <c r="AB45" s="290"/>
      <c r="AC45" s="291"/>
      <c r="AD45" s="22"/>
      <c r="AE45" s="22"/>
      <c r="AF45" s="22"/>
      <c r="AG45" s="22"/>
      <c r="AH45" s="22"/>
      <c r="AI45" s="22"/>
      <c r="AJ45" s="22"/>
      <c r="AK45" s="22"/>
      <c r="AL45" s="22"/>
      <c r="AM45" s="22"/>
      <c r="AN45" s="22"/>
      <c r="AO45" s="22"/>
    </row>
    <row r="46" spans="1:41" ht="27" customHeight="1" thickBot="1" x14ac:dyDescent="1.1000000000000001">
      <c r="A46" s="274"/>
      <c r="B46" s="275"/>
      <c r="C46" s="275"/>
      <c r="D46" s="275"/>
      <c r="E46" s="275"/>
      <c r="F46" s="275"/>
      <c r="G46" s="275"/>
      <c r="H46" s="275"/>
      <c r="I46" s="275"/>
      <c r="J46" s="275"/>
      <c r="K46" s="275"/>
      <c r="L46" s="276"/>
      <c r="M46" s="22"/>
      <c r="N46" s="22"/>
      <c r="O46" s="27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row>
    <row r="47" spans="1:41" ht="27" customHeight="1" thickBot="1" x14ac:dyDescent="1.1000000000000001">
      <c r="A47" s="509" t="s">
        <v>110</v>
      </c>
      <c r="B47" s="510"/>
      <c r="C47" s="510"/>
      <c r="D47" s="510"/>
      <c r="E47" s="510"/>
      <c r="F47" s="510"/>
      <c r="G47" s="510"/>
      <c r="H47" s="510"/>
      <c r="I47" s="516">
        <f>I30+I45</f>
        <v>0</v>
      </c>
      <c r="J47" s="516"/>
      <c r="K47" s="516"/>
      <c r="L47" s="516">
        <f>IFERROR(ROUND(I47/$R$1,0),0)</f>
        <v>0</v>
      </c>
      <c r="M47" s="516"/>
      <c r="N47" s="517"/>
      <c r="O47" s="272"/>
      <c r="P47" s="22"/>
      <c r="Q47" s="22"/>
      <c r="R47" s="22"/>
      <c r="S47" s="22"/>
      <c r="T47" s="22"/>
      <c r="U47" s="22"/>
      <c r="V47" s="22"/>
      <c r="W47" s="22"/>
      <c r="X47" s="22"/>
      <c r="Y47" s="22"/>
      <c r="Z47" s="22"/>
      <c r="AA47" s="22"/>
      <c r="AB47" s="22"/>
      <c r="AC47" s="22"/>
      <c r="AD47" s="22"/>
      <c r="AE47" s="22"/>
      <c r="AF47" s="22"/>
      <c r="AG47" s="22"/>
      <c r="AH47" s="22"/>
      <c r="AI47" s="22"/>
      <c r="AJ47" s="22"/>
      <c r="AK47" s="22"/>
      <c r="AL47" s="22"/>
      <c r="AM47" s="22"/>
      <c r="AN47" s="22"/>
      <c r="AO47" s="22"/>
    </row>
    <row r="48" spans="1:41" ht="27" customHeight="1" thickBot="1" x14ac:dyDescent="1.1000000000000001">
      <c r="A48" s="251"/>
      <c r="B48" s="251"/>
      <c r="C48" s="251"/>
      <c r="D48" s="251"/>
      <c r="E48" s="251"/>
      <c r="F48" s="251"/>
      <c r="G48" s="251"/>
      <c r="H48" s="251"/>
      <c r="I48" s="252"/>
      <c r="J48" s="252"/>
      <c r="K48" s="252"/>
      <c r="L48" s="252"/>
      <c r="M48" s="22"/>
      <c r="N48" s="22"/>
      <c r="O48" s="27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row>
    <row r="49" spans="1:41" ht="27" customHeight="1" thickBot="1" x14ac:dyDescent="1.1000000000000001">
      <c r="A49" s="543" t="s">
        <v>111</v>
      </c>
      <c r="B49" s="544"/>
      <c r="C49" s="544"/>
      <c r="D49" s="544"/>
      <c r="E49" s="544"/>
      <c r="F49" s="544"/>
      <c r="G49" s="544"/>
      <c r="H49" s="544"/>
      <c r="I49" s="545" t="s">
        <v>135</v>
      </c>
      <c r="J49" s="546"/>
      <c r="K49" s="546"/>
      <c r="L49" s="545" t="s">
        <v>136</v>
      </c>
      <c r="M49" s="546"/>
      <c r="N49" s="547"/>
      <c r="O49" s="272"/>
      <c r="P49" s="22"/>
      <c r="Q49" s="22"/>
      <c r="R49" s="22"/>
      <c r="S49" s="22"/>
      <c r="T49" s="22"/>
      <c r="U49" s="22"/>
      <c r="V49" s="22"/>
      <c r="W49" s="22"/>
      <c r="X49" s="22"/>
      <c r="Y49" s="22"/>
      <c r="Z49" s="22"/>
      <c r="AA49" s="22"/>
      <c r="AB49" s="22"/>
      <c r="AC49" s="22"/>
      <c r="AD49" s="22"/>
      <c r="AE49" s="22"/>
      <c r="AF49" s="22"/>
      <c r="AG49" s="22"/>
      <c r="AH49" s="22"/>
      <c r="AI49" s="22"/>
      <c r="AJ49" s="22"/>
      <c r="AK49" s="22"/>
      <c r="AL49" s="22"/>
      <c r="AM49" s="22"/>
      <c r="AN49" s="22"/>
      <c r="AO49" s="22"/>
    </row>
    <row r="50" spans="1:41" ht="27" customHeight="1" thickBot="1" x14ac:dyDescent="1.1000000000000001">
      <c r="A50" s="537" t="s">
        <v>1645</v>
      </c>
      <c r="B50" s="538"/>
      <c r="C50" s="538"/>
      <c r="D50" s="538"/>
      <c r="E50" s="538"/>
      <c r="F50" s="538"/>
      <c r="G50" s="538"/>
      <c r="H50" s="539"/>
      <c r="I50" s="540">
        <f>SUMIFS(Input[Fed G&amp;C E&amp;G],Input[Institution Name],$A$1)+SUMIFS(Input[Fed G&amp;C Desg],Input[Institution Name],$A$1)+SUMIFS(Input[Fed G&amp;C Aux],Input[Institution Name],$A$1)+SUMIFS(Input[Fed G&amp;C R Exp],Input[Institution Name],$A$1)+SUMIFS(Input[Fed G&amp;C Loan],Input[Institution Name],$A$1)+SUMIFS(Input[Fed G&amp;C Annuity],Input[Institution Name],$A$1)+SUMIFS(Input[Fed G&amp;C Unexp],Input[Institution Name],$A$1)+SUMIFS(Input[Fed G&amp;C R of Ind],Input[Institution Name],$A$1)+SUMIFS(Input[Fed G&amp;C Inv in P],Input[Institution Name],$A$1)</f>
        <v>0</v>
      </c>
      <c r="J50" s="540"/>
      <c r="K50" s="540"/>
      <c r="L50" s="541">
        <f>IFERROR(ROUND(I50/$R$1,0),0)</f>
        <v>0</v>
      </c>
      <c r="M50" s="541"/>
      <c r="N50" s="542"/>
      <c r="O50" s="272"/>
      <c r="P50" s="22"/>
      <c r="Q50" s="22"/>
      <c r="R50" s="22"/>
      <c r="S50" s="22"/>
      <c r="T50" s="22"/>
      <c r="U50" s="22"/>
      <c r="V50" s="22"/>
      <c r="W50" s="22"/>
      <c r="X50" s="22"/>
      <c r="Y50" s="22"/>
      <c r="Z50" s="22"/>
      <c r="AA50" s="22"/>
      <c r="AB50" s="22"/>
      <c r="AC50" s="22"/>
      <c r="AD50" s="22"/>
      <c r="AE50" s="22"/>
      <c r="AF50" s="22"/>
      <c r="AG50" s="22"/>
      <c r="AH50" s="22"/>
      <c r="AI50" s="22"/>
      <c r="AJ50" s="22"/>
      <c r="AK50" s="22"/>
      <c r="AL50" s="22"/>
      <c r="AM50" s="22"/>
      <c r="AN50" s="22"/>
      <c r="AO50" s="22"/>
    </row>
    <row r="51" spans="1:41" ht="27" customHeight="1" thickBot="1" x14ac:dyDescent="1.1000000000000001">
      <c r="A51" s="251"/>
      <c r="B51" s="251"/>
      <c r="C51" s="251"/>
      <c r="D51" s="251"/>
      <c r="E51" s="251"/>
      <c r="F51" s="251"/>
      <c r="G51" s="251"/>
      <c r="H51" s="251"/>
      <c r="I51" s="252"/>
      <c r="J51" s="252"/>
      <c r="K51" s="252"/>
      <c r="L51" s="252"/>
      <c r="M51" s="22"/>
      <c r="N51" s="22"/>
      <c r="O51" s="272"/>
      <c r="P51" s="22"/>
      <c r="Q51" s="22"/>
      <c r="R51" s="22"/>
      <c r="S51" s="22"/>
      <c r="T51" s="22"/>
      <c r="U51" s="22"/>
      <c r="V51" s="22"/>
      <c r="W51" s="22"/>
      <c r="X51" s="22"/>
      <c r="Y51" s="22"/>
      <c r="Z51" s="22"/>
      <c r="AA51" s="22"/>
      <c r="AB51" s="22"/>
      <c r="AC51" s="22"/>
      <c r="AD51" s="22"/>
      <c r="AE51" s="22"/>
      <c r="AF51" s="22"/>
      <c r="AG51" s="22"/>
      <c r="AH51" s="22"/>
      <c r="AI51" s="22"/>
      <c r="AJ51" s="22"/>
      <c r="AK51" s="22"/>
      <c r="AL51" s="22"/>
      <c r="AM51" s="22"/>
      <c r="AN51" s="22"/>
      <c r="AO51" s="22"/>
    </row>
    <row r="52" spans="1:41" ht="27" customHeight="1" thickBot="1" x14ac:dyDescent="1.1000000000000001">
      <c r="A52" s="543" t="s">
        <v>112</v>
      </c>
      <c r="B52" s="544"/>
      <c r="C52" s="544"/>
      <c r="D52" s="544"/>
      <c r="E52" s="544"/>
      <c r="F52" s="544"/>
      <c r="G52" s="544"/>
      <c r="H52" s="544"/>
      <c r="I52" s="545" t="s">
        <v>135</v>
      </c>
      <c r="J52" s="546"/>
      <c r="K52" s="546"/>
      <c r="L52" s="545" t="s">
        <v>136</v>
      </c>
      <c r="M52" s="546"/>
      <c r="N52" s="547"/>
      <c r="O52" s="272"/>
      <c r="P52" s="22"/>
      <c r="Q52" s="22"/>
      <c r="R52" s="22"/>
      <c r="S52" s="22"/>
      <c r="T52" s="22"/>
      <c r="U52" s="22"/>
      <c r="V52" s="22"/>
      <c r="W52" s="22"/>
      <c r="X52" s="22"/>
      <c r="Y52" s="22"/>
      <c r="Z52" s="22"/>
      <c r="AA52" s="22"/>
      <c r="AB52" s="22"/>
      <c r="AC52" s="22"/>
      <c r="AD52" s="22"/>
      <c r="AE52" s="22"/>
      <c r="AF52" s="22"/>
      <c r="AG52" s="22"/>
      <c r="AH52" s="22"/>
      <c r="AI52" s="22"/>
      <c r="AJ52" s="22"/>
      <c r="AK52" s="22"/>
      <c r="AL52" s="22"/>
      <c r="AM52" s="22"/>
      <c r="AN52" s="22"/>
      <c r="AO52" s="22"/>
    </row>
    <row r="53" spans="1:41" ht="27" customHeight="1" thickBot="1" x14ac:dyDescent="1.1000000000000001">
      <c r="A53" s="537" t="s">
        <v>836</v>
      </c>
      <c r="B53" s="538"/>
      <c r="C53" s="538"/>
      <c r="D53" s="538"/>
      <c r="E53" s="538"/>
      <c r="F53" s="538"/>
      <c r="G53" s="538"/>
      <c r="H53" s="539"/>
      <c r="I53" s="590">
        <f>SUMIFS(Input[Prof Fees E&amp;G], Input[Institution Name],$A$1)
+SUMIFS(Input[Prof Fees Desg], Input[Institution Name],$A$1)
+SUMIFS(Input[Prof Fees Aux], Input[Institution Name],$A$1)
+SUMIFS(Input[Prof Fees R Exp], Input[Institution Name],$A$1)
+SUMIFS(Input[Prof Fees Loan], Input[Institution Name],$A$1)
+SUMIFS(Input[Prof Fees Annuity], Input[Institution Name],$A$1)
+SUMIFS(Input[Prof Fees Unexp], Input[Institution Name],$A$1)
+SUMIFS(Input[Prof Fees R of Ind], Input[Institution Name],$A$1)
+SUMIFS(Input[Prof Fees Inv in P], Input[Institution Name],$A$1)</f>
        <v>0</v>
      </c>
      <c r="J53" s="590"/>
      <c r="K53" s="590"/>
      <c r="L53" s="541">
        <f>IFERROR(ROUND(I53/$R$1,0),0)</f>
        <v>0</v>
      </c>
      <c r="M53" s="541"/>
      <c r="N53" s="542"/>
      <c r="O53" s="272"/>
      <c r="P53" s="22"/>
      <c r="Q53" s="22"/>
      <c r="R53" s="22"/>
      <c r="S53" s="22"/>
      <c r="T53" s="22"/>
      <c r="U53" s="22"/>
      <c r="V53" s="22"/>
      <c r="W53" s="22"/>
      <c r="X53" s="22"/>
      <c r="Y53" s="22"/>
      <c r="Z53" s="22"/>
      <c r="AA53" s="22"/>
      <c r="AB53" s="22"/>
      <c r="AC53" s="22"/>
      <c r="AD53" s="22"/>
      <c r="AE53" s="22"/>
      <c r="AF53" s="22"/>
      <c r="AG53" s="22"/>
      <c r="AH53" s="22"/>
      <c r="AI53" s="22"/>
      <c r="AJ53" s="22"/>
      <c r="AK53" s="22"/>
      <c r="AL53" s="22"/>
      <c r="AM53" s="22"/>
      <c r="AN53" s="22"/>
      <c r="AO53" s="22"/>
    </row>
    <row r="54" spans="1:41" ht="27" customHeight="1" thickBot="1" x14ac:dyDescent="1.1000000000000001">
      <c r="A54" s="251"/>
      <c r="B54" s="251"/>
      <c r="C54" s="251"/>
      <c r="D54" s="251"/>
      <c r="E54" s="251"/>
      <c r="F54" s="251"/>
      <c r="G54" s="251"/>
      <c r="H54" s="251"/>
      <c r="I54" s="252"/>
      <c r="J54" s="252"/>
      <c r="K54" s="252"/>
      <c r="L54" s="252"/>
      <c r="M54" s="22"/>
      <c r="N54" s="22"/>
      <c r="O54" s="272"/>
      <c r="P54" s="22"/>
      <c r="Q54" s="22"/>
      <c r="R54" s="22"/>
      <c r="S54" s="22"/>
      <c r="T54" s="22"/>
      <c r="U54" s="22"/>
      <c r="V54" s="22"/>
      <c r="W54" s="22"/>
      <c r="X54" s="22"/>
      <c r="Y54" s="22"/>
      <c r="Z54" s="22"/>
      <c r="AA54" s="22"/>
      <c r="AB54" s="22"/>
      <c r="AC54" s="22"/>
      <c r="AD54" s="22"/>
      <c r="AE54" s="22"/>
      <c r="AF54" s="22"/>
      <c r="AG54" s="22"/>
      <c r="AH54" s="22"/>
      <c r="AI54" s="22"/>
      <c r="AJ54" s="22"/>
      <c r="AK54" s="22"/>
      <c r="AL54" s="22"/>
      <c r="AM54" s="22"/>
      <c r="AN54" s="22"/>
      <c r="AO54" s="22"/>
    </row>
    <row r="55" spans="1:41" ht="27" customHeight="1" thickBot="1" x14ac:dyDescent="1.1000000000000001">
      <c r="A55" s="543" t="s">
        <v>113</v>
      </c>
      <c r="B55" s="544"/>
      <c r="C55" s="544"/>
      <c r="D55" s="544"/>
      <c r="E55" s="544"/>
      <c r="F55" s="544"/>
      <c r="G55" s="544"/>
      <c r="H55" s="544"/>
      <c r="I55" s="545" t="s">
        <v>135</v>
      </c>
      <c r="J55" s="546"/>
      <c r="K55" s="546"/>
      <c r="L55" s="545" t="s">
        <v>136</v>
      </c>
      <c r="M55" s="546"/>
      <c r="N55" s="547"/>
      <c r="O55" s="272"/>
      <c r="P55" s="22"/>
      <c r="Q55" s="22"/>
      <c r="R55" s="22"/>
      <c r="S55" s="22"/>
      <c r="T55" s="22"/>
      <c r="U55" s="22"/>
      <c r="V55" s="22"/>
      <c r="W55" s="22"/>
      <c r="X55" s="22"/>
      <c r="Y55" s="22"/>
      <c r="Z55" s="22"/>
      <c r="AA55" s="22"/>
      <c r="AB55" s="22"/>
      <c r="AC55" s="22"/>
      <c r="AD55" s="22"/>
      <c r="AE55" s="22"/>
      <c r="AF55" s="22"/>
      <c r="AG55" s="22"/>
      <c r="AH55" s="22"/>
      <c r="AI55" s="22"/>
      <c r="AJ55" s="22"/>
      <c r="AK55" s="22"/>
      <c r="AL55" s="22"/>
      <c r="AM55" s="22"/>
      <c r="AN55" s="22"/>
      <c r="AO55" s="22"/>
    </row>
    <row r="56" spans="1:41" ht="27" customHeight="1" thickBot="1" x14ac:dyDescent="1.1000000000000001">
      <c r="A56" s="537" t="s">
        <v>836</v>
      </c>
      <c r="B56" s="538"/>
      <c r="C56" s="538"/>
      <c r="D56" s="538"/>
      <c r="E56" s="538"/>
      <c r="F56" s="538"/>
      <c r="G56" s="538"/>
      <c r="H56" s="539"/>
      <c r="I56" s="540">
        <f>SUMIFS(Input[H&amp;C (OS) E&amp;G], Input[Institution Name],$A$1)
+SUMIFS(Input[H&amp;C (OS) Desg], Input[Institution Name],$A$1)
+SUMIFS(Input[H&amp;C (OS) Aux], Input[Institution Name],$A$1)
+SUMIFS(Input[H&amp;C (OS) R Exp], Input[Institution Name],$A$1)
+SUMIFS(Input[H&amp;C (OS) Loan], Input[Institution Name],$A$1)
+SUMIFS(Input[H&amp;C (OS) Annuity], Input[Institution Name],$A$1)
+SUMIFS(Input[H&amp;C (OS) Unexp], Input[Institution Name],$A$1)
+SUMIFS(Input[H&amp;C (OS) R of Ind], Input[Institution Name],$A$1)
+SUMIFS(Input[H&amp;C (OS) Inv in P], Input[Institution Name],$A$1)</f>
        <v>0</v>
      </c>
      <c r="J56" s="540"/>
      <c r="K56" s="540"/>
      <c r="L56" s="541">
        <f>IFERROR(ROUND(I56/$R$1,0),0)</f>
        <v>0</v>
      </c>
      <c r="M56" s="541"/>
      <c r="N56" s="542"/>
      <c r="O56" s="272"/>
      <c r="P56" s="22"/>
      <c r="Q56" s="22"/>
      <c r="R56" s="22"/>
      <c r="S56" s="22"/>
      <c r="T56" s="22"/>
      <c r="U56" s="22"/>
      <c r="V56" s="22"/>
      <c r="W56" s="22"/>
      <c r="X56" s="22"/>
      <c r="Y56" s="22"/>
      <c r="Z56" s="22"/>
      <c r="AA56" s="22"/>
      <c r="AB56" s="22"/>
      <c r="AC56" s="22"/>
      <c r="AD56" s="22"/>
      <c r="AE56" s="22"/>
      <c r="AF56" s="22"/>
      <c r="AG56" s="22"/>
      <c r="AH56" s="22"/>
      <c r="AI56" s="22"/>
      <c r="AJ56" s="22"/>
      <c r="AK56" s="22"/>
      <c r="AL56" s="22"/>
      <c r="AM56" s="22"/>
      <c r="AN56" s="22"/>
      <c r="AO56" s="22"/>
    </row>
    <row r="57" spans="1:41" ht="27" customHeight="1" thickBot="1" x14ac:dyDescent="1.1000000000000001">
      <c r="A57" s="274"/>
      <c r="B57" s="275"/>
      <c r="C57" s="275"/>
      <c r="D57" s="275"/>
      <c r="E57" s="275"/>
      <c r="F57" s="275"/>
      <c r="G57" s="275"/>
      <c r="H57" s="275"/>
      <c r="I57" s="275"/>
      <c r="J57" s="275"/>
      <c r="K57" s="275"/>
      <c r="L57" s="276"/>
      <c r="M57" s="22"/>
      <c r="N57" s="22"/>
      <c r="O57" s="272"/>
      <c r="P57" s="22"/>
      <c r="Q57" s="22"/>
      <c r="R57" s="22"/>
      <c r="S57" s="22"/>
      <c r="T57" s="22"/>
      <c r="U57" s="22"/>
      <c r="V57" s="22"/>
      <c r="W57" s="22"/>
      <c r="X57" s="22"/>
      <c r="Y57" s="22"/>
      <c r="Z57" s="22"/>
      <c r="AA57" s="22"/>
      <c r="AB57" s="22"/>
      <c r="AC57" s="22"/>
      <c r="AD57" s="22"/>
      <c r="AE57" s="22"/>
      <c r="AF57" s="22"/>
      <c r="AG57" s="22"/>
      <c r="AH57" s="22"/>
      <c r="AI57" s="22"/>
      <c r="AJ57" s="22"/>
      <c r="AK57" s="22"/>
      <c r="AL57" s="22"/>
      <c r="AM57" s="22"/>
      <c r="AN57" s="22"/>
      <c r="AO57" s="22"/>
    </row>
    <row r="58" spans="1:41" ht="27" customHeight="1" thickBot="1" x14ac:dyDescent="1.1000000000000001">
      <c r="A58" s="543" t="s">
        <v>114</v>
      </c>
      <c r="B58" s="544"/>
      <c r="C58" s="544"/>
      <c r="D58" s="544"/>
      <c r="E58" s="544"/>
      <c r="F58" s="544"/>
      <c r="G58" s="544"/>
      <c r="H58" s="589"/>
      <c r="I58" s="545" t="s">
        <v>135</v>
      </c>
      <c r="J58" s="546"/>
      <c r="K58" s="546"/>
      <c r="L58" s="545" t="s">
        <v>136</v>
      </c>
      <c r="M58" s="546"/>
      <c r="N58" s="547"/>
      <c r="O58" s="272"/>
      <c r="P58" s="22"/>
      <c r="Q58" s="22"/>
      <c r="R58" s="22"/>
      <c r="S58" s="22"/>
      <c r="T58" s="22"/>
      <c r="U58" s="22"/>
      <c r="V58" s="22"/>
      <c r="W58" s="22"/>
      <c r="X58" s="22"/>
      <c r="Y58" s="22"/>
      <c r="Z58" s="22"/>
      <c r="AA58" s="22"/>
      <c r="AB58" s="22"/>
      <c r="AC58" s="22"/>
      <c r="AD58" s="22"/>
      <c r="AE58" s="22"/>
      <c r="AF58" s="22"/>
      <c r="AG58" s="22"/>
      <c r="AH58" s="22"/>
      <c r="AI58" s="22"/>
      <c r="AJ58" s="22"/>
      <c r="AK58" s="22"/>
      <c r="AL58" s="22"/>
      <c r="AM58" s="22"/>
      <c r="AN58" s="22"/>
      <c r="AO58" s="22"/>
    </row>
    <row r="59" spans="1:41" ht="27" customHeight="1" x14ac:dyDescent="1.05">
      <c r="A59" s="522" t="s">
        <v>151</v>
      </c>
      <c r="B59" s="523"/>
      <c r="C59" s="523"/>
      <c r="D59" s="523"/>
      <c r="E59" s="523"/>
      <c r="F59" s="523"/>
      <c r="G59" s="523"/>
      <c r="H59" s="524"/>
      <c r="I59" s="518">
        <f>SUMIFS(Input[End &amp; Int Inc E&amp;G],Input[Institution Name],$A$1)+SUMIFS(Input[End &amp; Int Inc Desg],Input[Institution Name],$A$1)+SUMIFS(Input[End &amp; Int Inc Aux],Input[Institution Name],$A$1)+SUMIFS(Input[End &amp; Int Inc R Exp],Input[Institution Name],$A$1)+SUMIFS(Input[End &amp; Int Inc Loan],Input[Institution Name],$A$1)+SUMIFS(Input[End &amp; Int Inc Annuity],Input[Institution Name],$A$1)+SUMIFS(Input[End &amp; Int Inc Unexp],Input[Institution Name],$A$1)+SUMIFS(Input[End &amp; Int Inc R of Ind],Input[Institution Name],$A$1)+SUMIFS(Input[End &amp; Int Inc Inv in P],Input[Institution Name],$A$1)</f>
        <v>0</v>
      </c>
      <c r="J59" s="518"/>
      <c r="K59" s="518"/>
      <c r="L59" s="529">
        <f>IFERROR(ROUND(I59/$R$1,0),0)</f>
        <v>0</v>
      </c>
      <c r="M59" s="529"/>
      <c r="N59" s="530"/>
      <c r="O59" s="272"/>
      <c r="P59" s="22"/>
      <c r="Q59" s="22"/>
      <c r="R59" s="22"/>
      <c r="S59" s="22"/>
      <c r="T59" s="22"/>
      <c r="U59" s="22"/>
      <c r="V59" s="22"/>
      <c r="W59" s="22"/>
      <c r="X59" s="22"/>
      <c r="Y59" s="22"/>
      <c r="Z59" s="22"/>
      <c r="AA59" s="22"/>
      <c r="AB59" s="22"/>
      <c r="AC59" s="22"/>
      <c r="AD59" s="22"/>
      <c r="AE59" s="22"/>
      <c r="AF59" s="22"/>
      <c r="AG59" s="22"/>
      <c r="AH59" s="22"/>
      <c r="AI59" s="22"/>
      <c r="AJ59" s="22"/>
      <c r="AK59" s="22"/>
      <c r="AL59" s="22"/>
      <c r="AM59" s="22"/>
      <c r="AN59" s="22"/>
      <c r="AO59" s="22"/>
    </row>
    <row r="60" spans="1:41" ht="27" customHeight="1" x14ac:dyDescent="1.05">
      <c r="A60" s="525" t="s">
        <v>146</v>
      </c>
      <c r="B60" s="434"/>
      <c r="C60" s="434"/>
      <c r="D60" s="434"/>
      <c r="E60" s="434"/>
      <c r="F60" s="434"/>
      <c r="G60" s="434"/>
      <c r="H60" s="435"/>
      <c r="I60" s="519">
        <f>SUMIFS(Input[Loc Gov G E&amp;G],Input[Institution Name],$A$1)+SUMIFS(Input[Loc Gov G Desg],Input[Institution Name],$A$1)+SUMIFS(Input[Loc Gov G Aux],Input[Institution Name],$A$1)+SUMIFS(Input[Loc Gov G R Exp],Input[Institution Name],$A$1)+SUMIFS(Input[Loc Gov G Loan],Input[Institution Name],$A$1)+SUMIFS(Input[Loc Gov G Annuity],Input[Institution Name],$A$1)+SUMIFS(Input[Loc Gov G Unexp],Input[Institution Name],$A$1)+SUMIFS(Input[Loc Gov G R of Ind],Input[Institution Name],$A$1)+SUMIFS(Input[Loc Gov G Inv in P],Input[Institution Name],$A$1)</f>
        <v>0</v>
      </c>
      <c r="J60" s="519"/>
      <c r="K60" s="519"/>
      <c r="L60" s="432">
        <f t="shared" ref="L60:L62" si="12">IFERROR(ROUND(I60/$R$1,0),0)</f>
        <v>0</v>
      </c>
      <c r="M60" s="432"/>
      <c r="N60" s="536"/>
      <c r="O60" s="272"/>
      <c r="P60" s="22"/>
      <c r="Q60" s="22"/>
      <c r="R60" s="22"/>
      <c r="S60" s="22"/>
      <c r="T60" s="22"/>
      <c r="U60" s="22"/>
      <c r="V60" s="22"/>
      <c r="W60" s="22"/>
      <c r="X60" s="22"/>
      <c r="Y60" s="22"/>
      <c r="Z60" s="22"/>
      <c r="AA60" s="22"/>
      <c r="AB60" s="22"/>
      <c r="AC60" s="22"/>
      <c r="AD60" s="22"/>
      <c r="AE60" s="22"/>
      <c r="AF60" s="22"/>
      <c r="AG60" s="22"/>
      <c r="AH60" s="22"/>
      <c r="AI60" s="22"/>
      <c r="AJ60" s="22"/>
      <c r="AK60" s="22"/>
      <c r="AL60" s="22"/>
      <c r="AM60" s="22"/>
      <c r="AN60" s="22"/>
      <c r="AO60" s="22"/>
    </row>
    <row r="61" spans="1:41" ht="27" customHeight="1" x14ac:dyDescent="1.05">
      <c r="A61" s="525" t="s">
        <v>851</v>
      </c>
      <c r="B61" s="434"/>
      <c r="C61" s="434"/>
      <c r="D61" s="434"/>
      <c r="E61" s="434"/>
      <c r="F61" s="434"/>
      <c r="G61" s="434"/>
      <c r="H61" s="435"/>
      <c r="I61" s="519">
        <f>SUMIFS(Input[Pvt G&amp;G E&amp;G],Input[Institution Name],$A$1)+SUMIFS(Input[Pvt G&amp;G Desg],Input[Institution Name],$A$1)+SUMIFS(Input[Pvt G&amp;G Aux],Input[Institution Name],$A$1)+SUMIFS(Input[Pvt G&amp;G R Exp],Input[Institution Name],$A$1)+SUMIFS(Input[Pvt G&amp;G Loan],Input[Institution Name],$A$1)+SUMIFS(Input[Pvt G&amp;G Annuity],Input[Institution Name],$A$1)+SUMIFS(Input[Pvt G&amp;G Unexp],Input[Institution Name],$A$1)+SUMIFS(Input[Pvt G&amp;G R of Ind],Input[Institution Name],$A$1)+SUMIFS(Input[Pvt G&amp;G Inv in P],Input[Institution Name],$A$1)</f>
        <v>0</v>
      </c>
      <c r="J61" s="519"/>
      <c r="K61" s="519"/>
      <c r="L61" s="432">
        <f t="shared" si="12"/>
        <v>0</v>
      </c>
      <c r="M61" s="432"/>
      <c r="N61" s="536"/>
      <c r="O61" s="272"/>
      <c r="P61" s="22"/>
      <c r="Q61" s="22"/>
      <c r="R61" s="22"/>
      <c r="S61" s="22"/>
      <c r="T61" s="22"/>
      <c r="U61" s="22"/>
      <c r="V61" s="22"/>
      <c r="W61" s="22"/>
      <c r="X61" s="22"/>
      <c r="Y61" s="22"/>
      <c r="Z61" s="22"/>
      <c r="AA61" s="22"/>
      <c r="AB61" s="22"/>
      <c r="AC61" s="22"/>
      <c r="AD61" s="22"/>
      <c r="AE61" s="22"/>
      <c r="AF61" s="22"/>
      <c r="AG61" s="22"/>
      <c r="AH61" s="22"/>
      <c r="AI61" s="22"/>
      <c r="AJ61" s="22"/>
      <c r="AK61" s="22"/>
      <c r="AL61" s="22"/>
      <c r="AM61" s="22"/>
      <c r="AN61" s="22"/>
      <c r="AO61" s="22"/>
    </row>
    <row r="62" spans="1:41" ht="27" customHeight="1" x14ac:dyDescent="1.05">
      <c r="A62" s="525" t="s">
        <v>115</v>
      </c>
      <c r="B62" s="434"/>
      <c r="C62" s="434"/>
      <c r="D62" s="434"/>
      <c r="E62" s="434"/>
      <c r="F62" s="434"/>
      <c r="G62" s="434"/>
      <c r="H62" s="435"/>
      <c r="I62" s="519">
        <f>SUMIFS(Input[S&amp;S E&amp;G],Input[Institution Name],$A$1)+SUMIFS(Input[S&amp;S Desg],Input[Institution Name],$A$1)+SUMIFS(Input[S&amp;S Aux],Input[Institution Name],$A$1)+SUMIFS(Input[S&amp;S R Exp],Input[Institution Name],$A$1)+SUMIFS(Input[S&amp;S Loan],Input[Institution Name],$A$1)+SUMIFS(Input[S&amp;S Annuity],Input[Institution Name],$A$1)+SUMIFS(Input[S&amp;S Unexp],Input[Institution Name],$A$1)+SUMIFS(Input[S&amp;S R of Ind],Input[Institution Name],$A$1)+SUMIFS(Input[S&amp;S Inv in P],Input[Institution Name],$A$1)</f>
        <v>0</v>
      </c>
      <c r="J62" s="519"/>
      <c r="K62" s="519"/>
      <c r="L62" s="432">
        <f t="shared" si="12"/>
        <v>0</v>
      </c>
      <c r="M62" s="432"/>
      <c r="N62" s="536"/>
      <c r="O62" s="272"/>
      <c r="P62" s="22"/>
      <c r="Q62" s="22"/>
      <c r="R62" s="22"/>
      <c r="S62" s="22"/>
      <c r="T62" s="22"/>
      <c r="U62" s="22"/>
      <c r="V62" s="22"/>
      <c r="W62" s="22"/>
      <c r="X62" s="22"/>
      <c r="Y62" s="22"/>
      <c r="Z62" s="22"/>
      <c r="AA62" s="22"/>
      <c r="AB62" s="22"/>
      <c r="AC62" s="22"/>
      <c r="AD62" s="22"/>
      <c r="AE62" s="22"/>
      <c r="AF62" s="22"/>
      <c r="AG62" s="22"/>
      <c r="AH62" s="22"/>
      <c r="AI62" s="22"/>
      <c r="AJ62" s="22"/>
      <c r="AK62" s="22"/>
      <c r="AL62" s="22"/>
      <c r="AM62" s="22"/>
      <c r="AN62" s="22"/>
      <c r="AO62" s="22"/>
    </row>
    <row r="63" spans="1:41" ht="27" customHeight="1" x14ac:dyDescent="1.05">
      <c r="A63" s="525" t="s">
        <v>116</v>
      </c>
      <c r="B63" s="434"/>
      <c r="C63" s="434"/>
      <c r="D63" s="434"/>
      <c r="E63" s="434"/>
      <c r="F63" s="434"/>
      <c r="G63" s="434"/>
      <c r="H63" s="435"/>
      <c r="I63" s="519">
        <f>SUMIFS(Input[Net Aux Ent E&amp;G],Input[Institution Name],$A$1)+SUMIFS(Input[Net Aux Ent Desg],Input[Institution Name],$A$1)+SUMIFS(Input[Net Aux Ent Aux],Input[Institution Name],$A$1)+SUMIFS(Input[Net Aux Ent R Exp],Input[Institution Name],$A$1)+SUMIFS(Input[Net Aux Ent Loan],Input[Institution Name],$A$1)+SUMIFS(Input[Net Aux Ent Annuity],Input[Institution Name],$A$1)+SUMIFS(Input[Net Aux Ent Unexp],Input[Institution Name],$A$1)+SUMIFS(Input[Net Aux Ent R of Ind],Input[Institution Name],$A$1)+SUMIFS(Input[Net Aux Ent Inv in P],Input[Institution Name],$A$1)</f>
        <v>0</v>
      </c>
      <c r="J63" s="519"/>
      <c r="K63" s="519"/>
      <c r="L63" s="432">
        <f t="shared" ref="L63:L64" si="13">IFERROR(ROUND(I63/$R$1,0),0)</f>
        <v>0</v>
      </c>
      <c r="M63" s="432"/>
      <c r="N63" s="536"/>
      <c r="O63" s="272"/>
      <c r="P63" s="22"/>
      <c r="Q63" s="22"/>
      <c r="R63" s="22"/>
      <c r="S63" s="22"/>
      <c r="T63" s="22"/>
      <c r="U63" s="22"/>
      <c r="V63" s="22"/>
      <c r="W63" s="22"/>
      <c r="X63" s="22"/>
      <c r="Y63" s="22"/>
      <c r="Z63" s="22"/>
      <c r="AA63" s="22"/>
      <c r="AB63" s="22"/>
      <c r="AC63" s="22"/>
      <c r="AD63" s="22"/>
      <c r="AE63" s="22"/>
      <c r="AF63" s="22"/>
      <c r="AG63" s="22"/>
      <c r="AH63" s="22"/>
      <c r="AI63" s="22"/>
      <c r="AJ63" s="22"/>
      <c r="AK63" s="22"/>
      <c r="AL63" s="22"/>
      <c r="AM63" s="22"/>
      <c r="AN63" s="22"/>
      <c r="AO63" s="22"/>
    </row>
    <row r="64" spans="1:41" ht="27" customHeight="1" thickBot="1" x14ac:dyDescent="1.1000000000000001">
      <c r="A64" s="525" t="s">
        <v>149</v>
      </c>
      <c r="B64" s="434"/>
      <c r="C64" s="434"/>
      <c r="D64" s="434"/>
      <c r="E64" s="434"/>
      <c r="F64" s="434"/>
      <c r="G64" s="434"/>
      <c r="H64" s="435"/>
      <c r="I64" s="520">
        <f>SUMIFS(Input[Oth Inc E&amp;G],Input[Institution Name],$A$1)+SUMIFS(Input[Oth Inc Desg],Input[Institution Name],$A$1)+SUMIFS(Input[Oth Inc Aux],Input[Institution Name],$A$1)+SUMIFS(Input[Oth Inc R Exp],Input[Institution Name],$A$1)+SUMIFS(Input[Oth Inc Loan],Input[Institution Name],$A$1)+SUMIFS(Input[Oth Inc Annuity],Input[Institution Name],$A$1)+SUMIFS(Input[Oth Inc Unexp],Input[Institution Name],$A$1)+SUMIFS(Input[Oth Inc R of Ind],Input[Institution Name],$A$1)+SUMIFS(Input[Oth Inc Inv in P],Input[Institution Name],$A$1)</f>
        <v>0</v>
      </c>
      <c r="J64" s="520"/>
      <c r="K64" s="520"/>
      <c r="L64" s="534">
        <f t="shared" si="13"/>
        <v>0</v>
      </c>
      <c r="M64" s="534"/>
      <c r="N64" s="535"/>
      <c r="O64" s="272"/>
      <c r="P64" s="22"/>
      <c r="Q64" s="22"/>
      <c r="R64" s="22"/>
      <c r="S64" s="22"/>
      <c r="T64" s="22"/>
      <c r="U64" s="22"/>
      <c r="V64" s="22"/>
      <c r="W64" s="22"/>
      <c r="X64" s="22"/>
      <c r="Y64" s="22"/>
      <c r="Z64" s="22"/>
      <c r="AA64" s="22"/>
      <c r="AB64" s="22"/>
      <c r="AC64" s="22"/>
      <c r="AD64" s="22"/>
      <c r="AE64" s="22"/>
      <c r="AF64" s="22"/>
      <c r="AG64" s="22"/>
      <c r="AH64" s="22"/>
      <c r="AI64" s="22"/>
      <c r="AJ64" s="22"/>
      <c r="AK64" s="22"/>
      <c r="AL64" s="22"/>
      <c r="AM64" s="22"/>
      <c r="AN64" s="22"/>
      <c r="AO64" s="22"/>
    </row>
    <row r="65" spans="1:41" ht="27" customHeight="1" thickBot="1" x14ac:dyDescent="1.1000000000000001">
      <c r="A65" s="509" t="s">
        <v>99</v>
      </c>
      <c r="B65" s="510"/>
      <c r="C65" s="510"/>
      <c r="D65" s="510"/>
      <c r="E65" s="510"/>
      <c r="F65" s="510"/>
      <c r="G65" s="510"/>
      <c r="H65" s="510"/>
      <c r="I65" s="516">
        <f>SUM(I59:I64)</f>
        <v>0</v>
      </c>
      <c r="J65" s="516"/>
      <c r="K65" s="516"/>
      <c r="L65" s="516">
        <f>IFERROR(ROUND(I65/$R$1,0),0)</f>
        <v>0</v>
      </c>
      <c r="M65" s="516"/>
      <c r="N65" s="517"/>
      <c r="O65" s="272"/>
      <c r="P65" s="22"/>
      <c r="Q65" s="22"/>
      <c r="R65" s="22"/>
      <c r="S65" s="22"/>
      <c r="T65" s="22"/>
      <c r="U65" s="22"/>
      <c r="V65" s="22"/>
      <c r="W65" s="22"/>
      <c r="X65" s="22"/>
      <c r="Y65" s="22"/>
      <c r="Z65" s="22"/>
      <c r="AA65" s="22"/>
      <c r="AB65" s="22"/>
      <c r="AC65" s="22"/>
      <c r="AD65" s="22"/>
      <c r="AE65" s="22"/>
      <c r="AF65" s="22"/>
      <c r="AG65" s="22"/>
      <c r="AH65" s="22"/>
      <c r="AI65" s="22"/>
      <c r="AJ65" s="22"/>
      <c r="AK65" s="22"/>
      <c r="AL65" s="22"/>
      <c r="AM65" s="22"/>
      <c r="AN65" s="22"/>
      <c r="AO65" s="22"/>
    </row>
    <row r="66" spans="1:41" ht="27" customHeight="1" thickBot="1" x14ac:dyDescent="1.1000000000000001">
      <c r="A66" s="274"/>
      <c r="B66" s="275"/>
      <c r="C66" s="275"/>
      <c r="D66" s="275"/>
      <c r="E66" s="275"/>
      <c r="F66" s="275"/>
      <c r="G66" s="275"/>
      <c r="H66" s="275"/>
      <c r="I66" s="275"/>
      <c r="J66" s="275"/>
      <c r="K66" s="275"/>
      <c r="L66" s="276"/>
      <c r="M66" s="22"/>
      <c r="N66" s="22"/>
      <c r="O66" s="272"/>
      <c r="P66" s="22"/>
      <c r="Q66" s="22"/>
      <c r="R66" s="22"/>
      <c r="S66" s="22"/>
      <c r="T66" s="22"/>
      <c r="U66" s="22"/>
      <c r="V66" s="22"/>
      <c r="W66" s="22"/>
      <c r="X66" s="22"/>
      <c r="Y66" s="22"/>
      <c r="Z66" s="22"/>
      <c r="AA66" s="22"/>
      <c r="AB66" s="22"/>
      <c r="AC66" s="22"/>
      <c r="AD66" s="22"/>
      <c r="AE66" s="22"/>
      <c r="AF66" s="22"/>
      <c r="AG66" s="22"/>
      <c r="AH66" s="22"/>
      <c r="AI66" s="22"/>
      <c r="AJ66" s="22"/>
      <c r="AK66" s="22"/>
      <c r="AL66" s="22"/>
      <c r="AM66" s="22"/>
      <c r="AN66" s="22"/>
      <c r="AO66" s="22"/>
    </row>
    <row r="67" spans="1:41" ht="27" customHeight="1" thickBot="1" x14ac:dyDescent="1.1000000000000001">
      <c r="A67" s="509" t="s">
        <v>117</v>
      </c>
      <c r="B67" s="510"/>
      <c r="C67" s="510"/>
      <c r="D67" s="510"/>
      <c r="E67" s="510"/>
      <c r="F67" s="510"/>
      <c r="G67" s="510"/>
      <c r="H67" s="510"/>
      <c r="I67" s="516">
        <f>SUM(I14,I30,I45,I50,I53,I56,I65)</f>
        <v>0</v>
      </c>
      <c r="J67" s="516"/>
      <c r="K67" s="516"/>
      <c r="L67" s="516">
        <f>IFERROR(ROUND(I67/$R$1,0),0)</f>
        <v>0</v>
      </c>
      <c r="M67" s="516"/>
      <c r="N67" s="517"/>
      <c r="O67" s="272"/>
      <c r="P67" s="22"/>
      <c r="Q67" s="22"/>
      <c r="R67" s="22"/>
      <c r="S67" s="22"/>
      <c r="T67" s="22"/>
      <c r="U67" s="22"/>
      <c r="V67" s="22"/>
      <c r="W67" s="22"/>
      <c r="X67" s="22"/>
      <c r="Y67" s="22"/>
      <c r="Z67" s="22"/>
      <c r="AA67" s="22"/>
      <c r="AB67" s="22"/>
      <c r="AC67" s="22"/>
      <c r="AD67" s="22"/>
      <c r="AE67" s="22"/>
      <c r="AF67" s="22"/>
      <c r="AG67" s="22"/>
      <c r="AH67" s="22"/>
      <c r="AI67" s="22"/>
      <c r="AJ67" s="22"/>
      <c r="AK67" s="22"/>
      <c r="AL67" s="22"/>
      <c r="AM67" s="22"/>
      <c r="AN67" s="22"/>
      <c r="AO67" s="22"/>
    </row>
    <row r="68" spans="1:41" ht="27" customHeight="1" thickBot="1" x14ac:dyDescent="1.1000000000000001">
      <c r="A68" s="274"/>
      <c r="B68" s="275"/>
      <c r="C68" s="275"/>
      <c r="D68" s="275"/>
      <c r="E68" s="275"/>
      <c r="F68" s="275"/>
      <c r="G68" s="275"/>
      <c r="H68" s="275"/>
      <c r="I68" s="275"/>
      <c r="J68" s="275"/>
      <c r="K68" s="275"/>
      <c r="L68" s="276"/>
      <c r="M68" s="22"/>
      <c r="N68" s="22"/>
      <c r="O68" s="272"/>
      <c r="P68" s="22"/>
      <c r="Q68" s="22"/>
      <c r="R68" s="22"/>
      <c r="S68" s="22"/>
      <c r="T68" s="22"/>
      <c r="U68" s="22"/>
      <c r="V68" s="22"/>
      <c r="W68" s="22"/>
      <c r="X68" s="22"/>
      <c r="Y68" s="22"/>
      <c r="Z68" s="22"/>
      <c r="AA68" s="22"/>
      <c r="AB68" s="22"/>
      <c r="AC68" s="22"/>
      <c r="AD68" s="22"/>
      <c r="AE68" s="22"/>
      <c r="AF68" s="22"/>
      <c r="AG68" s="22"/>
      <c r="AH68" s="22"/>
      <c r="AI68" s="22"/>
      <c r="AJ68" s="22"/>
      <c r="AK68" s="22"/>
      <c r="AL68" s="22"/>
      <c r="AM68" s="22"/>
      <c r="AN68" s="22"/>
      <c r="AO68" s="22"/>
    </row>
    <row r="69" spans="1:41" ht="31.95" customHeight="1" thickBot="1" x14ac:dyDescent="1.1000000000000001">
      <c r="A69" s="565" t="s">
        <v>118</v>
      </c>
      <c r="B69" s="566"/>
      <c r="C69" s="566"/>
      <c r="D69" s="566"/>
      <c r="E69" s="566"/>
      <c r="F69" s="566"/>
      <c r="G69" s="566"/>
      <c r="H69" s="566"/>
      <c r="I69" s="566"/>
      <c r="J69" s="566"/>
      <c r="K69" s="566"/>
      <c r="L69" s="566"/>
      <c r="M69" s="566"/>
      <c r="N69" s="567"/>
      <c r="O69" s="272"/>
      <c r="P69" s="609" t="s">
        <v>150</v>
      </c>
      <c r="Q69" s="610"/>
      <c r="R69" s="610"/>
      <c r="S69" s="610"/>
      <c r="T69" s="610"/>
      <c r="U69" s="610"/>
      <c r="V69" s="610"/>
      <c r="W69" s="610"/>
      <c r="X69" s="610"/>
      <c r="Y69" s="610"/>
      <c r="Z69" s="610"/>
      <c r="AA69" s="65"/>
      <c r="AB69" s="66"/>
      <c r="AC69" s="22"/>
      <c r="AD69" s="599" t="s">
        <v>1807</v>
      </c>
      <c r="AE69" s="600"/>
      <c r="AF69" s="600"/>
      <c r="AG69" s="600"/>
      <c r="AH69" s="600"/>
      <c r="AI69" s="600"/>
      <c r="AJ69" s="600"/>
      <c r="AK69" s="601"/>
      <c r="AL69" s="600"/>
      <c r="AM69" s="602"/>
      <c r="AN69" s="22"/>
      <c r="AO69" s="22"/>
    </row>
    <row r="70" spans="1:41" ht="27" customHeight="1" thickBot="1" x14ac:dyDescent="1.1000000000000001">
      <c r="A70" s="543" t="s">
        <v>119</v>
      </c>
      <c r="B70" s="544"/>
      <c r="C70" s="544"/>
      <c r="D70" s="544"/>
      <c r="E70" s="544"/>
      <c r="F70" s="544"/>
      <c r="G70" s="544"/>
      <c r="H70" s="544"/>
      <c r="I70" s="545" t="s">
        <v>135</v>
      </c>
      <c r="J70" s="546"/>
      <c r="K70" s="546"/>
      <c r="L70" s="545" t="s">
        <v>136</v>
      </c>
      <c r="M70" s="546"/>
      <c r="N70" s="547"/>
      <c r="O70" s="272"/>
      <c r="P70" s="543" t="s">
        <v>119</v>
      </c>
      <c r="Q70" s="544"/>
      <c r="R70" s="544"/>
      <c r="S70" s="544"/>
      <c r="T70" s="544"/>
      <c r="U70" s="544"/>
      <c r="V70" s="544"/>
      <c r="W70" s="545" t="s">
        <v>1642</v>
      </c>
      <c r="X70" s="546"/>
      <c r="Y70" s="546"/>
      <c r="Z70" s="545" t="s">
        <v>1643</v>
      </c>
      <c r="AA70" s="546"/>
      <c r="AB70" s="547"/>
      <c r="AC70" s="22"/>
      <c r="AD70" s="543" t="s">
        <v>119</v>
      </c>
      <c r="AE70" s="544"/>
      <c r="AF70" s="544"/>
      <c r="AG70" s="544"/>
      <c r="AH70" s="544"/>
      <c r="AI70" s="544"/>
      <c r="AJ70" s="544"/>
      <c r="AK70" s="545" t="s">
        <v>137</v>
      </c>
      <c r="AL70" s="546"/>
      <c r="AM70" s="547"/>
      <c r="AN70" s="22"/>
      <c r="AO70" s="22"/>
    </row>
    <row r="71" spans="1:41" ht="27" customHeight="1" x14ac:dyDescent="1.05">
      <c r="A71" s="522" t="s">
        <v>34</v>
      </c>
      <c r="B71" s="523"/>
      <c r="C71" s="523"/>
      <c r="D71" s="523"/>
      <c r="E71" s="523"/>
      <c r="F71" s="523"/>
      <c r="G71" s="523"/>
      <c r="H71" s="524"/>
      <c r="I71" s="518">
        <f>SUMIFS(Input[Instr E&amp;G],Input[Institution Name],$A$1)+SUMIFS(Input[Instr Desg],Input[Institution Name],$A$1)+SUMIFS(Input[Instr Aux],Input[Institution Name],$A$1)+SUMIFS(Input[Instr R Exp],Input[Institution Name],$A$1)+SUMIFS(Input[Instr Loan],Input[Institution Name],$A$1)+SUMIFS(Input[Instr Annuity],Input[Institution Name],$A$1)+SUMIFS(Input[Instr Unexp],Input[Institution Name],$A$1)+SUMIFS(Input[Instr R of Ind],Input[Institution Name],$A$1)+SUMIFS(Input[Instr Inv in P],Input[Institution Name],$A$1)</f>
        <v>0</v>
      </c>
      <c r="J71" s="518"/>
      <c r="K71" s="518"/>
      <c r="L71" s="529">
        <f>IFERROR(ROUND(I71/$R$1,0),0)</f>
        <v>0</v>
      </c>
      <c r="M71" s="529"/>
      <c r="N71" s="530"/>
      <c r="O71" s="272"/>
      <c r="P71" s="604" t="s">
        <v>34</v>
      </c>
      <c r="Q71" s="605"/>
      <c r="R71" s="605"/>
      <c r="S71" s="605"/>
      <c r="T71" s="605"/>
      <c r="U71" s="605"/>
      <c r="V71" s="606"/>
      <c r="W71" s="611">
        <f>SUMIFS(Input[SRECNA Inst.],Input[Institution Name],$A$1)</f>
        <v>0</v>
      </c>
      <c r="X71" s="611"/>
      <c r="Y71" s="611"/>
      <c r="Z71" s="529">
        <f>SUM(W71,-I71)</f>
        <v>0</v>
      </c>
      <c r="AA71" s="529"/>
      <c r="AB71" s="530"/>
      <c r="AC71" s="22"/>
      <c r="AD71" s="292"/>
      <c r="AE71" s="293" t="str" cm="1">
        <f t="array" ref="AE71">IF(ISBLANK(A1),"",INDEX(P71:P80,MATCH(LARGE(W71:W80,ROW(1:5)),W71:W80,0)))</f>
        <v/>
      </c>
      <c r="AF71" s="293"/>
      <c r="AG71" s="293"/>
      <c r="AH71" s="293"/>
      <c r="AI71" s="293"/>
      <c r="AJ71" s="294"/>
      <c r="AK71" s="426" t="str">
        <f>IFERROR(VLOOKUP(AE71,$P$71:$Y$80,8,FALSE),"")</f>
        <v/>
      </c>
      <c r="AL71" s="426"/>
      <c r="AM71" s="597"/>
      <c r="AN71" s="22"/>
      <c r="AO71" s="22"/>
    </row>
    <row r="72" spans="1:41" ht="27" customHeight="1" x14ac:dyDescent="1.05">
      <c r="A72" s="525" t="s">
        <v>35</v>
      </c>
      <c r="B72" s="434"/>
      <c r="C72" s="434"/>
      <c r="D72" s="434"/>
      <c r="E72" s="434"/>
      <c r="F72" s="434"/>
      <c r="G72" s="434"/>
      <c r="H72" s="435"/>
      <c r="I72" s="519">
        <f>SUMIFS(Input[Res E&amp;G],Input[Institution Name],$A$1)+SUMIFS(Input[Res Desg],Input[Institution Name],$A$1)+SUMIFS(Input[Res Aux],Input[Institution Name],$A$1)+SUMIFS(Input[Res R Exp],Input[Institution Name],$A$1)+SUMIFS(Input[Res Loan],Input[Institution Name],$A$1)+SUMIFS(Input[Res Annuity],Input[Institution Name],$A$1)+SUMIFS(Input[Res Unexp],Input[Institution Name],$A$1)+SUMIFS(Input[Res R of Ind],Input[Institution Name],$A$1)+SUMIFS(Input[Res Inv in P],Input[Institution Name],$A$1)</f>
        <v>0</v>
      </c>
      <c r="J72" s="519"/>
      <c r="K72" s="519"/>
      <c r="L72" s="432">
        <f t="shared" ref="L72:L73" si="14">IFERROR(ROUND(I72/$R$1,0),0)</f>
        <v>0</v>
      </c>
      <c r="M72" s="432"/>
      <c r="N72" s="536"/>
      <c r="O72" s="272"/>
      <c r="P72" s="525" t="s">
        <v>35</v>
      </c>
      <c r="Q72" s="434"/>
      <c r="R72" s="434"/>
      <c r="S72" s="434"/>
      <c r="T72" s="434"/>
      <c r="U72" s="434"/>
      <c r="V72" s="435"/>
      <c r="W72" s="431">
        <f>SUMIFS(Input[SRECNA Resh],Input[Institution Name],$A$1)</f>
        <v>0</v>
      </c>
      <c r="X72" s="431"/>
      <c r="Y72" s="431"/>
      <c r="Z72" s="432">
        <f t="shared" ref="Z72:Z80" si="15">SUM(W72,-I72)</f>
        <v>0</v>
      </c>
      <c r="AA72" s="432"/>
      <c r="AB72" s="536"/>
      <c r="AC72" s="295"/>
      <c r="AD72" s="280"/>
      <c r="AE72" s="281"/>
      <c r="AF72" s="281"/>
      <c r="AG72" s="281"/>
      <c r="AH72" s="281"/>
      <c r="AI72" s="281"/>
      <c r="AJ72" s="282"/>
      <c r="AK72" s="591" t="str">
        <f>IFERROR(VLOOKUP(AE72,$P$71:$Y$80,8,FALSE),"")</f>
        <v/>
      </c>
      <c r="AL72" s="592"/>
      <c r="AM72" s="593"/>
      <c r="AN72" s="22"/>
      <c r="AO72" s="22"/>
    </row>
    <row r="73" spans="1:41" ht="27" customHeight="1" x14ac:dyDescent="1.05">
      <c r="A73" s="525" t="s">
        <v>120</v>
      </c>
      <c r="B73" s="434"/>
      <c r="C73" s="434"/>
      <c r="D73" s="434"/>
      <c r="E73" s="434"/>
      <c r="F73" s="434"/>
      <c r="G73" s="434"/>
      <c r="H73" s="435"/>
      <c r="I73" s="519">
        <f>SUMIFS(Input[Pub Srv E&amp;G],Input[Institution Name],$A$1)+SUMIFS(Input[Pub Srv Desg],Input[Institution Name],$A$1)+SUMIFS(Input[Pub Srv Aux],Input[Institution Name],$A$1)+SUMIFS(Input[Pub Srv R Exp],Input[Institution Name],$A$1)+SUMIFS(Input[Pub Srv Loan],Input[Institution Name],$A$1)+SUMIFS(Input[Pub Srv Annuity],Input[Institution Name],$A$1)+SUMIFS(Input[Pub Srv Unexp],Input[Institution Name],$A$1)+SUMIFS(Input[Pub Srv R of Ind],Input[Institution Name],$A$1)+SUMIFS(Input[Pub Srv Inv in P],Input[Institution Name],$A$1)</f>
        <v>0</v>
      </c>
      <c r="J73" s="519"/>
      <c r="K73" s="519"/>
      <c r="L73" s="432">
        <f t="shared" si="14"/>
        <v>0</v>
      </c>
      <c r="M73" s="432"/>
      <c r="N73" s="536"/>
      <c r="O73" s="272"/>
      <c r="P73" s="525" t="s">
        <v>120</v>
      </c>
      <c r="Q73" s="434"/>
      <c r="R73" s="434"/>
      <c r="S73" s="434"/>
      <c r="T73" s="434"/>
      <c r="U73" s="434"/>
      <c r="V73" s="435"/>
      <c r="W73" s="431">
        <f>SUMIFS(Input[SRECNA Pub Svc],Input[Institution Name],$A$1)</f>
        <v>0</v>
      </c>
      <c r="X73" s="431"/>
      <c r="Y73" s="431"/>
      <c r="Z73" s="432">
        <f>SUM(W73,-I73)</f>
        <v>0</v>
      </c>
      <c r="AA73" s="432"/>
      <c r="AB73" s="536"/>
      <c r="AC73" s="44"/>
      <c r="AD73" s="280"/>
      <c r="AE73" s="281"/>
      <c r="AF73" s="281"/>
      <c r="AG73" s="281"/>
      <c r="AH73" s="281"/>
      <c r="AI73" s="281"/>
      <c r="AJ73" s="282"/>
      <c r="AK73" s="591" t="str">
        <f>IFERROR(VLOOKUP(AE73,$P$71:$Y$80,8,FALSE),"")</f>
        <v/>
      </c>
      <c r="AL73" s="592"/>
      <c r="AM73" s="593"/>
      <c r="AN73" s="22"/>
      <c r="AO73" s="22"/>
    </row>
    <row r="74" spans="1:41" ht="27" customHeight="1" x14ac:dyDescent="1.05">
      <c r="A74" s="525" t="s">
        <v>113</v>
      </c>
      <c r="B74" s="434"/>
      <c r="C74" s="434"/>
      <c r="D74" s="434"/>
      <c r="E74" s="434"/>
      <c r="F74" s="434"/>
      <c r="G74" s="434"/>
      <c r="H74" s="435"/>
      <c r="I74" s="519">
        <f>SUMIFS(Input[H&amp;C (OU) E&amp;G], Input[Institution Name],$A$1)+SUMIFS(Input[H&amp;C (OU) Desg], Input[Institution Name],$A$1)+SUMIFS(Input[H&amp;C (OU) Aux], Input[Institution Name],$A$1)+SUMIFS(Input[H&amp;C (OU) R Exp], Input[Institution Name],$A$1)+SUMIFS(Input[H&amp;C (OU) Loan], Input[Institution Name],$A$1)+SUMIFS(Input[H&amp;C (OU) Annuity], Input[Institution Name],$A$1)+SUMIFS(Input[H&amp;C (OU) Unexp], Input[Institution Name],$A$1)+SUMIFS(Input[H&amp;C (OU) R of Ind], Input[Institution Name],$A$1)+SUMIFS(Input[H&amp;C (OU) Inv in P], Input[Institution Name],$A$1)</f>
        <v>0</v>
      </c>
      <c r="J74" s="519"/>
      <c r="K74" s="519"/>
      <c r="L74" s="432">
        <f t="shared" ref="L74:L82" si="16">IFERROR(ROUND(I74/$R$1,0),0)</f>
        <v>0</v>
      </c>
      <c r="M74" s="432"/>
      <c r="N74" s="536"/>
      <c r="O74" s="272"/>
      <c r="P74" s="525" t="s">
        <v>113</v>
      </c>
      <c r="Q74" s="434"/>
      <c r="R74" s="434"/>
      <c r="S74" s="434"/>
      <c r="T74" s="434"/>
      <c r="U74" s="434"/>
      <c r="V74" s="435"/>
      <c r="W74" s="431">
        <f>SUMIFS(Input[SRECNA H&amp;C],Input[Institution Name],$A$1)</f>
        <v>0</v>
      </c>
      <c r="X74" s="431"/>
      <c r="Y74" s="431"/>
      <c r="Z74" s="432">
        <f t="shared" si="15"/>
        <v>0</v>
      </c>
      <c r="AA74" s="432"/>
      <c r="AB74" s="536"/>
      <c r="AC74" s="44"/>
      <c r="AD74" s="280"/>
      <c r="AE74" s="281"/>
      <c r="AF74" s="281"/>
      <c r="AG74" s="281"/>
      <c r="AH74" s="281"/>
      <c r="AI74" s="281"/>
      <c r="AJ74" s="282"/>
      <c r="AK74" s="591" t="str">
        <f>IFERROR(VLOOKUP(AE74,$P$71:$Y$80,8,FALSE),"")</f>
        <v/>
      </c>
      <c r="AL74" s="592"/>
      <c r="AM74" s="593"/>
      <c r="AN74" s="22"/>
      <c r="AO74" s="22"/>
    </row>
    <row r="75" spans="1:41" ht="27" customHeight="1" thickBot="1" x14ac:dyDescent="1.1000000000000001">
      <c r="A75" s="525" t="s">
        <v>36</v>
      </c>
      <c r="B75" s="434"/>
      <c r="C75" s="434"/>
      <c r="D75" s="434"/>
      <c r="E75" s="434"/>
      <c r="F75" s="434"/>
      <c r="G75" s="434"/>
      <c r="H75" s="435"/>
      <c r="I75" s="519">
        <f>SUMIFS(Input[Acad Sup E&amp;G],Input[Institution Name],$A$1)+SUMIFS(Input[Acad Sup Desg],Input[Institution Name],$A$1)+SUMIFS(Input[Acad Sup Aux],Input[Institution Name],$A$1)+SUMIFS(Input[Acad Sup R Exp],Input[Institution Name],$A$1)+SUMIFS(Input[Acad Sup Loan],Input[Institution Name],$A$1)+SUMIFS(Input[Acad Sup Annuity],Input[Institution Name],$A$1)+SUMIFS(Input[Acad Sup Unexp],Input[Institution Name],$A$1)+SUMIFS(Input[Acad Sup R of Ind],Input[Institution Name],$A$1)+SUMIFS(Input[Acad Sup Inv in P],Input[Institution Name],$A$1)</f>
        <v>0</v>
      </c>
      <c r="J75" s="519"/>
      <c r="K75" s="519"/>
      <c r="L75" s="432">
        <f t="shared" si="16"/>
        <v>0</v>
      </c>
      <c r="M75" s="432"/>
      <c r="N75" s="536"/>
      <c r="O75" s="272"/>
      <c r="P75" s="525" t="s">
        <v>36</v>
      </c>
      <c r="Q75" s="434"/>
      <c r="R75" s="434"/>
      <c r="S75" s="434"/>
      <c r="T75" s="434"/>
      <c r="U75" s="434"/>
      <c r="V75" s="435"/>
      <c r="W75" s="431">
        <f>SUMIFS(Input[SRECNA Aca Sppt],Input[Institution Name],$A$1)</f>
        <v>0</v>
      </c>
      <c r="X75" s="431"/>
      <c r="Y75" s="431"/>
      <c r="Z75" s="432">
        <f t="shared" si="15"/>
        <v>0</v>
      </c>
      <c r="AA75" s="432"/>
      <c r="AB75" s="536"/>
      <c r="AC75" s="44"/>
      <c r="AD75" s="285"/>
      <c r="AE75" s="286"/>
      <c r="AF75" s="286"/>
      <c r="AG75" s="286"/>
      <c r="AH75" s="286"/>
      <c r="AI75" s="286"/>
      <c r="AJ75" s="287"/>
      <c r="AK75" s="594" t="str">
        <f>IFERROR(VLOOKUP(AE75,$P$71:$Y$80,8,FALSE),"")</f>
        <v/>
      </c>
      <c r="AL75" s="595"/>
      <c r="AM75" s="596"/>
      <c r="AN75" s="22"/>
      <c r="AO75" s="22"/>
    </row>
    <row r="76" spans="1:41" ht="27" customHeight="1" x14ac:dyDescent="1.05">
      <c r="A76" s="525" t="s">
        <v>37</v>
      </c>
      <c r="B76" s="434"/>
      <c r="C76" s="434"/>
      <c r="D76" s="434"/>
      <c r="E76" s="434"/>
      <c r="F76" s="434"/>
      <c r="G76" s="434"/>
      <c r="H76" s="435"/>
      <c r="I76" s="519">
        <f>SUMIFS(Input[Stu Svc E&amp;G],Input[Institution Name],$A$1)+SUMIFS(Input[Stu Svc Desg],Input[Institution Name],$A$1)+SUMIFS(Input[Stu Svc Aux],Input[Institution Name],$A$1)+SUMIFS(Input[Stu Svc R Exp],Input[Institution Name],$A$1)+SUMIFS(Input[Stu Svc Loan],Input[Institution Name],$A$1)+SUMIFS(Input[Stu Svc Annuity],Input[Institution Name],$A$1)+SUMIFS(Input[Stu Svc Unexp],Input[Institution Name],$A$1)+SUMIFS(Input[Stu Svc R of Ind],Input[Institution Name],$A$1)+SUMIFS(Input[Stu Svc Inv in P],Input[Institution Name],$A$1)</f>
        <v>0</v>
      </c>
      <c r="J76" s="519"/>
      <c r="K76" s="519"/>
      <c r="L76" s="432">
        <f t="shared" si="16"/>
        <v>0</v>
      </c>
      <c r="M76" s="432"/>
      <c r="N76" s="536"/>
      <c r="O76" s="272"/>
      <c r="P76" s="525" t="s">
        <v>37</v>
      </c>
      <c r="Q76" s="434"/>
      <c r="R76" s="434"/>
      <c r="S76" s="434"/>
      <c r="T76" s="434"/>
      <c r="U76" s="434"/>
      <c r="V76" s="435"/>
      <c r="W76" s="431">
        <f>SUMIFS(Input[SRECNA Stu Svcs],Input[Institution Name],$A$1)</f>
        <v>0</v>
      </c>
      <c r="X76" s="431"/>
      <c r="Y76" s="431"/>
      <c r="Z76" s="432">
        <f t="shared" si="15"/>
        <v>0</v>
      </c>
      <c r="AA76" s="432"/>
      <c r="AB76" s="536"/>
      <c r="AC76" s="5"/>
      <c r="AD76" s="296"/>
      <c r="AE76" s="296"/>
      <c r="AF76" s="296"/>
      <c r="AG76" s="296"/>
      <c r="AH76" s="296"/>
      <c r="AI76" s="296"/>
      <c r="AJ76" s="296"/>
      <c r="AK76" s="296"/>
      <c r="AL76" s="296"/>
      <c r="AM76" s="296"/>
      <c r="AN76" s="22"/>
      <c r="AO76" s="22"/>
    </row>
    <row r="77" spans="1:41" ht="27" customHeight="1" x14ac:dyDescent="1.05">
      <c r="A77" s="525" t="s">
        <v>38</v>
      </c>
      <c r="B77" s="434"/>
      <c r="C77" s="434"/>
      <c r="D77" s="434"/>
      <c r="E77" s="434"/>
      <c r="F77" s="434"/>
      <c r="G77" s="434"/>
      <c r="H77" s="435"/>
      <c r="I77" s="519">
        <f>SUMIFS(Input[Inst. Spt E&amp;G],Input[Institution Name],$A$1)+SUMIFS(Input[Inst. Spt Desg],Input[Institution Name],$A$1)+SUMIFS(Input[Inst. Spt Aux],Input[Institution Name],$A$1)+SUMIFS(Input[Inst. Spt R Exp],Input[Institution Name],$A$1)+SUMIFS(Input[Inst. Spt Loan],Input[Institution Name],$A$1)+SUMIFS(Input[Inst. Spt Annuity],Input[Institution Name],$A$1)+SUMIFS(Input[Inst. Spt Unexp],Input[Institution Name],$A$1)+SUMIFS(Input[Inst. Spt R of Ind],Input[Institution Name],$A$1)+SUMIFS(Input[Inst. Spt Inv in P],Input[Institution Name],$A$1)</f>
        <v>0</v>
      </c>
      <c r="J77" s="519"/>
      <c r="K77" s="519"/>
      <c r="L77" s="432">
        <f t="shared" si="16"/>
        <v>0</v>
      </c>
      <c r="M77" s="432"/>
      <c r="N77" s="536"/>
      <c r="O77" s="272"/>
      <c r="P77" s="525" t="s">
        <v>38</v>
      </c>
      <c r="Q77" s="434"/>
      <c r="R77" s="434"/>
      <c r="S77" s="434"/>
      <c r="T77" s="434"/>
      <c r="U77" s="434"/>
      <c r="V77" s="435"/>
      <c r="W77" s="431">
        <f>SUMIFS(Input[SRECNA Inst. Sppt],Input[Institution Name],$A$1)</f>
        <v>0</v>
      </c>
      <c r="X77" s="431"/>
      <c r="Y77" s="431"/>
      <c r="Z77" s="432">
        <f t="shared" si="15"/>
        <v>0</v>
      </c>
      <c r="AA77" s="432"/>
      <c r="AB77" s="536"/>
      <c r="AC77" s="44"/>
      <c r="AD77" s="296"/>
      <c r="AE77" s="296"/>
      <c r="AF77" s="296"/>
      <c r="AG77" s="296"/>
      <c r="AH77" s="296"/>
      <c r="AI77" s="296"/>
      <c r="AJ77" s="296"/>
      <c r="AK77" s="296"/>
      <c r="AL77" s="296"/>
      <c r="AM77" s="296"/>
      <c r="AN77" s="22"/>
      <c r="AO77" s="22"/>
    </row>
    <row r="78" spans="1:41" ht="27" customHeight="1" x14ac:dyDescent="1.05">
      <c r="A78" s="525" t="s">
        <v>121</v>
      </c>
      <c r="B78" s="434"/>
      <c r="C78" s="434"/>
      <c r="D78" s="434"/>
      <c r="E78" s="434"/>
      <c r="F78" s="434"/>
      <c r="G78" s="434"/>
      <c r="H78" s="435"/>
      <c r="I78" s="519">
        <f>SUMIFS(Input[M&amp;O Plnt E&amp;G],Input[Institution Name],$A$1)+SUMIFS(Input[M&amp;O Plnt Desg],Input[Institution Name],$A$1)+SUMIFS(Input[M&amp;O Plnt Aux],Input[Institution Name],$A$1)+SUMIFS(Input[M&amp;O Plnt R Exp],Input[Institution Name],$A$1)+SUMIFS(Input[M&amp;O Plnt Loan],Input[Institution Name],$A$1)+SUMIFS(Input[M&amp;O Plnt Annuity],Input[Institution Name],$A$1)+SUMIFS(Input[M&amp;O Plnt Unexp],Input[Institution Name],$A$1)+SUMIFS(Input[M&amp;O Plnt R of Ind],Input[Institution Name],$A$1)+SUMIFS(Input[M&amp;O Plnt Inv in P],Input[Institution Name],$A$1)</f>
        <v>0</v>
      </c>
      <c r="J78" s="519"/>
      <c r="K78" s="519"/>
      <c r="L78" s="432">
        <f t="shared" si="16"/>
        <v>0</v>
      </c>
      <c r="M78" s="432"/>
      <c r="N78" s="536"/>
      <c r="O78" s="272"/>
      <c r="P78" s="525" t="s">
        <v>121</v>
      </c>
      <c r="Q78" s="434"/>
      <c r="R78" s="434"/>
      <c r="S78" s="434"/>
      <c r="T78" s="434"/>
      <c r="U78" s="434"/>
      <c r="V78" s="435"/>
      <c r="W78" s="431">
        <f>SUMIFS(Input[SRECNA Op &amp; Maint],Input[Institution Name],$A$1)</f>
        <v>0</v>
      </c>
      <c r="X78" s="431"/>
      <c r="Y78" s="431"/>
      <c r="Z78" s="432">
        <f t="shared" si="15"/>
        <v>0</v>
      </c>
      <c r="AA78" s="432"/>
      <c r="AB78" s="536"/>
      <c r="AC78" s="44"/>
      <c r="AD78" s="296"/>
      <c r="AE78" s="296"/>
      <c r="AF78" s="296"/>
      <c r="AG78" s="296"/>
      <c r="AH78" s="296"/>
      <c r="AI78" s="296"/>
      <c r="AJ78" s="296"/>
      <c r="AK78" s="296"/>
      <c r="AL78" s="296"/>
      <c r="AM78" s="296"/>
      <c r="AN78" s="22"/>
      <c r="AO78" s="22"/>
    </row>
    <row r="79" spans="1:41" ht="27" customHeight="1" x14ac:dyDescent="1.05">
      <c r="A79" s="525" t="s">
        <v>122</v>
      </c>
      <c r="B79" s="434"/>
      <c r="C79" s="434"/>
      <c r="D79" s="434"/>
      <c r="E79" s="434"/>
      <c r="F79" s="434"/>
      <c r="G79" s="434"/>
      <c r="H79" s="435"/>
      <c r="I79" s="519">
        <f>SUMIFS(Input[Schl &amp; Fell E&amp;G],Input[Institution Name],$A$1)+SUMIFS(Input[Schl &amp; Fell Desg],Input[Institution Name],$A$1)+SUMIFS(Input[Schl &amp; Fell Aux],Input[Institution Name],$A$1)+SUMIFS(Input[Schl &amp; Fell R Exp],Input[Institution Name],$A$1)+SUMIFS(Input[Schl &amp; Fell Loan],Input[Institution Name],$A$1)+SUMIFS(Input[Schl &amp; Fell Annuity],Input[Institution Name],$A$1)+SUMIFS(Input[Schl &amp; Fell Unexp],Input[Institution Name],$A$1)+SUMIFS(Input[Schl &amp; Fell R of Ind],Input[Institution Name],$A$1)+SUMIFS(Input[Schl &amp; Fell Inv in P],Input[Institution Name],$A$1)</f>
        <v>0</v>
      </c>
      <c r="J79" s="519"/>
      <c r="K79" s="519"/>
      <c r="L79" s="432">
        <f t="shared" si="16"/>
        <v>0</v>
      </c>
      <c r="M79" s="432"/>
      <c r="N79" s="536"/>
      <c r="O79" s="272"/>
      <c r="P79" s="525" t="s">
        <v>122</v>
      </c>
      <c r="Q79" s="434"/>
      <c r="R79" s="434"/>
      <c r="S79" s="434"/>
      <c r="T79" s="434"/>
      <c r="U79" s="434"/>
      <c r="V79" s="435"/>
      <c r="W79" s="431">
        <f>SUMIFS(Input[SRECNA Schl &amp; Fell],Input[Institution Name],$A$1)</f>
        <v>0</v>
      </c>
      <c r="X79" s="431"/>
      <c r="Y79" s="431"/>
      <c r="Z79" s="432">
        <f t="shared" si="15"/>
        <v>0</v>
      </c>
      <c r="AA79" s="432"/>
      <c r="AB79" s="536"/>
      <c r="AC79" s="44"/>
      <c r="AD79" s="296"/>
      <c r="AE79" s="296"/>
      <c r="AF79" s="296"/>
      <c r="AG79" s="296"/>
      <c r="AH79" s="296"/>
      <c r="AI79" s="296"/>
      <c r="AJ79" s="296"/>
      <c r="AK79" s="296"/>
      <c r="AL79" s="296"/>
      <c r="AM79" s="296"/>
      <c r="AN79" s="22"/>
      <c r="AO79" s="22"/>
    </row>
    <row r="80" spans="1:41" ht="27" customHeight="1" x14ac:dyDescent="1.05">
      <c r="A80" s="525" t="s">
        <v>152</v>
      </c>
      <c r="B80" s="434"/>
      <c r="C80" s="434"/>
      <c r="D80" s="434"/>
      <c r="E80" s="434"/>
      <c r="F80" s="434"/>
      <c r="G80" s="434"/>
      <c r="H80" s="435"/>
      <c r="I80" s="519">
        <f>SUMIFS(Input[Aux Ent E&amp;G],Input[Institution Name],$A$1)+SUMIFS(Input[Aux Ent Desg],Input[Institution Name],$A$1)+SUMIFS(Input[Aux Ent Aux],Input[Institution Name],$A$1)+SUMIFS(Input[Aux Ent R Exp],Input[Institution Name],$A$1)+SUMIFS(Input[Aux Ent Loan],Input[Institution Name],$A$1)+SUMIFS(Input[Aux Ent Annuity],Input[Institution Name],$A$1)+SUMIFS(Input[Aux Ent Unexp],Input[Institution Name],$A$1)+SUMIFS(Input[Aux Ent R of Ind],Input[Institution Name],$A$1)+SUMIFS(Input[Aux Ent Inv in P],Input[Institution Name],$A$1)</f>
        <v>0</v>
      </c>
      <c r="J80" s="519"/>
      <c r="K80" s="519"/>
      <c r="L80" s="432">
        <f t="shared" si="16"/>
        <v>0</v>
      </c>
      <c r="M80" s="432"/>
      <c r="N80" s="536"/>
      <c r="O80" s="272"/>
      <c r="P80" s="525" t="s">
        <v>152</v>
      </c>
      <c r="Q80" s="434"/>
      <c r="R80" s="434"/>
      <c r="S80" s="434"/>
      <c r="T80" s="434"/>
      <c r="U80" s="434"/>
      <c r="V80" s="435"/>
      <c r="W80" s="431">
        <f>SUMIFS(Input[SRECNA Aux],Input[Institution Name],$A$1)</f>
        <v>0</v>
      </c>
      <c r="X80" s="431"/>
      <c r="Y80" s="431"/>
      <c r="Z80" s="432">
        <f t="shared" si="15"/>
        <v>0</v>
      </c>
      <c r="AA80" s="432"/>
      <c r="AB80" s="536"/>
      <c r="AC80" s="44"/>
      <c r="AD80" s="296"/>
      <c r="AE80" s="296"/>
      <c r="AF80" s="296"/>
      <c r="AG80" s="296"/>
      <c r="AH80" s="296"/>
      <c r="AI80" s="296"/>
      <c r="AJ80" s="296"/>
      <c r="AK80" s="296"/>
      <c r="AL80" s="296"/>
      <c r="AM80" s="296"/>
      <c r="AN80" s="22"/>
      <c r="AO80" s="22"/>
    </row>
    <row r="81" spans="1:41" ht="27" customHeight="1" thickBot="1" x14ac:dyDescent="1.1000000000000001">
      <c r="A81" s="525" t="s">
        <v>123</v>
      </c>
      <c r="B81" s="434"/>
      <c r="C81" s="434"/>
      <c r="D81" s="434"/>
      <c r="E81" s="434"/>
      <c r="F81" s="434"/>
      <c r="G81" s="434"/>
      <c r="H81" s="435"/>
      <c r="I81" s="519">
        <f>SUMIFS(Input[Cap Out fund E&amp;G],Input[Institution Name],$A$1)+SUMIFS(Input[Cap Out fund Desg],Input[Institution Name],$A$1)+SUMIFS(Input[Cap Out fund Aux],Input[Institution Name],$A$1)+SUMIFS(Input[Cap Out fund R Exp],Input[Institution Name],$A$1)+SUMIFS(Input[Cap Out fund Loan],Input[Institution Name],$A$1)+SUMIFS(Input[Cap Out fund Annuity],Input[Institution Name],$A$1)+SUMIFS(Input[Cap Out fund Unexp],Input[Institution Name],$A$1)+SUMIFS(Input[Cap Out fund R of Ind],Input[Institution Name],$A$1)+SUMIFS(Input[Cap Out fund Inv in P],Input[Institution Name],$A$1)</f>
        <v>0</v>
      </c>
      <c r="J81" s="519"/>
      <c r="K81" s="519"/>
      <c r="L81" s="432">
        <f t="shared" si="16"/>
        <v>0</v>
      </c>
      <c r="M81" s="432"/>
      <c r="N81" s="536"/>
      <c r="O81" s="272"/>
      <c r="P81" s="531" t="s">
        <v>1641</v>
      </c>
      <c r="Q81" s="532"/>
      <c r="R81" s="532"/>
      <c r="S81" s="532"/>
      <c r="T81" s="532"/>
      <c r="U81" s="532"/>
      <c r="V81" s="533"/>
      <c r="W81" s="540">
        <f>I101*-1</f>
        <v>0</v>
      </c>
      <c r="X81" s="540"/>
      <c r="Y81" s="540"/>
      <c r="Z81" s="534">
        <f>SUM(W81,I101)</f>
        <v>0</v>
      </c>
      <c r="AA81" s="534"/>
      <c r="AB81" s="535"/>
      <c r="AC81" s="44"/>
      <c r="AD81" s="296"/>
      <c r="AE81" s="296"/>
      <c r="AF81" s="296"/>
      <c r="AG81" s="296"/>
      <c r="AH81" s="296"/>
      <c r="AI81" s="296"/>
      <c r="AJ81" s="296"/>
      <c r="AK81" s="296"/>
      <c r="AL81" s="296"/>
      <c r="AM81" s="296"/>
      <c r="AN81" s="22"/>
      <c r="AO81" s="22"/>
    </row>
    <row r="82" spans="1:41" ht="27" customHeight="1" thickBot="1" x14ac:dyDescent="1.1000000000000001">
      <c r="A82" s="525" t="s">
        <v>155</v>
      </c>
      <c r="B82" s="434"/>
      <c r="C82" s="434"/>
      <c r="D82" s="434"/>
      <c r="E82" s="434"/>
      <c r="F82" s="434"/>
      <c r="G82" s="434"/>
      <c r="H82" s="435"/>
      <c r="I82" s="520">
        <f>SUMIFS(Input[Oth Exp E&amp;G],Input[Institution Name],$A$1)+SUMIFS(Input[Oth Exp Desg],Input[Institution Name],$A$1)+SUMIFS(Input[Oth Exp Aux],Input[Institution Name],$A$1)+SUMIFS(Input[Oth Exp R Exp],Input[Institution Name],$A$1)+SUMIFS(Input[Oth Exp Loan],Input[Institution Name],$A$1)+SUMIFS(Input[Oth Exp Annuity],Input[Institution Name],$A$1)+SUMIFS(Input[Oth Exp Unexp],Input[Institution Name],$A$1)+SUMIFS(Input[Oth Exp R of Ind],Input[Institution Name],$A$1)+SUMIFS(Input[Oth Exp Inv in P],Input[Institution Name],$A$1)</f>
        <v>0</v>
      </c>
      <c r="J82" s="520"/>
      <c r="K82" s="520"/>
      <c r="L82" s="534">
        <f t="shared" si="16"/>
        <v>0</v>
      </c>
      <c r="M82" s="534"/>
      <c r="N82" s="535"/>
      <c r="O82" s="272"/>
      <c r="P82" s="22"/>
      <c r="Q82" s="22"/>
      <c r="R82" s="22"/>
      <c r="S82" s="22"/>
      <c r="T82" s="22"/>
      <c r="U82" s="22"/>
      <c r="V82" s="22"/>
      <c r="W82" s="297"/>
      <c r="X82" s="297"/>
      <c r="Y82" s="297"/>
      <c r="Z82" s="297"/>
      <c r="AA82" s="297"/>
      <c r="AB82" s="297"/>
      <c r="AC82" s="44"/>
      <c r="AD82" s="296"/>
      <c r="AE82" s="296"/>
      <c r="AF82" s="296"/>
      <c r="AG82" s="296"/>
      <c r="AH82" s="296"/>
      <c r="AI82" s="296"/>
      <c r="AJ82" s="296"/>
      <c r="AK82" s="296"/>
      <c r="AL82" s="296"/>
      <c r="AM82" s="296"/>
      <c r="AN82" s="22"/>
      <c r="AO82" s="22"/>
    </row>
    <row r="83" spans="1:41" ht="27" customHeight="1" thickBot="1" x14ac:dyDescent="1.1000000000000001">
      <c r="A83" s="509" t="s">
        <v>99</v>
      </c>
      <c r="B83" s="510"/>
      <c r="C83" s="510"/>
      <c r="D83" s="510"/>
      <c r="E83" s="510"/>
      <c r="F83" s="510"/>
      <c r="G83" s="510"/>
      <c r="H83" s="510"/>
      <c r="I83" s="516">
        <f>SUM(I71:I82)</f>
        <v>0</v>
      </c>
      <c r="J83" s="516"/>
      <c r="K83" s="516"/>
      <c r="L83" s="516">
        <f>IFERROR(ROUND(I83/$R$1,0),0)</f>
        <v>0</v>
      </c>
      <c r="M83" s="516"/>
      <c r="N83" s="517"/>
      <c r="O83" s="272"/>
      <c r="P83" s="22"/>
      <c r="Q83" s="22"/>
      <c r="R83" s="22"/>
      <c r="S83" s="22"/>
      <c r="T83" s="22"/>
      <c r="U83" s="22"/>
      <c r="V83" s="22"/>
      <c r="W83" s="22"/>
      <c r="X83" s="22"/>
      <c r="Y83" s="22"/>
      <c r="Z83" s="22"/>
      <c r="AA83" s="22"/>
      <c r="AB83" s="22"/>
      <c r="AC83" s="298"/>
      <c r="AD83" s="296"/>
      <c r="AE83" s="296"/>
      <c r="AF83" s="296"/>
      <c r="AG83" s="296"/>
      <c r="AH83" s="296"/>
      <c r="AI83" s="296"/>
      <c r="AJ83" s="296"/>
      <c r="AK83" s="296"/>
      <c r="AL83" s="296"/>
      <c r="AM83" s="296"/>
      <c r="AN83" s="22"/>
      <c r="AO83" s="22"/>
    </row>
    <row r="84" spans="1:41" ht="27" customHeight="1" thickBot="1" x14ac:dyDescent="1.1000000000000001">
      <c r="A84" s="274"/>
      <c r="B84" s="275"/>
      <c r="C84" s="275"/>
      <c r="D84" s="275"/>
      <c r="E84" s="275"/>
      <c r="F84" s="275"/>
      <c r="G84" s="275"/>
      <c r="H84" s="275"/>
      <c r="I84" s="275"/>
      <c r="J84" s="275"/>
      <c r="K84" s="275"/>
      <c r="L84" s="276"/>
      <c r="M84" s="22"/>
      <c r="N84" s="22"/>
      <c r="O84" s="272"/>
      <c r="P84" s="22"/>
      <c r="Q84" s="22"/>
      <c r="R84" s="22"/>
      <c r="S84" s="22"/>
      <c r="T84" s="22"/>
      <c r="U84" s="22"/>
      <c r="V84" s="22"/>
      <c r="W84" s="22"/>
      <c r="X84" s="22"/>
      <c r="Y84" s="22"/>
      <c r="Z84" s="22"/>
      <c r="AA84" s="22"/>
      <c r="AB84" s="22"/>
      <c r="AC84" s="3"/>
      <c r="AD84" s="296"/>
      <c r="AE84" s="296"/>
      <c r="AF84" s="296"/>
      <c r="AG84" s="296"/>
      <c r="AH84" s="296"/>
      <c r="AI84" s="296"/>
      <c r="AJ84" s="296"/>
      <c r="AK84" s="296"/>
      <c r="AL84" s="296"/>
      <c r="AM84" s="296"/>
      <c r="AN84" s="22"/>
      <c r="AO84" s="22"/>
    </row>
    <row r="85" spans="1:41" ht="27" customHeight="1" thickBot="1" x14ac:dyDescent="1.1000000000000001">
      <c r="A85" s="543" t="s">
        <v>124</v>
      </c>
      <c r="B85" s="544"/>
      <c r="C85" s="544"/>
      <c r="D85" s="544"/>
      <c r="E85" s="544"/>
      <c r="F85" s="544"/>
      <c r="G85" s="544"/>
      <c r="H85" s="544"/>
      <c r="I85" s="545" t="s">
        <v>135</v>
      </c>
      <c r="J85" s="546"/>
      <c r="K85" s="546"/>
      <c r="L85" s="545" t="s">
        <v>136</v>
      </c>
      <c r="M85" s="546"/>
      <c r="N85" s="547"/>
      <c r="O85" s="272"/>
      <c r="P85" s="22"/>
      <c r="Q85" s="22"/>
      <c r="R85" s="22"/>
      <c r="S85" s="22"/>
      <c r="T85" s="22"/>
      <c r="U85" s="22"/>
      <c r="V85" s="22"/>
      <c r="W85" s="22"/>
      <c r="X85" s="22"/>
      <c r="Y85" s="22"/>
      <c r="Z85" s="22"/>
      <c r="AA85" s="22"/>
      <c r="AB85" s="22"/>
      <c r="AC85" s="22"/>
      <c r="AD85" s="296"/>
      <c r="AE85" s="296"/>
      <c r="AF85" s="296"/>
      <c r="AG85" s="296"/>
      <c r="AH85" s="296"/>
      <c r="AI85" s="296"/>
      <c r="AJ85" s="296"/>
      <c r="AK85" s="296"/>
      <c r="AL85" s="296"/>
      <c r="AM85" s="296"/>
      <c r="AN85" s="22"/>
      <c r="AO85" s="22"/>
    </row>
    <row r="86" spans="1:41" ht="27" customHeight="1" x14ac:dyDescent="1.05">
      <c r="A86" s="522" t="s">
        <v>125</v>
      </c>
      <c r="B86" s="523"/>
      <c r="C86" s="523"/>
      <c r="D86" s="523"/>
      <c r="E86" s="523"/>
      <c r="F86" s="523"/>
      <c r="G86" s="523"/>
      <c r="H86" s="524"/>
      <c r="I86" s="518">
        <f>SUMIFS(Input[Cap Out n-Fund E&amp;G],Input[Institution Name],$A$1)+SUMIFS(Input[Cap Out n-Fund Desg],Input[Institution Name],$A$1)+SUMIFS(Input[Cap Out n-Fund Aux],Input[Institution Name],$A$1)+SUMIFS(Input[Cap Out n-Fund R Exp],Input[Institution Name],$A$1)+SUMIFS(Input[Cap Out n-Fund Loan],Input[Institution Name],$A$1)+SUMIFS(Input[Cap Out n-Fund Annuity],Input[Institution Name],$A$1)+SUMIFS(Input[Cap Out n-Fund Unexp],Input[Institution Name],$A$1)+SUMIFS(Input[Cap Out n-Fund R of Ind],Input[Institution Name],$A$1)+SUMIFS(Input[Cap Out n-Fund Inv in P],Input[Institution Name],$A$1)</f>
        <v>0</v>
      </c>
      <c r="J86" s="518"/>
      <c r="K86" s="518"/>
      <c r="L86" s="529">
        <f>IFERROR(ROUND(I86/$R$1,0),0)</f>
        <v>0</v>
      </c>
      <c r="M86" s="529"/>
      <c r="N86" s="530"/>
      <c r="O86" s="272"/>
      <c r="P86" s="22"/>
      <c r="Q86" s="22"/>
      <c r="R86" s="22"/>
      <c r="S86" s="22"/>
      <c r="T86" s="22"/>
      <c r="U86" s="22"/>
      <c r="V86" s="22"/>
      <c r="W86" s="22"/>
      <c r="X86" s="22"/>
      <c r="Y86" s="22"/>
      <c r="Z86" s="22"/>
      <c r="AA86" s="22"/>
      <c r="AB86" s="22"/>
      <c r="AC86" s="22"/>
      <c r="AD86" s="296"/>
      <c r="AE86" s="296"/>
      <c r="AF86" s="296"/>
      <c r="AG86" s="296"/>
      <c r="AH86" s="296"/>
      <c r="AI86" s="296"/>
      <c r="AJ86" s="296"/>
      <c r="AK86" s="296"/>
      <c r="AL86" s="296"/>
      <c r="AM86" s="296"/>
      <c r="AN86" s="22"/>
      <c r="AO86" s="22"/>
    </row>
    <row r="87" spans="1:41" ht="27" customHeight="1" x14ac:dyDescent="1.05">
      <c r="A87" s="525" t="s">
        <v>156</v>
      </c>
      <c r="B87" s="434"/>
      <c r="C87" s="434"/>
      <c r="D87" s="434"/>
      <c r="E87" s="434"/>
      <c r="F87" s="434"/>
      <c r="G87" s="434"/>
      <c r="H87" s="435"/>
      <c r="I87" s="519">
        <f>SUMIFS(Input[M&amp;Nm Xfrs E&amp;G],Input[Institution Name],$A$1)+SUMIFS(Input[M&amp;Nm Xfrs Desg],Input[Institution Name],$A$1)+SUMIFS(Input[M&amp;Nm Xfrs Aux],Input[Institution Name],$A$1)+SUMIFS(Input[M&amp;Nm Xfrs R Exp],Input[Institution Name],$A$1)+SUMIFS(Input[M&amp;Nm Xfrs Loan],Input[Institution Name],$A$1)+SUMIFS(Input[M&amp;Nm Xfrs Annuity],Input[Institution Name],$A$1)+SUMIFS(Input[M&amp;Nm Xfrs Unexp],Input[Institution Name],$A$1)+SUMIFS(Input[M&amp;Nm Xfrs R of Ind],Input[Institution Name],$A$1)+SUMIFS(Input[M&amp;Nm Xfrs Inv in P],Input[Institution Name],$A$1)</f>
        <v>0</v>
      </c>
      <c r="J87" s="519"/>
      <c r="K87" s="519"/>
      <c r="L87" s="432">
        <f t="shared" ref="L87:L89" si="17">IFERROR(ROUND(I87/$R$1,0),0)</f>
        <v>0</v>
      </c>
      <c r="M87" s="432"/>
      <c r="N87" s="536"/>
      <c r="O87" s="272"/>
      <c r="P87" s="22"/>
      <c r="Q87" s="22"/>
      <c r="R87" s="22"/>
      <c r="S87" s="22"/>
      <c r="T87" s="22"/>
      <c r="U87" s="22"/>
      <c r="V87" s="22"/>
      <c r="W87" s="22"/>
      <c r="X87" s="22"/>
      <c r="Y87" s="22"/>
      <c r="Z87" s="22"/>
      <c r="AA87" s="22"/>
      <c r="AB87" s="22"/>
      <c r="AC87" s="22"/>
      <c r="AD87" s="296"/>
      <c r="AE87" s="296"/>
      <c r="AF87" s="296"/>
      <c r="AG87" s="296"/>
      <c r="AH87" s="296"/>
      <c r="AI87" s="296"/>
      <c r="AJ87" s="296"/>
      <c r="AK87" s="296"/>
      <c r="AL87" s="296"/>
      <c r="AM87" s="296"/>
      <c r="AN87" s="22"/>
      <c r="AO87" s="22"/>
    </row>
    <row r="88" spans="1:41" ht="27" customHeight="1" x14ac:dyDescent="1.05">
      <c r="A88" s="525" t="s">
        <v>157</v>
      </c>
      <c r="B88" s="434"/>
      <c r="C88" s="434"/>
      <c r="D88" s="434"/>
      <c r="E88" s="434"/>
      <c r="F88" s="434"/>
      <c r="G88" s="434"/>
      <c r="H88" s="435"/>
      <c r="I88" s="519">
        <f>SUMIFS(Input[Bond Xfrs In E&amp;G],Input[Institution Name],$A$1)+SUMIFS(Input[Bond Xfrs In Desg],Input[Institution Name],$A$1)+SUMIFS(Input[Bond Xfrs In Aux],Input[Institution Name],$A$1)+SUMIFS(Input[Bond Xfrs In R Exp],Input[Institution Name],$A$1)+SUMIFS(Input[Bond Xfrs In Loan],Input[Institution Name],$A$1)+SUMIFS(Input[Bond Xfrs In Annuity],Input[Institution Name],$A$1)+SUMIFS(Input[Bond Xfrs In Unexp],Input[Institution Name],$A$1)+SUMIFS(Input[Bond Xfrs In R of Ind],Input[Institution Name],$A$1)+SUMIFS(Input[Bond Xfrs In Inv in P],Input[Institution Name],$A$1)</f>
        <v>0</v>
      </c>
      <c r="J88" s="519"/>
      <c r="K88" s="519"/>
      <c r="L88" s="432">
        <f t="shared" si="17"/>
        <v>0</v>
      </c>
      <c r="M88" s="432"/>
      <c r="N88" s="536"/>
      <c r="O88" s="272"/>
      <c r="P88" s="22"/>
      <c r="Q88" s="22"/>
      <c r="R88" s="22"/>
      <c r="S88" s="22"/>
      <c r="T88" s="22"/>
      <c r="U88" s="22"/>
      <c r="V88" s="22"/>
      <c r="W88" s="22"/>
      <c r="X88" s="22"/>
      <c r="Y88" s="22"/>
      <c r="Z88" s="22"/>
      <c r="AA88" s="22"/>
      <c r="AB88" s="22"/>
      <c r="AC88" s="22"/>
      <c r="AD88" s="296"/>
      <c r="AE88" s="296"/>
      <c r="AF88" s="296"/>
      <c r="AG88" s="296"/>
      <c r="AH88" s="296"/>
      <c r="AI88" s="296"/>
      <c r="AJ88" s="296"/>
      <c r="AK88" s="296"/>
      <c r="AL88" s="296"/>
      <c r="AM88" s="296"/>
      <c r="AN88" s="22"/>
      <c r="AO88" s="22"/>
    </row>
    <row r="89" spans="1:41" ht="27" customHeight="1" thickBot="1" x14ac:dyDescent="1.1000000000000001">
      <c r="A89" s="525" t="s">
        <v>158</v>
      </c>
      <c r="B89" s="434"/>
      <c r="C89" s="434"/>
      <c r="D89" s="434"/>
      <c r="E89" s="434"/>
      <c r="F89" s="434"/>
      <c r="G89" s="434"/>
      <c r="H89" s="435"/>
      <c r="I89" s="520">
        <f>SUMIFS(Input[Debt Srv Pay E&amp;G],Input[Institution Name],$A$1)+SUMIFS(Input[Debt Srv Pay Desg],Input[Institution Name],$A$1)+SUMIFS(Input[Debt Srv Pay Aux],Input[Institution Name],$A$1)+SUMIFS(Input[Debt Srv Pay R Exp],Input[Institution Name],$A$1)+SUMIFS(Input[Debt Srv Pay Loan],Input[Institution Name],$A$1)+SUMIFS(Input[Debt Srv Pay Annuity],Input[Institution Name],$A$1)+SUMIFS(Input[Debt Srv Pay Unexp],Input[Institution Name],$A$1)+SUMIFS(Input[Debt Srv Pay R of Ind],Input[Institution Name],$A$1)+SUMIFS(Input[Debt Srv Pay Inv in P],Input[Institution Name],$A$1)</f>
        <v>0</v>
      </c>
      <c r="J89" s="520"/>
      <c r="K89" s="520"/>
      <c r="L89" s="534">
        <f t="shared" si="17"/>
        <v>0</v>
      </c>
      <c r="M89" s="534"/>
      <c r="N89" s="535"/>
      <c r="O89" s="272"/>
      <c r="P89" s="22"/>
      <c r="Q89" s="22"/>
      <c r="R89" s="22"/>
      <c r="S89" s="22"/>
      <c r="T89" s="22"/>
      <c r="U89" s="22"/>
      <c r="V89" s="22"/>
      <c r="W89" s="22"/>
      <c r="X89" s="22"/>
      <c r="Y89" s="22"/>
      <c r="Z89" s="22"/>
      <c r="AA89" s="22"/>
      <c r="AB89" s="22"/>
      <c r="AC89" s="22"/>
      <c r="AD89" s="296"/>
      <c r="AE89" s="296"/>
      <c r="AF89" s="296"/>
      <c r="AG89" s="296"/>
      <c r="AH89" s="296"/>
      <c r="AI89" s="296"/>
      <c r="AJ89" s="296"/>
      <c r="AK89" s="296"/>
      <c r="AL89" s="296"/>
      <c r="AM89" s="296"/>
      <c r="AN89" s="22"/>
      <c r="AO89" s="22"/>
    </row>
    <row r="90" spans="1:41" ht="27" customHeight="1" thickBot="1" x14ac:dyDescent="1.1000000000000001">
      <c r="A90" s="509" t="s">
        <v>99</v>
      </c>
      <c r="B90" s="510"/>
      <c r="C90" s="510"/>
      <c r="D90" s="510"/>
      <c r="E90" s="510"/>
      <c r="F90" s="510"/>
      <c r="G90" s="510"/>
      <c r="H90" s="510"/>
      <c r="I90" s="516">
        <f>SUM(I86:I89)</f>
        <v>0</v>
      </c>
      <c r="J90" s="516"/>
      <c r="K90" s="516"/>
      <c r="L90" s="516">
        <f>IFERROR(ROUND(I90/$R$1,0),0)</f>
        <v>0</v>
      </c>
      <c r="M90" s="516"/>
      <c r="N90" s="517"/>
      <c r="O90" s="272"/>
      <c r="P90" s="22"/>
      <c r="Q90" s="22"/>
      <c r="R90" s="22"/>
      <c r="S90" s="22"/>
      <c r="T90" s="22"/>
      <c r="U90" s="22"/>
      <c r="V90" s="22"/>
      <c r="W90" s="22"/>
      <c r="X90" s="22"/>
      <c r="Y90" s="22"/>
      <c r="Z90" s="22"/>
      <c r="AA90" s="22"/>
      <c r="AB90" s="22"/>
      <c r="AC90" s="22"/>
      <c r="AD90" s="296"/>
      <c r="AE90" s="296"/>
      <c r="AF90" s="296"/>
      <c r="AG90" s="296"/>
      <c r="AH90" s="296"/>
      <c r="AI90" s="296"/>
      <c r="AJ90" s="296"/>
      <c r="AK90" s="296"/>
      <c r="AL90" s="296"/>
      <c r="AM90" s="296"/>
      <c r="AN90" s="22"/>
      <c r="AO90" s="22"/>
    </row>
    <row r="91" spans="1:41" ht="27" customHeight="1" thickBot="1" x14ac:dyDescent="1.1000000000000001">
      <c r="A91" s="253"/>
      <c r="B91" s="253"/>
      <c r="C91" s="253"/>
      <c r="D91" s="253"/>
      <c r="E91" s="253"/>
      <c r="F91" s="253"/>
      <c r="G91" s="253"/>
      <c r="H91" s="253"/>
      <c r="I91" s="9"/>
      <c r="J91" s="9"/>
      <c r="K91" s="9"/>
      <c r="L91" s="9"/>
      <c r="M91" s="9"/>
      <c r="N91" s="9"/>
      <c r="O91" s="272"/>
      <c r="P91" s="22"/>
      <c r="Q91" s="22"/>
      <c r="R91" s="22"/>
      <c r="S91" s="22"/>
      <c r="T91" s="22"/>
      <c r="U91" s="22"/>
      <c r="V91" s="22"/>
      <c r="W91" s="22"/>
      <c r="X91" s="22"/>
      <c r="Y91" s="22"/>
      <c r="Z91" s="22"/>
      <c r="AA91" s="22"/>
      <c r="AB91" s="22"/>
      <c r="AC91" s="22"/>
      <c r="AD91" s="296"/>
      <c r="AE91" s="296"/>
      <c r="AF91" s="296"/>
      <c r="AG91" s="296"/>
      <c r="AH91" s="296"/>
      <c r="AI91" s="296"/>
      <c r="AJ91" s="296"/>
      <c r="AK91" s="296"/>
      <c r="AL91" s="296"/>
      <c r="AM91" s="296"/>
      <c r="AN91" s="22"/>
      <c r="AO91" s="22"/>
    </row>
    <row r="92" spans="1:41" ht="27" customHeight="1" thickBot="1" x14ac:dyDescent="1.1000000000000001">
      <c r="A92" s="543" t="s">
        <v>126</v>
      </c>
      <c r="B92" s="544"/>
      <c r="C92" s="544"/>
      <c r="D92" s="544"/>
      <c r="E92" s="544"/>
      <c r="F92" s="544"/>
      <c r="G92" s="544"/>
      <c r="H92" s="544"/>
      <c r="I92" s="545" t="s">
        <v>135</v>
      </c>
      <c r="J92" s="546"/>
      <c r="K92" s="546"/>
      <c r="L92" s="545" t="s">
        <v>136</v>
      </c>
      <c r="M92" s="546"/>
      <c r="N92" s="547"/>
      <c r="O92" s="272"/>
      <c r="P92" s="22"/>
      <c r="Q92" s="22"/>
      <c r="R92" s="22"/>
      <c r="S92" s="22"/>
      <c r="T92" s="22"/>
      <c r="U92" s="22"/>
      <c r="V92" s="22"/>
      <c r="W92" s="22"/>
      <c r="X92" s="22"/>
      <c r="Y92" s="22"/>
      <c r="Z92" s="22"/>
      <c r="AA92" s="22"/>
      <c r="AB92" s="22"/>
      <c r="AC92" s="22"/>
      <c r="AD92" s="296"/>
      <c r="AE92" s="296"/>
      <c r="AF92" s="296"/>
      <c r="AG92" s="296"/>
      <c r="AH92" s="296"/>
      <c r="AI92" s="296"/>
      <c r="AJ92" s="296"/>
      <c r="AK92" s="296"/>
      <c r="AL92" s="296"/>
      <c r="AM92" s="296"/>
      <c r="AN92" s="22"/>
      <c r="AO92" s="22"/>
    </row>
    <row r="93" spans="1:41" ht="27" customHeight="1" x14ac:dyDescent="1.05">
      <c r="A93" s="522" t="s">
        <v>159</v>
      </c>
      <c r="B93" s="523"/>
      <c r="C93" s="523"/>
      <c r="D93" s="523"/>
      <c r="E93" s="523"/>
      <c r="F93" s="523"/>
      <c r="G93" s="523"/>
      <c r="H93" s="524"/>
      <c r="I93" s="518">
        <f>SUMIFS(Input[Unreal G/L E&amp;G],Input[Institution Name],$A$1)+SUMIFS(Input[Unreal G/L Desg],Input[Institution Name],$A$1)+SUMIFS(Input[Unreal G/L Aux],Input[Institution Name],$A$1)+SUMIFS(Input[Unreal G/L R Exp],Input[Institution Name],$A$1)+SUMIFS(Input[Unreal G/L Loan],Input[Institution Name],$A$1)+SUMIFS(Input[Unreal G/L Annuity],Input[Institution Name],$A$1)+SUMIFS(Input[Unreal G/L Unexp],Input[Institution Name],$A$1)+SUMIFS(Input[Unreal G/L R of Ind],Input[Institution Name],$A$1)+SUMIFS(Input[Unreal G/L Inv in P],Input[Institution Name],$A$1)</f>
        <v>0</v>
      </c>
      <c r="J93" s="518"/>
      <c r="K93" s="518"/>
      <c r="L93" s="529">
        <f>IFERROR(ROUND(I93/$R$1,0),0)</f>
        <v>0</v>
      </c>
      <c r="M93" s="529"/>
      <c r="N93" s="530"/>
      <c r="O93" s="272"/>
      <c r="P93" s="22"/>
      <c r="Q93" s="22"/>
      <c r="R93" s="22"/>
      <c r="S93" s="22"/>
      <c r="T93" s="22"/>
      <c r="U93" s="22"/>
      <c r="V93" s="22"/>
      <c r="W93" s="22"/>
      <c r="X93" s="22"/>
      <c r="Y93" s="22"/>
      <c r="Z93" s="22"/>
      <c r="AA93" s="22"/>
      <c r="AB93" s="22"/>
      <c r="AC93" s="22"/>
      <c r="AD93" s="296"/>
      <c r="AE93" s="296"/>
      <c r="AF93" s="296"/>
      <c r="AG93" s="296"/>
      <c r="AH93" s="296"/>
      <c r="AI93" s="296"/>
      <c r="AJ93" s="296"/>
      <c r="AK93" s="296"/>
      <c r="AL93" s="296"/>
      <c r="AM93" s="296"/>
      <c r="AN93" s="22"/>
      <c r="AO93" s="22"/>
    </row>
    <row r="94" spans="1:41" ht="27" customHeight="1" thickBot="1" x14ac:dyDescent="1.1000000000000001">
      <c r="A94" s="525" t="s">
        <v>160</v>
      </c>
      <c r="B94" s="434"/>
      <c r="C94" s="434"/>
      <c r="D94" s="434"/>
      <c r="E94" s="434"/>
      <c r="F94" s="434"/>
      <c r="G94" s="434"/>
      <c r="H94" s="435"/>
      <c r="I94" s="520">
        <f>SUMIFS(Input[Add End E&amp;G],Input[Institution Name],$A$1)+SUMIFS(Input[Add End Desg],Input[Institution Name],$A$1)+SUMIFS(Input[Add End Aux],Input[Institution Name],$A$1)+SUMIFS(Input[Add End R Exp],Input[Institution Name],$A$1)+SUMIFS(Input[Add End Loan],Input[Institution Name],$A$1)+SUMIFS(Input[Add End Annuity],Input[Institution Name],$A$1)+SUMIFS(Input[Add End Unexp],Input[Institution Name],$A$1)+SUMIFS(Input[Add End R of Ind],Input[Institution Name],$A$1)+SUMIFS(Input[Add End Inv in P],Input[Institution Name],$A$1)</f>
        <v>0</v>
      </c>
      <c r="J94" s="520"/>
      <c r="K94" s="520"/>
      <c r="L94" s="534">
        <f t="shared" ref="L94" si="18">IFERROR(ROUND(I94/$R$1,0),0)</f>
        <v>0</v>
      </c>
      <c r="M94" s="534"/>
      <c r="N94" s="535"/>
      <c r="O94" s="272"/>
      <c r="P94" s="22"/>
      <c r="Q94" s="22"/>
      <c r="R94" s="22"/>
      <c r="S94" s="22"/>
      <c r="T94" s="22"/>
      <c r="U94" s="22"/>
      <c r="V94" s="22"/>
      <c r="W94" s="22"/>
      <c r="X94" s="22"/>
      <c r="Y94" s="22"/>
      <c r="Z94" s="22"/>
      <c r="AA94" s="22"/>
      <c r="AB94" s="22"/>
      <c r="AC94" s="22"/>
      <c r="AD94" s="28"/>
      <c r="AE94" s="28"/>
      <c r="AF94" s="28"/>
      <c r="AG94" s="28"/>
      <c r="AH94" s="28"/>
      <c r="AI94" s="28"/>
      <c r="AJ94" s="28"/>
      <c r="AK94" s="28"/>
      <c r="AL94" s="28"/>
      <c r="AM94" s="22"/>
      <c r="AN94" s="22"/>
      <c r="AO94" s="22"/>
    </row>
    <row r="95" spans="1:41" ht="27" customHeight="1" thickBot="1" x14ac:dyDescent="1.1000000000000001">
      <c r="A95" s="509" t="s">
        <v>99</v>
      </c>
      <c r="B95" s="510"/>
      <c r="C95" s="510"/>
      <c r="D95" s="510"/>
      <c r="E95" s="510"/>
      <c r="F95" s="510"/>
      <c r="G95" s="510"/>
      <c r="H95" s="510"/>
      <c r="I95" s="516">
        <f>SUM(I93:I94)</f>
        <v>0</v>
      </c>
      <c r="J95" s="516"/>
      <c r="K95" s="516"/>
      <c r="L95" s="516">
        <f>IFERROR(ROUND(I95/$R$1,0),0)</f>
        <v>0</v>
      </c>
      <c r="M95" s="516"/>
      <c r="N95" s="517"/>
      <c r="O95" s="272"/>
      <c r="P95" s="22"/>
      <c r="Q95" s="22"/>
      <c r="R95" s="22"/>
      <c r="S95" s="22"/>
      <c r="T95" s="22"/>
      <c r="U95" s="22"/>
      <c r="V95" s="22"/>
      <c r="W95" s="22"/>
      <c r="X95" s="22"/>
      <c r="Y95" s="22"/>
      <c r="Z95" s="22"/>
      <c r="AA95" s="22"/>
      <c r="AB95" s="22"/>
      <c r="AC95" s="22"/>
      <c r="AD95" s="28"/>
      <c r="AE95" s="28"/>
      <c r="AF95" s="28"/>
      <c r="AG95" s="28"/>
      <c r="AH95" s="28"/>
      <c r="AI95" s="28"/>
      <c r="AJ95" s="28"/>
      <c r="AK95" s="28"/>
      <c r="AL95" s="28"/>
      <c r="AM95" s="22"/>
      <c r="AN95" s="22"/>
      <c r="AO95" s="22"/>
    </row>
    <row r="96" spans="1:41" ht="27" customHeight="1" thickBot="1" x14ac:dyDescent="1.1000000000000001">
      <c r="A96" s="274"/>
      <c r="B96" s="275"/>
      <c r="C96" s="275"/>
      <c r="D96" s="275"/>
      <c r="E96" s="275"/>
      <c r="F96" s="275"/>
      <c r="G96" s="275"/>
      <c r="H96" s="275"/>
      <c r="I96" s="275"/>
      <c r="J96" s="275"/>
      <c r="K96" s="275"/>
      <c r="L96" s="276"/>
      <c r="M96" s="22"/>
      <c r="N96" s="22"/>
      <c r="O96" s="272"/>
      <c r="P96" s="22"/>
      <c r="Q96" s="22"/>
      <c r="R96" s="22"/>
      <c r="S96" s="22"/>
      <c r="T96" s="22"/>
      <c r="U96" s="22"/>
      <c r="V96" s="22"/>
      <c r="W96" s="22"/>
      <c r="X96" s="22"/>
      <c r="Y96" s="22"/>
      <c r="Z96" s="22"/>
      <c r="AA96" s="22"/>
      <c r="AB96" s="22"/>
      <c r="AC96" s="22"/>
      <c r="AD96" s="28"/>
      <c r="AE96" s="28"/>
      <c r="AF96" s="28"/>
      <c r="AG96" s="28"/>
      <c r="AH96" s="28"/>
      <c r="AI96" s="28"/>
      <c r="AJ96" s="28"/>
      <c r="AK96" s="28"/>
      <c r="AL96" s="28"/>
      <c r="AM96" s="22"/>
      <c r="AN96" s="22"/>
      <c r="AO96" s="22"/>
    </row>
    <row r="97" spans="1:41" ht="27" customHeight="1" thickBot="1" x14ac:dyDescent="1.1000000000000001">
      <c r="A97" s="509" t="s">
        <v>1630</v>
      </c>
      <c r="B97" s="510"/>
      <c r="C97" s="510"/>
      <c r="D97" s="510"/>
      <c r="E97" s="510"/>
      <c r="F97" s="510"/>
      <c r="G97" s="510"/>
      <c r="H97" s="510"/>
      <c r="I97" s="516">
        <f>I67-I83+I90+I95</f>
        <v>0</v>
      </c>
      <c r="J97" s="516"/>
      <c r="K97" s="516"/>
      <c r="L97" s="516">
        <f>IFERROR(ROUND(I97/$R$1,0),0)</f>
        <v>0</v>
      </c>
      <c r="M97" s="516"/>
      <c r="N97" s="517"/>
      <c r="O97" s="272"/>
      <c r="P97" s="299"/>
      <c r="Q97" s="299"/>
      <c r="R97" s="299"/>
      <c r="S97" s="299"/>
      <c r="T97" s="299"/>
      <c r="U97" s="299"/>
      <c r="V97" s="299"/>
      <c r="W97" s="299"/>
      <c r="X97" s="299"/>
      <c r="Y97" s="299"/>
      <c r="Z97" s="299"/>
      <c r="AA97" s="299"/>
      <c r="AB97" s="299"/>
      <c r="AC97" s="299"/>
      <c r="AD97" s="28"/>
      <c r="AE97" s="28"/>
      <c r="AF97" s="28"/>
      <c r="AG97" s="28"/>
      <c r="AH97" s="28"/>
      <c r="AI97" s="28"/>
      <c r="AJ97" s="28"/>
      <c r="AK97" s="28"/>
      <c r="AL97" s="28"/>
      <c r="AM97" s="22"/>
      <c r="AN97" s="22"/>
      <c r="AO97" s="22"/>
    </row>
    <row r="98" spans="1:41" ht="27" customHeight="1" thickBot="1" x14ac:dyDescent="1.1000000000000001">
      <c r="A98" s="274"/>
      <c r="B98" s="275"/>
      <c r="C98" s="275"/>
      <c r="D98" s="275"/>
      <c r="E98" s="275"/>
      <c r="F98" s="275"/>
      <c r="G98" s="275"/>
      <c r="H98" s="275"/>
      <c r="I98" s="275"/>
      <c r="J98" s="275"/>
      <c r="K98" s="275"/>
      <c r="L98" s="276"/>
      <c r="M98" s="22"/>
      <c r="N98" s="22"/>
      <c r="O98" s="272"/>
      <c r="P98" s="299"/>
      <c r="Q98" s="299"/>
      <c r="R98" s="299"/>
      <c r="S98" s="299"/>
      <c r="T98" s="299"/>
      <c r="U98" s="299"/>
      <c r="V98" s="299"/>
      <c r="W98" s="299"/>
      <c r="X98" s="299"/>
      <c r="Y98" s="299"/>
      <c r="Z98" s="299"/>
      <c r="AA98" s="299"/>
      <c r="AB98" s="299"/>
      <c r="AC98" s="299"/>
      <c r="AD98" s="299"/>
      <c r="AE98" s="299"/>
      <c r="AF98" s="299"/>
      <c r="AG98" s="299"/>
      <c r="AH98" s="299"/>
      <c r="AI98" s="299"/>
      <c r="AJ98" s="299"/>
      <c r="AK98" s="299"/>
      <c r="AL98" s="299"/>
      <c r="AM98" s="299"/>
      <c r="AN98" s="299"/>
      <c r="AO98" s="22"/>
    </row>
    <row r="99" spans="1:41" ht="27" customHeight="1" thickBot="1" x14ac:dyDescent="1.1000000000000001">
      <c r="A99" s="543"/>
      <c r="B99" s="544"/>
      <c r="C99" s="544"/>
      <c r="D99" s="544"/>
      <c r="E99" s="544"/>
      <c r="F99" s="544"/>
      <c r="G99" s="544"/>
      <c r="H99" s="544"/>
      <c r="I99" s="545" t="s">
        <v>135</v>
      </c>
      <c r="J99" s="546"/>
      <c r="K99" s="546"/>
      <c r="L99" s="545" t="s">
        <v>136</v>
      </c>
      <c r="M99" s="546"/>
      <c r="N99" s="547"/>
      <c r="O99" s="272"/>
      <c r="P99" s="28"/>
      <c r="Q99" s="28"/>
      <c r="R99" s="28"/>
      <c r="S99" s="28"/>
      <c r="T99" s="28"/>
      <c r="U99" s="28"/>
      <c r="V99" s="28"/>
      <c r="W99" s="28"/>
      <c r="X99" s="28"/>
      <c r="Y99" s="28"/>
      <c r="Z99" s="28"/>
      <c r="AA99" s="28"/>
      <c r="AB99" s="28"/>
      <c r="AC99" s="28"/>
      <c r="AD99" s="28"/>
      <c r="AE99" s="28"/>
      <c r="AF99" s="28"/>
      <c r="AG99" s="28"/>
      <c r="AH99" s="28"/>
      <c r="AI99" s="28"/>
      <c r="AJ99" s="28"/>
      <c r="AK99" s="28"/>
      <c r="AL99" s="28"/>
      <c r="AM99" s="28"/>
      <c r="AN99" s="28"/>
      <c r="AO99" s="22"/>
    </row>
    <row r="100" spans="1:41" ht="27" customHeight="1" x14ac:dyDescent="1.05">
      <c r="A100" s="522" t="s">
        <v>127</v>
      </c>
      <c r="B100" s="523"/>
      <c r="C100" s="523"/>
      <c r="D100" s="523"/>
      <c r="E100" s="523"/>
      <c r="F100" s="523"/>
      <c r="G100" s="523"/>
      <c r="H100" s="524"/>
      <c r="I100" s="518">
        <f>SUMIFS(Input[Bond Proceeds E&amp;G],Input[Institution Name],$A$1)+SUMIFS(Input[Bond Proceeds Desg],Input[Institution Name],$A$1)+SUMIFS(Input[Bond Proceeds Aux],Input[Institution Name],$A$1)+SUMIFS(Input[Bond Proceeds R Exp],Input[Institution Name],$A$1)+SUMIFS(Input[Bond Proceeds Loan],Input[Institution Name],$A$1)+SUMIFS(Input[Bond Proceeds Annuity],Input[Institution Name],$A$1)+SUMIFS(Input[Bond Proceeds Unexp],Input[Institution Name],$A$1)+SUMIFS(Input[Bond Proceeds R of Ind],Input[Institution Name],$A$1)+SUMIFS(Input[Bond Proceeds Inv in P],Input[Institution Name],$A$1)</f>
        <v>0</v>
      </c>
      <c r="J100" s="518"/>
      <c r="K100" s="518"/>
      <c r="L100" s="529">
        <f t="shared" ref="L100:L105" si="19">IFERROR(I100/$R$1,0)</f>
        <v>0</v>
      </c>
      <c r="M100" s="529"/>
      <c r="N100" s="530"/>
      <c r="O100" s="272"/>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c r="AN100" s="28"/>
      <c r="AO100" s="22"/>
    </row>
    <row r="101" spans="1:41" ht="27" customHeight="1" x14ac:dyDescent="1.05">
      <c r="A101" s="525" t="s">
        <v>128</v>
      </c>
      <c r="B101" s="434"/>
      <c r="C101" s="434"/>
      <c r="D101" s="434"/>
      <c r="E101" s="434"/>
      <c r="F101" s="434"/>
      <c r="G101" s="434"/>
      <c r="H101" s="435"/>
      <c r="I101" s="519">
        <f>SUMIFS(Input[Dep Exp E&amp;G],Input[Institution Name],$A$1)+SUMIFS(Input[Dep Exp Desg],Input[Institution Name],$A$1)+SUMIFS(Input[Dep Exp Aux],Input[Institution Name],$A$1)+SUMIFS(Input[Dep Exp R Exp],Input[Institution Name],$A$1)+SUMIFS(Input[Dep Exp Loan],Input[Institution Name],$A$1)+SUMIFS(Input[Dep Exp Annuity],Input[Institution Name],$A$1)+SUMIFS(Input[Dep Exp Unexp],Input[Institution Name],$A$1)+SUMIFS(Input[Dep Exp R of Ind],Input[Institution Name],$A$1)+SUMIFS(Input[Dep Exp Inv in P],Input[Institution Name],$A$1)</f>
        <v>0</v>
      </c>
      <c r="J101" s="519"/>
      <c r="K101" s="519"/>
      <c r="L101" s="432">
        <f t="shared" si="19"/>
        <v>0</v>
      </c>
      <c r="M101" s="432"/>
      <c r="N101" s="536"/>
      <c r="O101" s="272"/>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c r="AN101" s="28"/>
      <c r="AO101" s="22"/>
    </row>
    <row r="102" spans="1:41" ht="27" customHeight="1" x14ac:dyDescent="1.05">
      <c r="A102" s="525" t="s">
        <v>129</v>
      </c>
      <c r="B102" s="434"/>
      <c r="C102" s="434"/>
      <c r="D102" s="434"/>
      <c r="E102" s="434"/>
      <c r="F102" s="434"/>
      <c r="G102" s="434"/>
      <c r="H102" s="435"/>
      <c r="I102" s="519">
        <f>SUMIFS(Input[Xfr Cap Sys E&amp;G],Input[Institution Name],$A$1)+SUMIFS(Input[Xfr Cap Sys Desg],Input[Institution Name],$A$1)+SUMIFS(Input[Xfr Cap Sys Aux],Input[Institution Name],$A$1)+SUMIFS(Input[Xfr Cap Sys R Exp],Input[Institution Name],$A$1)+SUMIFS(Input[Xfr Cap Sys Loan],Input[Institution Name],$A$1)+SUMIFS(Input[Xfr Cap Sys Annuity],Input[Institution Name],$A$1)+SUMIFS(Input[Xfr Cap Sys Unexp],Input[Institution Name],$A$1)+SUMIFS(Input[Xfr Cap Sys R of Ind],Input[Institution Name],$A$1)+SUMIFS(Input[Xfr Cap Sys Inv in P],Input[Institution Name],$A$1)</f>
        <v>0</v>
      </c>
      <c r="J102" s="519"/>
      <c r="K102" s="519"/>
      <c r="L102" s="432">
        <f t="shared" si="19"/>
        <v>0</v>
      </c>
      <c r="M102" s="432"/>
      <c r="N102" s="536"/>
      <c r="O102" s="272"/>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c r="AN102" s="28"/>
      <c r="AO102" s="22"/>
    </row>
    <row r="103" spans="1:41" ht="27" customHeight="1" x14ac:dyDescent="1.05">
      <c r="A103" s="525" t="s">
        <v>130</v>
      </c>
      <c r="B103" s="434"/>
      <c r="C103" s="434"/>
      <c r="D103" s="434"/>
      <c r="E103" s="434"/>
      <c r="F103" s="434"/>
      <c r="G103" s="434"/>
      <c r="H103" s="435"/>
      <c r="I103" s="519">
        <f>SUMIFS(Input[OPEB Exp E&amp;G],Input[Institution Name],$A$1)+SUMIFS(Input[OPEB Exp Desg],Input[Institution Name],$A$1)+SUMIFS(Input[OPEB Exp Aux],Input[Institution Name],$A$1)+SUMIFS(Input[OPEB Exp R Exp],Input[Institution Name],$A$1)+SUMIFS(Input[OPEB Exp Loan],Input[Institution Name],$A$1)+SUMIFS(Input[OPEB Exp Annuity],Input[Institution Name],$A$1)+SUMIFS(Input[OPEB Exp Unexp],Input[Institution Name],$A$1)+SUMIFS(Input[OPEB Exp R of Ind],Input[Institution Name],$A$1)+SUMIFS(Input[OPEB Exp Inv in P],Input[Institution Name],$A$1)</f>
        <v>0</v>
      </c>
      <c r="J103" s="519"/>
      <c r="K103" s="519"/>
      <c r="L103" s="432">
        <f t="shared" si="19"/>
        <v>0</v>
      </c>
      <c r="M103" s="432"/>
      <c r="N103" s="536"/>
      <c r="O103" s="272"/>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c r="AN103" s="28"/>
      <c r="AO103" s="22"/>
    </row>
    <row r="104" spans="1:41" ht="27" customHeight="1" x14ac:dyDescent="1.05">
      <c r="A104" s="525" t="s">
        <v>131</v>
      </c>
      <c r="B104" s="434"/>
      <c r="C104" s="434"/>
      <c r="D104" s="434"/>
      <c r="E104" s="434"/>
      <c r="F104" s="434"/>
      <c r="G104" s="434"/>
      <c r="H104" s="435"/>
      <c r="I104" s="519">
        <f>SUMIFS(Input[Non-Cash Cap E&amp;G],Input[Institution Name],$A$1)+SUMIFS(Input[Non-Cash Cap Desg],Input[Institution Name],$A$1)+SUMIFS(Input[Non-Cash Cap Aux],Input[Institution Name],$A$1)+SUMIFS(Input[Non-Cash Cap R Exp],Input[Institution Name],$A$1)+SUMIFS(Input[Non-Cash Cap Loan],Input[Institution Name],$A$1)+SUMIFS(Input[Non-Cash Cap Annuity],Input[Institution Name],$A$1)+SUMIFS(Input[Non-Cash Cap Unexp],Input[Institution Name],$A$1)+SUMIFS(Input[Non-Cash Cap R of Ind],Input[Institution Name],$A$1)+SUMIFS(Input[Non-Cash Cap Inv in P],Input[Institution Name],$A$1)</f>
        <v>0</v>
      </c>
      <c r="J104" s="519"/>
      <c r="K104" s="519"/>
      <c r="L104" s="432">
        <f t="shared" si="19"/>
        <v>0</v>
      </c>
      <c r="M104" s="432"/>
      <c r="N104" s="536"/>
      <c r="O104" s="272"/>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c r="AN104" s="28"/>
      <c r="AO104" s="22"/>
    </row>
    <row r="105" spans="1:41" ht="27" customHeight="1" thickBot="1" x14ac:dyDescent="1.1000000000000001">
      <c r="A105" s="525" t="s">
        <v>132</v>
      </c>
      <c r="B105" s="434"/>
      <c r="C105" s="434"/>
      <c r="D105" s="434"/>
      <c r="E105" s="434"/>
      <c r="F105" s="434"/>
      <c r="G105" s="434"/>
      <c r="H105" s="435"/>
      <c r="I105" s="520">
        <f>SUMIFS(Input[Cap Out E&amp;G],Input[Institution Name],$A$1)+SUMIFS(Input[Cap Out Desg],Input[Institution Name],$A$1)+SUMIFS(Input[Cap Out Aux],Input[Institution Name],$A$1)+SUMIFS(Input[Cap Out R Exp],Input[Institution Name],$A$1)+SUMIFS(Input[Cap Out Loan],Input[Institution Name],$A$1)+SUMIFS(Input[Cap Out Annuity],Input[Institution Name],$A$1)+SUMIFS(Input[Cap Out Unexp],Input[Institution Name],$A$1)+SUMIFS(Input[Cap Out R of Ind],Input[Institution Name],$A$1)+SUMIFS(Input[Cap Out Inv in P],Input[Institution Name],$A$1)</f>
        <v>0</v>
      </c>
      <c r="J105" s="520"/>
      <c r="K105" s="520"/>
      <c r="L105" s="534">
        <f t="shared" si="19"/>
        <v>0</v>
      </c>
      <c r="M105" s="534"/>
      <c r="N105" s="535"/>
      <c r="O105" s="272"/>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c r="AN105" s="28"/>
      <c r="AO105" s="22"/>
    </row>
    <row r="106" spans="1:41" ht="27" customHeight="1" thickBot="1" x14ac:dyDescent="1.1000000000000001">
      <c r="A106" s="509" t="s">
        <v>728</v>
      </c>
      <c r="B106" s="510"/>
      <c r="C106" s="510"/>
      <c r="D106" s="510"/>
      <c r="E106" s="510"/>
      <c r="F106" s="510"/>
      <c r="G106" s="510"/>
      <c r="H106" s="510"/>
      <c r="I106" s="516">
        <f>SUM(I97,I100:I105)</f>
        <v>0</v>
      </c>
      <c r="J106" s="516"/>
      <c r="K106" s="516"/>
      <c r="L106" s="516">
        <f>IFERROR(ROUND(I106/$R$1,0),0)</f>
        <v>0</v>
      </c>
      <c r="M106" s="516"/>
      <c r="N106" s="517"/>
      <c r="O106" s="272"/>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c r="AN106" s="28"/>
      <c r="AO106" s="22"/>
    </row>
    <row r="107" spans="1:41" ht="27" customHeight="1" x14ac:dyDescent="0.55000000000000004">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c r="AH107" s="22"/>
      <c r="AI107" s="22"/>
      <c r="AJ107" s="22"/>
      <c r="AK107" s="22"/>
      <c r="AL107" s="22"/>
      <c r="AM107" s="22"/>
      <c r="AN107" s="22"/>
      <c r="AO107" s="22"/>
    </row>
    <row r="108" spans="1:41" ht="27" customHeight="1" x14ac:dyDescent="0.55000000000000004">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c r="AH108" s="22"/>
      <c r="AI108" s="22"/>
      <c r="AJ108" s="22"/>
      <c r="AK108" s="22"/>
      <c r="AL108" s="22"/>
      <c r="AM108" s="22"/>
      <c r="AN108" s="22"/>
      <c r="AO108" s="22"/>
    </row>
  </sheetData>
  <sheetProtection algorithmName="SHA-512" hashValue="fIuKU6rk209EDy2ucIOUvEZg7ZgPrRKW0HejV78EPMdTVMOxQiZO7VzgyYtaEJ4I8PseJIxKGAJGJ5Ixhto8Aw==" saltValue="I/82BkL5aCYxzIEP2TonrA==" spinCount="100000" sheet="1" objects="1" scenarios="1" formatColumns="0" formatRows="0"/>
  <mergeCells count="383">
    <mergeCell ref="P18:V18"/>
    <mergeCell ref="W18:Y18"/>
    <mergeCell ref="P19:V19"/>
    <mergeCell ref="W19:Y19"/>
    <mergeCell ref="W35:Y35"/>
    <mergeCell ref="Z35:AB35"/>
    <mergeCell ref="P32:V32"/>
    <mergeCell ref="W32:Y32"/>
    <mergeCell ref="Z32:AB32"/>
    <mergeCell ref="P29:V29"/>
    <mergeCell ref="W29:Y29"/>
    <mergeCell ref="Z29:AB29"/>
    <mergeCell ref="P30:V30"/>
    <mergeCell ref="W30:Y30"/>
    <mergeCell ref="Z30:AB30"/>
    <mergeCell ref="W28:Y28"/>
    <mergeCell ref="Z34:AB34"/>
    <mergeCell ref="AD19:AM19"/>
    <mergeCell ref="AD26:AJ26"/>
    <mergeCell ref="AK26:AM26"/>
    <mergeCell ref="AD69:AJ69"/>
    <mergeCell ref="AK69:AM69"/>
    <mergeCell ref="P20:V20"/>
    <mergeCell ref="W20:Y20"/>
    <mergeCell ref="P28:V28"/>
    <mergeCell ref="P75:V75"/>
    <mergeCell ref="W75:Y75"/>
    <mergeCell ref="Z75:AB75"/>
    <mergeCell ref="P72:V72"/>
    <mergeCell ref="W72:Y72"/>
    <mergeCell ref="Z72:AB72"/>
    <mergeCell ref="P73:V73"/>
    <mergeCell ref="W73:Y73"/>
    <mergeCell ref="Z73:AB73"/>
    <mergeCell ref="Z28:AB28"/>
    <mergeCell ref="P31:V31"/>
    <mergeCell ref="W31:Y31"/>
    <mergeCell ref="Z31:AB31"/>
    <mergeCell ref="P69:Z69"/>
    <mergeCell ref="P71:V71"/>
    <mergeCell ref="W71:Y71"/>
    <mergeCell ref="Z71:AB71"/>
    <mergeCell ref="P70:V70"/>
    <mergeCell ref="W70:Y70"/>
    <mergeCell ref="Z70:AB70"/>
    <mergeCell ref="P35:V35"/>
    <mergeCell ref="P36:V36"/>
    <mergeCell ref="P40:V40"/>
    <mergeCell ref="AK32:AM32"/>
    <mergeCell ref="AK28:AM28"/>
    <mergeCell ref="AK29:AM29"/>
    <mergeCell ref="AK30:AM30"/>
    <mergeCell ref="AK31:AM31"/>
    <mergeCell ref="AK73:AM73"/>
    <mergeCell ref="AK74:AM74"/>
    <mergeCell ref="AK75:AM75"/>
    <mergeCell ref="AD70:AJ70"/>
    <mergeCell ref="AK70:AM70"/>
    <mergeCell ref="AK71:AM71"/>
    <mergeCell ref="AK72:AM72"/>
    <mergeCell ref="A85:H85"/>
    <mergeCell ref="I85:K85"/>
    <mergeCell ref="L85:N85"/>
    <mergeCell ref="P80:V80"/>
    <mergeCell ref="W80:Y80"/>
    <mergeCell ref="Z80:AB80"/>
    <mergeCell ref="P78:V78"/>
    <mergeCell ref="W78:Y78"/>
    <mergeCell ref="Z78:AB78"/>
    <mergeCell ref="P79:V79"/>
    <mergeCell ref="W79:Y79"/>
    <mergeCell ref="Z79:AB79"/>
    <mergeCell ref="P76:V76"/>
    <mergeCell ref="W76:Y76"/>
    <mergeCell ref="Z76:AB76"/>
    <mergeCell ref="P77:V77"/>
    <mergeCell ref="W77:Y77"/>
    <mergeCell ref="P81:V81"/>
    <mergeCell ref="W81:Y81"/>
    <mergeCell ref="Z81:AB81"/>
    <mergeCell ref="I82:K82"/>
    <mergeCell ref="L82:N82"/>
    <mergeCell ref="A81:H81"/>
    <mergeCell ref="A82:H82"/>
    <mergeCell ref="A86:H86"/>
    <mergeCell ref="A87:H87"/>
    <mergeCell ref="A83:H83"/>
    <mergeCell ref="A58:H58"/>
    <mergeCell ref="I58:K58"/>
    <mergeCell ref="L58:N58"/>
    <mergeCell ref="A70:H70"/>
    <mergeCell ref="I70:K70"/>
    <mergeCell ref="L70:N70"/>
    <mergeCell ref="A16:H16"/>
    <mergeCell ref="I16:K16"/>
    <mergeCell ref="L16:N16"/>
    <mergeCell ref="A49:H49"/>
    <mergeCell ref="I49:K49"/>
    <mergeCell ref="L49:N49"/>
    <mergeCell ref="I65:K65"/>
    <mergeCell ref="I67:K67"/>
    <mergeCell ref="I47:K47"/>
    <mergeCell ref="I50:K50"/>
    <mergeCell ref="I53:K53"/>
    <mergeCell ref="L47:N47"/>
    <mergeCell ref="L50:N50"/>
    <mergeCell ref="L53:N53"/>
    <mergeCell ref="A52:H52"/>
    <mergeCell ref="I52:K52"/>
    <mergeCell ref="L52:N52"/>
    <mergeCell ref="A67:H67"/>
    <mergeCell ref="A6:N7"/>
    <mergeCell ref="P12:V12"/>
    <mergeCell ref="W12:Y12"/>
    <mergeCell ref="Z12:AB12"/>
    <mergeCell ref="L10:N10"/>
    <mergeCell ref="A9:H9"/>
    <mergeCell ref="I9:K9"/>
    <mergeCell ref="L9:N9"/>
    <mergeCell ref="A8:N8"/>
    <mergeCell ref="P8:AB8"/>
    <mergeCell ref="P9:V9"/>
    <mergeCell ref="W9:Y9"/>
    <mergeCell ref="Z9:AB9"/>
    <mergeCell ref="P10:V10"/>
    <mergeCell ref="W10:Y10"/>
    <mergeCell ref="Z10:AB10"/>
    <mergeCell ref="A12:H12"/>
    <mergeCell ref="R1:T1"/>
    <mergeCell ref="U1:W1"/>
    <mergeCell ref="W40:Y40"/>
    <mergeCell ref="Z40:AB40"/>
    <mergeCell ref="P41:V41"/>
    <mergeCell ref="W41:Y41"/>
    <mergeCell ref="Z41:AB41"/>
    <mergeCell ref="P38:V38"/>
    <mergeCell ref="W38:Y38"/>
    <mergeCell ref="Z38:AB38"/>
    <mergeCell ref="P39:V39"/>
    <mergeCell ref="W39:Y39"/>
    <mergeCell ref="Z39:AB39"/>
    <mergeCell ref="W36:Y36"/>
    <mergeCell ref="Z36:AB36"/>
    <mergeCell ref="P37:V37"/>
    <mergeCell ref="W37:Y37"/>
    <mergeCell ref="Z37:AB37"/>
    <mergeCell ref="P33:V33"/>
    <mergeCell ref="W33:Y33"/>
    <mergeCell ref="Z33:AB33"/>
    <mergeCell ref="P34:V34"/>
    <mergeCell ref="P17:Y17"/>
    <mergeCell ref="W34:Y34"/>
    <mergeCell ref="Z77:AB77"/>
    <mergeCell ref="P74:V74"/>
    <mergeCell ref="W74:Y74"/>
    <mergeCell ref="Z74:AB74"/>
    <mergeCell ref="I60:K60"/>
    <mergeCell ref="I61:K61"/>
    <mergeCell ref="I62:K62"/>
    <mergeCell ref="I63:K63"/>
    <mergeCell ref="I64:K64"/>
    <mergeCell ref="I76:K76"/>
    <mergeCell ref="L76:N76"/>
    <mergeCell ref="I77:K77"/>
    <mergeCell ref="L77:N77"/>
    <mergeCell ref="I74:K74"/>
    <mergeCell ref="L74:N74"/>
    <mergeCell ref="I75:K75"/>
    <mergeCell ref="L75:N75"/>
    <mergeCell ref="I72:K72"/>
    <mergeCell ref="L72:N72"/>
    <mergeCell ref="I73:K73"/>
    <mergeCell ref="L73:N73"/>
    <mergeCell ref="I71:K71"/>
    <mergeCell ref="L71:N71"/>
    <mergeCell ref="A69:N69"/>
    <mergeCell ref="A63:H63"/>
    <mergeCell ref="A64:H64"/>
    <mergeCell ref="I104:K104"/>
    <mergeCell ref="L104:N104"/>
    <mergeCell ref="I105:K105"/>
    <mergeCell ref="L105:N105"/>
    <mergeCell ref="A99:H99"/>
    <mergeCell ref="I99:K99"/>
    <mergeCell ref="L99:N99"/>
    <mergeCell ref="I89:K89"/>
    <mergeCell ref="L89:N89"/>
    <mergeCell ref="I90:K90"/>
    <mergeCell ref="L90:N90"/>
    <mergeCell ref="I93:K93"/>
    <mergeCell ref="L93:N93"/>
    <mergeCell ref="I94:K94"/>
    <mergeCell ref="L94:N94"/>
    <mergeCell ref="I95:K95"/>
    <mergeCell ref="L95:N95"/>
    <mergeCell ref="I80:K80"/>
    <mergeCell ref="A92:H92"/>
    <mergeCell ref="I92:K92"/>
    <mergeCell ref="L92:N92"/>
    <mergeCell ref="A88:H88"/>
    <mergeCell ref="I106:K106"/>
    <mergeCell ref="L106:N106"/>
    <mergeCell ref="I101:K101"/>
    <mergeCell ref="L101:N101"/>
    <mergeCell ref="I102:K102"/>
    <mergeCell ref="L102:N102"/>
    <mergeCell ref="I103:K103"/>
    <mergeCell ref="L103:N103"/>
    <mergeCell ref="I100:K100"/>
    <mergeCell ref="L100:N100"/>
    <mergeCell ref="L80:N80"/>
    <mergeCell ref="I81:K81"/>
    <mergeCell ref="L81:N81"/>
    <mergeCell ref="I78:K78"/>
    <mergeCell ref="L78:N78"/>
    <mergeCell ref="I79:K79"/>
    <mergeCell ref="L79:N79"/>
    <mergeCell ref="I97:K97"/>
    <mergeCell ref="L97:N97"/>
    <mergeCell ref="I86:K86"/>
    <mergeCell ref="L86:N86"/>
    <mergeCell ref="I87:K87"/>
    <mergeCell ref="L87:N87"/>
    <mergeCell ref="I88:K88"/>
    <mergeCell ref="L88:N88"/>
    <mergeCell ref="I83:K83"/>
    <mergeCell ref="L83:N83"/>
    <mergeCell ref="A28:H28"/>
    <mergeCell ref="A29:H29"/>
    <mergeCell ref="A34:H34"/>
    <mergeCell ref="A35:H35"/>
    <mergeCell ref="L45:N45"/>
    <mergeCell ref="I44:K44"/>
    <mergeCell ref="L44:N44"/>
    <mergeCell ref="I43:K43"/>
    <mergeCell ref="L43:N43"/>
    <mergeCell ref="I42:K42"/>
    <mergeCell ref="L42:N42"/>
    <mergeCell ref="I41:K41"/>
    <mergeCell ref="L41:N41"/>
    <mergeCell ref="I45:K45"/>
    <mergeCell ref="I30:K30"/>
    <mergeCell ref="L30:N30"/>
    <mergeCell ref="I29:K29"/>
    <mergeCell ref="L29:N29"/>
    <mergeCell ref="I28:K28"/>
    <mergeCell ref="L28:N28"/>
    <mergeCell ref="A44:H44"/>
    <mergeCell ref="I34:K34"/>
    <mergeCell ref="L34:N34"/>
    <mergeCell ref="I32:K32"/>
    <mergeCell ref="P14:V14"/>
    <mergeCell ref="W14:Y14"/>
    <mergeCell ref="Z14:AB14"/>
    <mergeCell ref="L13:N13"/>
    <mergeCell ref="L12:N12"/>
    <mergeCell ref="P11:V11"/>
    <mergeCell ref="W11:Y11"/>
    <mergeCell ref="Z11:AB11"/>
    <mergeCell ref="L11:N11"/>
    <mergeCell ref="P13:V13"/>
    <mergeCell ref="W13:Y13"/>
    <mergeCell ref="Z13:AB13"/>
    <mergeCell ref="AD27:AJ27"/>
    <mergeCell ref="AK27:AM27"/>
    <mergeCell ref="I27:K27"/>
    <mergeCell ref="L27:N27"/>
    <mergeCell ref="I26:K26"/>
    <mergeCell ref="L26:N26"/>
    <mergeCell ref="A24:N24"/>
    <mergeCell ref="I25:K25"/>
    <mergeCell ref="L25:N25"/>
    <mergeCell ref="P27:V27"/>
    <mergeCell ref="W27:Y27"/>
    <mergeCell ref="Z27:AB27"/>
    <mergeCell ref="A25:H25"/>
    <mergeCell ref="A26:H26"/>
    <mergeCell ref="A27:H27"/>
    <mergeCell ref="P26:AB26"/>
    <mergeCell ref="A13:H13"/>
    <mergeCell ref="A19:H19"/>
    <mergeCell ref="A20:H20"/>
    <mergeCell ref="A21:H21"/>
    <mergeCell ref="A22:H22"/>
    <mergeCell ref="A23:H23"/>
    <mergeCell ref="A14:H14"/>
    <mergeCell ref="L14:N14"/>
    <mergeCell ref="L20:N20"/>
    <mergeCell ref="A18:N18"/>
    <mergeCell ref="L19:N19"/>
    <mergeCell ref="L23:N23"/>
    <mergeCell ref="L22:N22"/>
    <mergeCell ref="L21:N21"/>
    <mergeCell ref="A104:H104"/>
    <mergeCell ref="A105:H105"/>
    <mergeCell ref="A106:H106"/>
    <mergeCell ref="A89:H89"/>
    <mergeCell ref="A93:H93"/>
    <mergeCell ref="A94:H94"/>
    <mergeCell ref="A100:H100"/>
    <mergeCell ref="A101:H101"/>
    <mergeCell ref="A97:H97"/>
    <mergeCell ref="A95:H95"/>
    <mergeCell ref="A90:H90"/>
    <mergeCell ref="A102:H102"/>
    <mergeCell ref="A103:H103"/>
    <mergeCell ref="A76:H76"/>
    <mergeCell ref="A77:H77"/>
    <mergeCell ref="A78:H78"/>
    <mergeCell ref="A79:H79"/>
    <mergeCell ref="A80:H80"/>
    <mergeCell ref="A71:H71"/>
    <mergeCell ref="A72:H72"/>
    <mergeCell ref="A73:H73"/>
    <mergeCell ref="A74:H74"/>
    <mergeCell ref="A75:H75"/>
    <mergeCell ref="A47:H47"/>
    <mergeCell ref="A45:H45"/>
    <mergeCell ref="L60:N60"/>
    <mergeCell ref="L61:N61"/>
    <mergeCell ref="L62:N62"/>
    <mergeCell ref="L63:N63"/>
    <mergeCell ref="L64:N64"/>
    <mergeCell ref="L65:N65"/>
    <mergeCell ref="L67:N67"/>
    <mergeCell ref="A50:H50"/>
    <mergeCell ref="A53:H53"/>
    <mergeCell ref="A56:H56"/>
    <mergeCell ref="A59:H59"/>
    <mergeCell ref="I56:K56"/>
    <mergeCell ref="I59:K59"/>
    <mergeCell ref="L56:N56"/>
    <mergeCell ref="L59:N59"/>
    <mergeCell ref="A55:H55"/>
    <mergeCell ref="I55:K55"/>
    <mergeCell ref="L55:N55"/>
    <mergeCell ref="A65:H65"/>
    <mergeCell ref="A60:H60"/>
    <mergeCell ref="A61:H61"/>
    <mergeCell ref="A62:H62"/>
    <mergeCell ref="L32:N32"/>
    <mergeCell ref="A38:H38"/>
    <mergeCell ref="A40:H40"/>
    <mergeCell ref="A41:H41"/>
    <mergeCell ref="A42:H42"/>
    <mergeCell ref="A43:H43"/>
    <mergeCell ref="A39:N39"/>
    <mergeCell ref="I40:K40"/>
    <mergeCell ref="L40:N40"/>
    <mergeCell ref="A36:H36"/>
    <mergeCell ref="A37:H37"/>
    <mergeCell ref="I38:K38"/>
    <mergeCell ref="L38:N38"/>
    <mergeCell ref="I37:K37"/>
    <mergeCell ref="L37:N37"/>
    <mergeCell ref="I36:K36"/>
    <mergeCell ref="L36:N36"/>
    <mergeCell ref="I35:K35"/>
    <mergeCell ref="L35:N35"/>
    <mergeCell ref="AE1:AN1"/>
    <mergeCell ref="AE2:AM4"/>
    <mergeCell ref="AF5:AH5"/>
    <mergeCell ref="A1:N1"/>
    <mergeCell ref="A2:N2"/>
    <mergeCell ref="A3:N3"/>
    <mergeCell ref="A30:H30"/>
    <mergeCell ref="A32:H32"/>
    <mergeCell ref="A33:N33"/>
    <mergeCell ref="A17:H17"/>
    <mergeCell ref="I17:K17"/>
    <mergeCell ref="L17:N17"/>
    <mergeCell ref="I19:K19"/>
    <mergeCell ref="I20:K20"/>
    <mergeCell ref="I21:K21"/>
    <mergeCell ref="I22:K22"/>
    <mergeCell ref="I23:K23"/>
    <mergeCell ref="I10:K10"/>
    <mergeCell ref="I11:K11"/>
    <mergeCell ref="I12:K12"/>
    <mergeCell ref="I13:K13"/>
    <mergeCell ref="I14:K14"/>
    <mergeCell ref="A10:H10"/>
    <mergeCell ref="A11:H11"/>
  </mergeCells>
  <conditionalFormatting sqref="A2:N2">
    <cfRule type="containsText" dxfId="5" priority="1" operator="containsText" text="Select">
      <formula>NOT(ISERROR(SEARCH("Select",A2)))</formula>
    </cfRule>
  </conditionalFormatting>
  <dataValidations count="2">
    <dataValidation type="whole" allowBlank="1" showInputMessage="1" showErrorMessage="1" error="Number should be reported as a whole dollar." sqref="I59:K64 I50:K50 I100:K105 I86:K89 I93:K94 I81:K82" xr:uid="{653B4EA9-4DD3-4CD9-BD8E-705335C42350}">
      <formula1>-10000000000</formula1>
      <formula2>15000000000</formula2>
    </dataValidation>
    <dataValidation type="list" allowBlank="1" showInputMessage="1" showErrorMessage="1" sqref="A1" xr:uid="{48AAA923-7485-499D-860A-5E75E4437334}">
      <formula1>NameDropdown</formula1>
    </dataValidation>
  </dataValidations>
  <hyperlinks>
    <hyperlink ref="AI5:AM5" r:id="rId1" display="fonts.google.com/specimen/Overpass" xr:uid="{FA642B3C-86AC-4DB3-B2C1-5C1886077C34}"/>
    <hyperlink ref="AI5" r:id="rId2" display="http://fonts.google.com/specimen/Overpass" xr:uid="{F774E1E0-0D0E-4594-B74B-0D91C2581CE6}"/>
  </hyperlinks>
  <pageMargins left="0.7" right="0.7" top="0.75" bottom="0.75" header="0.3" footer="0.3"/>
  <pageSetup orientation="portrait"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48D26-0F18-488B-8CB3-089CEBD25175}">
  <sheetPr codeName="Sheet04">
    <tabColor theme="4" tint="0.89999084444715716"/>
  </sheetPr>
  <dimension ref="A1:AO109"/>
  <sheetViews>
    <sheetView zoomScale="70" zoomScaleNormal="70" workbookViewId="0">
      <selection sqref="A1:N1"/>
    </sheetView>
  </sheetViews>
  <sheetFormatPr defaultColWidth="8.83203125" defaultRowHeight="19.2" x14ac:dyDescent="0.55000000000000004"/>
  <cols>
    <col min="1" max="28" width="6.58203125" style="24" customWidth="1"/>
    <col min="29" max="29" width="6.58203125" style="29" customWidth="1"/>
    <col min="30" max="41" width="6.58203125" style="24" customWidth="1"/>
    <col min="42" max="16384" width="8.83203125" style="24"/>
  </cols>
  <sheetData>
    <row r="1" spans="1:41" ht="45" customHeight="1" x14ac:dyDescent="0.55000000000000004">
      <c r="A1" s="492"/>
      <c r="B1" s="493"/>
      <c r="C1" s="493"/>
      <c r="D1" s="493"/>
      <c r="E1" s="493"/>
      <c r="F1" s="493"/>
      <c r="G1" s="493"/>
      <c r="H1" s="493"/>
      <c r="I1" s="493"/>
      <c r="J1" s="493"/>
      <c r="K1" s="493"/>
      <c r="L1" s="493"/>
      <c r="M1" s="493"/>
      <c r="N1" s="494"/>
      <c r="O1" s="22"/>
      <c r="P1" s="22"/>
      <c r="Q1" s="22"/>
      <c r="R1" s="568">
        <f>SUMIFS(Input[FTSE], Input[Type],$R$2)</f>
        <v>0</v>
      </c>
      <c r="S1" s="568"/>
      <c r="T1" s="568"/>
      <c r="U1" s="625" t="s">
        <v>133</v>
      </c>
      <c r="V1" s="625"/>
      <c r="W1" s="625"/>
      <c r="X1" s="22"/>
      <c r="Y1" s="22"/>
      <c r="Z1" s="22"/>
      <c r="AA1" s="22"/>
      <c r="AB1" s="22"/>
      <c r="AC1" s="22"/>
      <c r="AD1" s="388" t="s">
        <v>1854</v>
      </c>
      <c r="AE1" s="389"/>
      <c r="AF1" s="389"/>
      <c r="AG1" s="389"/>
      <c r="AH1" s="389"/>
      <c r="AI1" s="389"/>
      <c r="AJ1" s="389"/>
      <c r="AK1" s="389"/>
      <c r="AL1" s="389"/>
      <c r="AM1" s="390"/>
      <c r="AN1" s="22"/>
      <c r="AO1" s="22"/>
    </row>
    <row r="2" spans="1:41" s="8" customFormat="1" ht="34.950000000000003" customHeight="1" x14ac:dyDescent="0.55000000000000004">
      <c r="A2" s="628" t="str">
        <f>IF(ISBLANK($A$1),"▲ Select system name from dropdown ▲",VLOOKUP($A$1,Hidden!$A$7:$C$10,3,FALSE))</f>
        <v>▲ Select system name from dropdown ▲</v>
      </c>
      <c r="B2" s="629"/>
      <c r="C2" s="629"/>
      <c r="D2" s="629"/>
      <c r="E2" s="629"/>
      <c r="F2" s="629"/>
      <c r="G2" s="629"/>
      <c r="H2" s="629"/>
      <c r="I2" s="629"/>
      <c r="J2" s="629"/>
      <c r="K2" s="629"/>
      <c r="L2" s="629"/>
      <c r="M2" s="629"/>
      <c r="N2" s="630"/>
      <c r="O2" s="7"/>
      <c r="P2" s="7"/>
      <c r="Q2" s="7"/>
      <c r="R2" s="626" t="str">
        <f>IF(ISBLANK(A1),"",_xlfn.XLOOKUP($A$1,Hidden!$A$7:$A$10,Hidden!$B$7:$B$10,,-1))</f>
        <v/>
      </c>
      <c r="S2" s="626"/>
      <c r="T2" s="626"/>
      <c r="U2" s="22"/>
      <c r="V2" s="22"/>
      <c r="W2" s="22"/>
      <c r="X2" s="41"/>
      <c r="Y2" s="41"/>
      <c r="Z2" s="41"/>
      <c r="AA2" s="41"/>
      <c r="AB2" s="41"/>
      <c r="AC2" s="22"/>
      <c r="AD2" s="504" t="s">
        <v>1851</v>
      </c>
      <c r="AE2" s="505"/>
      <c r="AF2" s="505"/>
      <c r="AG2" s="505"/>
      <c r="AH2" s="505"/>
      <c r="AI2" s="505"/>
      <c r="AJ2" s="505"/>
      <c r="AK2" s="505"/>
      <c r="AL2" s="505"/>
      <c r="AM2" s="214"/>
      <c r="AN2" s="22"/>
      <c r="AO2" s="7"/>
    </row>
    <row r="3" spans="1:41" s="301" customFormat="1" ht="27" customHeight="1" x14ac:dyDescent="0.55000000000000004">
      <c r="A3" s="495" t="s">
        <v>1419</v>
      </c>
      <c r="B3" s="496"/>
      <c r="C3" s="496"/>
      <c r="D3" s="496"/>
      <c r="E3" s="496"/>
      <c r="F3" s="496"/>
      <c r="G3" s="496"/>
      <c r="H3" s="496"/>
      <c r="I3" s="496"/>
      <c r="J3" s="496"/>
      <c r="K3" s="496"/>
      <c r="L3" s="496"/>
      <c r="M3" s="496"/>
      <c r="N3" s="496"/>
      <c r="O3" s="300"/>
      <c r="P3" s="300"/>
      <c r="Q3" s="300"/>
      <c r="R3" s="300"/>
      <c r="S3" s="300"/>
      <c r="T3" s="300"/>
      <c r="U3" s="300"/>
      <c r="V3" s="300"/>
      <c r="W3" s="300"/>
      <c r="X3" s="300"/>
      <c r="Y3" s="300"/>
      <c r="Z3" s="300"/>
      <c r="AA3" s="300"/>
      <c r="AB3" s="300"/>
      <c r="AC3" s="300"/>
      <c r="AD3" s="504"/>
      <c r="AE3" s="505"/>
      <c r="AF3" s="505"/>
      <c r="AG3" s="505"/>
      <c r="AH3" s="505"/>
      <c r="AI3" s="505"/>
      <c r="AJ3" s="505"/>
      <c r="AK3" s="505"/>
      <c r="AL3" s="505"/>
      <c r="AM3" s="214"/>
      <c r="AN3" s="300"/>
      <c r="AO3" s="300"/>
    </row>
    <row r="4" spans="1:41" ht="27" customHeight="1" x14ac:dyDescent="0.55000000000000004">
      <c r="A4" s="269"/>
      <c r="B4" s="270"/>
      <c r="C4" s="270"/>
      <c r="D4" s="270"/>
      <c r="E4" s="270"/>
      <c r="F4" s="270"/>
      <c r="G4" s="270"/>
      <c r="H4" s="270"/>
      <c r="I4" s="270"/>
      <c r="J4" s="270"/>
      <c r="K4" s="270"/>
      <c r="L4" s="270"/>
      <c r="M4" s="270"/>
      <c r="N4" s="22"/>
      <c r="O4" s="22"/>
      <c r="P4" s="41"/>
      <c r="Q4" s="41"/>
      <c r="R4" s="41"/>
      <c r="S4" s="41"/>
      <c r="T4" s="41"/>
      <c r="U4" s="41"/>
      <c r="V4" s="41"/>
      <c r="W4" s="41"/>
      <c r="X4" s="41"/>
      <c r="Y4" s="22"/>
      <c r="Z4" s="22"/>
      <c r="AA4" s="22"/>
      <c r="AB4" s="22"/>
      <c r="AC4" s="22"/>
      <c r="AD4" s="504"/>
      <c r="AE4" s="505"/>
      <c r="AF4" s="505"/>
      <c r="AG4" s="505"/>
      <c r="AH4" s="505"/>
      <c r="AI4" s="505"/>
      <c r="AJ4" s="505"/>
      <c r="AK4" s="505"/>
      <c r="AL4" s="505"/>
      <c r="AM4" s="214"/>
      <c r="AN4" s="22"/>
      <c r="AO4" s="22"/>
    </row>
    <row r="5" spans="1:41" ht="27" customHeight="1" x14ac:dyDescent="0.55000000000000004">
      <c r="A5" s="271"/>
      <c r="B5" s="22"/>
      <c r="C5" s="22"/>
      <c r="D5" s="22"/>
      <c r="E5" s="22"/>
      <c r="F5" s="22"/>
      <c r="G5" s="22"/>
      <c r="H5" s="22"/>
      <c r="I5" s="22"/>
      <c r="J5" s="22"/>
      <c r="K5" s="22"/>
      <c r="L5" s="22"/>
      <c r="M5" s="22"/>
      <c r="N5" s="22"/>
      <c r="O5" s="22"/>
      <c r="P5" s="41"/>
      <c r="Q5" s="41"/>
      <c r="R5" s="41"/>
      <c r="S5" s="41"/>
      <c r="T5" s="41"/>
      <c r="U5" s="41"/>
      <c r="V5" s="41"/>
      <c r="W5" s="22"/>
      <c r="X5" s="22"/>
      <c r="Y5" s="22"/>
      <c r="Z5" s="22"/>
      <c r="AA5" s="22"/>
      <c r="AB5" s="22"/>
      <c r="AC5" s="22"/>
      <c r="AD5" s="216"/>
      <c r="AE5" s="391" t="s">
        <v>1852</v>
      </c>
      <c r="AF5" s="391"/>
      <c r="AG5" s="391"/>
      <c r="AH5" s="202" t="s">
        <v>1853</v>
      </c>
      <c r="AI5" s="202"/>
      <c r="AJ5" s="202"/>
      <c r="AK5" s="202"/>
      <c r="AL5" s="202"/>
      <c r="AM5" s="215"/>
      <c r="AN5" s="22"/>
      <c r="AO5" s="22"/>
    </row>
    <row r="6" spans="1:41" ht="27" customHeight="1" x14ac:dyDescent="1.05">
      <c r="A6" s="583" t="s">
        <v>135</v>
      </c>
      <c r="B6" s="583"/>
      <c r="C6" s="583"/>
      <c r="D6" s="583"/>
      <c r="E6" s="583"/>
      <c r="F6" s="583"/>
      <c r="G6" s="583"/>
      <c r="H6" s="583"/>
      <c r="I6" s="583"/>
      <c r="J6" s="583"/>
      <c r="K6" s="583"/>
      <c r="L6" s="583"/>
      <c r="M6" s="583"/>
      <c r="N6" s="583"/>
      <c r="O6" s="272"/>
      <c r="P6" s="272"/>
      <c r="Q6" s="272"/>
      <c r="R6" s="272"/>
      <c r="S6" s="272"/>
      <c r="T6" s="272"/>
      <c r="U6" s="272"/>
      <c r="V6" s="272"/>
      <c r="W6" s="272"/>
      <c r="X6" s="272"/>
      <c r="Y6" s="272"/>
      <c r="Z6" s="272"/>
      <c r="AA6" s="272"/>
      <c r="AB6" s="272"/>
      <c r="AC6" s="272"/>
      <c r="AD6" s="22"/>
      <c r="AE6" s="22"/>
      <c r="AF6" s="22"/>
      <c r="AG6" s="22"/>
      <c r="AH6" s="22"/>
      <c r="AI6" s="22"/>
      <c r="AJ6" s="22"/>
      <c r="AK6" s="22"/>
      <c r="AL6" s="22"/>
      <c r="AM6" s="22"/>
      <c r="AN6" s="22"/>
      <c r="AO6" s="22"/>
    </row>
    <row r="7" spans="1:41" ht="27" customHeight="1" thickBot="1" x14ac:dyDescent="1.1000000000000001">
      <c r="A7" s="583"/>
      <c r="B7" s="583"/>
      <c r="C7" s="583"/>
      <c r="D7" s="583"/>
      <c r="E7" s="583"/>
      <c r="F7" s="583"/>
      <c r="G7" s="583"/>
      <c r="H7" s="583"/>
      <c r="I7" s="583"/>
      <c r="J7" s="583"/>
      <c r="K7" s="583"/>
      <c r="L7" s="583"/>
      <c r="M7" s="583"/>
      <c r="N7" s="583"/>
      <c r="O7" s="272"/>
      <c r="P7" s="272"/>
      <c r="Q7" s="272"/>
      <c r="R7" s="272"/>
      <c r="S7" s="272"/>
      <c r="T7" s="272"/>
      <c r="U7" s="272"/>
      <c r="V7" s="272"/>
      <c r="W7" s="272"/>
      <c r="X7" s="272"/>
      <c r="Y7" s="272"/>
      <c r="Z7" s="272"/>
      <c r="AA7" s="272"/>
      <c r="AB7" s="272"/>
      <c r="AC7" s="272"/>
      <c r="AD7" s="22"/>
      <c r="AE7" s="302"/>
      <c r="AF7" s="302"/>
      <c r="AG7" s="302"/>
      <c r="AH7" s="302"/>
      <c r="AI7" s="302"/>
      <c r="AJ7" s="302"/>
      <c r="AK7" s="302"/>
      <c r="AL7" s="302"/>
      <c r="AM7" s="302"/>
      <c r="AN7" s="302"/>
      <c r="AO7" s="22"/>
    </row>
    <row r="8" spans="1:41" ht="31.95" customHeight="1" thickBot="1" x14ac:dyDescent="0.65">
      <c r="A8" s="549" t="s">
        <v>93</v>
      </c>
      <c r="B8" s="550"/>
      <c r="C8" s="550"/>
      <c r="D8" s="550"/>
      <c r="E8" s="550"/>
      <c r="F8" s="550"/>
      <c r="G8" s="550"/>
      <c r="H8" s="550"/>
      <c r="I8" s="550"/>
      <c r="J8" s="550"/>
      <c r="K8" s="550"/>
      <c r="L8" s="550"/>
      <c r="M8" s="550"/>
      <c r="N8" s="551"/>
      <c r="O8" s="303"/>
      <c r="P8" s="549" t="s">
        <v>134</v>
      </c>
      <c r="Q8" s="550"/>
      <c r="R8" s="550"/>
      <c r="S8" s="550"/>
      <c r="T8" s="550"/>
      <c r="U8" s="550"/>
      <c r="V8" s="550"/>
      <c r="W8" s="550"/>
      <c r="X8" s="550"/>
      <c r="Y8" s="550"/>
      <c r="Z8" s="550"/>
      <c r="AA8" s="550"/>
      <c r="AB8" s="551"/>
      <c r="AC8" s="303"/>
      <c r="AD8" s="627" t="s">
        <v>1907</v>
      </c>
      <c r="AE8" s="627"/>
      <c r="AF8" s="627"/>
      <c r="AG8" s="627"/>
      <c r="AH8" s="627"/>
      <c r="AI8" s="627"/>
      <c r="AJ8" s="627"/>
      <c r="AK8" s="627"/>
      <c r="AL8" s="627"/>
      <c r="AM8" s="627"/>
      <c r="AN8" s="627"/>
      <c r="AO8" s="22"/>
    </row>
    <row r="9" spans="1:41" ht="27" customHeight="1" thickBot="1" x14ac:dyDescent="0.65">
      <c r="A9" s="543" t="s">
        <v>94</v>
      </c>
      <c r="B9" s="544"/>
      <c r="C9" s="544"/>
      <c r="D9" s="544"/>
      <c r="E9" s="544"/>
      <c r="F9" s="544"/>
      <c r="G9" s="544"/>
      <c r="H9" s="544"/>
      <c r="I9" s="545" t="s">
        <v>135</v>
      </c>
      <c r="J9" s="546"/>
      <c r="K9" s="546"/>
      <c r="L9" s="545" t="s">
        <v>136</v>
      </c>
      <c r="M9" s="546"/>
      <c r="N9" s="547"/>
      <c r="O9" s="303"/>
      <c r="P9" s="614" t="s">
        <v>93</v>
      </c>
      <c r="Q9" s="615"/>
      <c r="R9" s="615"/>
      <c r="S9" s="615"/>
      <c r="T9" s="615"/>
      <c r="U9" s="615"/>
      <c r="V9" s="615"/>
      <c r="W9" s="616" t="s">
        <v>137</v>
      </c>
      <c r="X9" s="617"/>
      <c r="Y9" s="617"/>
      <c r="Z9" s="616" t="s">
        <v>138</v>
      </c>
      <c r="AA9" s="617"/>
      <c r="AB9" s="618"/>
      <c r="AC9" s="303"/>
      <c r="AD9" s="627"/>
      <c r="AE9" s="627"/>
      <c r="AF9" s="627"/>
      <c r="AG9" s="627"/>
      <c r="AH9" s="627"/>
      <c r="AI9" s="627"/>
      <c r="AJ9" s="627"/>
      <c r="AK9" s="627"/>
      <c r="AL9" s="627"/>
      <c r="AM9" s="627"/>
      <c r="AN9" s="627"/>
      <c r="AO9" s="22"/>
    </row>
    <row r="10" spans="1:41" ht="27" customHeight="1" x14ac:dyDescent="0.6">
      <c r="A10" s="522" t="s">
        <v>97</v>
      </c>
      <c r="B10" s="523"/>
      <c r="C10" s="523"/>
      <c r="D10" s="523"/>
      <c r="E10" s="523"/>
      <c r="F10" s="523"/>
      <c r="G10" s="523"/>
      <c r="H10" s="524"/>
      <c r="I10" s="518">
        <f>SUMIFS(Input[St. Ap. E &amp; G], Input[Type],$R$2)
+SUMIFS(Input[St. Ap. Desg], Input[Type],$R$2)
+SUMIFS(Input[St. Ap. Aux], Input[Type],$R$2)
+SUMIFS(Input[St. Ap. R Exp], Input[Type],$R$2)
+SUMIFS(Input[St. Ap. Loan], Input[Type],$R$2)
+SUMIFS(Input[St. Ap. Annuity], Input[Type],$R$2)
+SUMIFS(Input[St. Ap. Unexp], Input[Type],$R$2)
+SUMIFS(Input[St. Ap. R of Ind], Input[Type],$R$2)
+SUMIFS(Input[St. Ap. Inv in P], Input[Type],$R$2)</f>
        <v>0</v>
      </c>
      <c r="J10" s="518"/>
      <c r="K10" s="518"/>
      <c r="L10" s="529">
        <f>IFERROR(ROUND(I10/$R$1,0),0)</f>
        <v>0</v>
      </c>
      <c r="M10" s="529"/>
      <c r="N10" s="530"/>
      <c r="O10" s="303"/>
      <c r="P10" s="584" t="s">
        <v>94</v>
      </c>
      <c r="Q10" s="585"/>
      <c r="R10" s="585"/>
      <c r="S10" s="585"/>
      <c r="T10" s="585"/>
      <c r="U10" s="585"/>
      <c r="V10" s="586"/>
      <c r="W10" s="448">
        <f>I14</f>
        <v>0</v>
      </c>
      <c r="X10" s="448"/>
      <c r="Y10" s="448"/>
      <c r="Z10" s="587">
        <f>IFERROR(W10/$W$14,0)</f>
        <v>0</v>
      </c>
      <c r="AA10" s="587"/>
      <c r="AB10" s="588"/>
      <c r="AC10" s="303"/>
      <c r="AD10" s="624" t="str" cm="1">
        <f t="array" ref="AD10">_xlfn.TEXTJOIN(CHAR(10), TRUE, IF(Input[Type]=R2, "▸ "&amp;Input[Institution Name], ""))</f>
        <v/>
      </c>
      <c r="AE10" s="624"/>
      <c r="AF10" s="624"/>
      <c r="AG10" s="624"/>
      <c r="AH10" s="624"/>
      <c r="AI10" s="624"/>
      <c r="AJ10" s="624"/>
      <c r="AK10" s="624"/>
      <c r="AL10" s="624"/>
      <c r="AM10" s="624"/>
      <c r="AN10" s="624"/>
      <c r="AO10" s="22"/>
    </row>
    <row r="11" spans="1:41" ht="27" customHeight="1" x14ac:dyDescent="0.6">
      <c r="A11" s="525" t="s">
        <v>847</v>
      </c>
      <c r="B11" s="434"/>
      <c r="C11" s="434"/>
      <c r="D11" s="434"/>
      <c r="E11" s="434"/>
      <c r="F11" s="434"/>
      <c r="G11" s="434"/>
      <c r="H11" s="435"/>
      <c r="I11" s="519">
        <f>SUMIFS(Input[St. C&amp;G E&amp;G], Input[Type],$R$2)+SUMIFS(Input[St. C&amp;G Desg], Input[Type],$R$2)+SUMIFS(Input[St. C&amp;G Aux], Input[Type],$R$2)+SUMIFS(Input[St. C&amp;G R Exp], Input[Type],$R$2)+SUMIFS(Input[St. C&amp;G Loan], Input[Type],$R$2)+SUMIFS(Input[St. C&amp;G Annuity], Input[Type],$R$2)+SUMIFS(Input[St. C&amp;G Unexp], Input[Type],$R$2)+SUMIFS(Input[St. C&amp;G R of Ind], Input[Type],$R$2)+SUMIFS(Input[St. C&amp;G Inv in P], Input[Type],$R$2)</f>
        <v>0</v>
      </c>
      <c r="J11" s="519"/>
      <c r="K11" s="519"/>
      <c r="L11" s="432">
        <f t="shared" ref="L11:L13" si="0">IFERROR(ROUND(I11/$R$1,0),0)</f>
        <v>0</v>
      </c>
      <c r="M11" s="432"/>
      <c r="N11" s="536"/>
      <c r="O11" s="303"/>
      <c r="P11" s="557" t="s">
        <v>100</v>
      </c>
      <c r="Q11" s="558"/>
      <c r="R11" s="558"/>
      <c r="S11" s="558"/>
      <c r="T11" s="558"/>
      <c r="U11" s="558"/>
      <c r="V11" s="559"/>
      <c r="W11" s="431">
        <f>I47</f>
        <v>0</v>
      </c>
      <c r="X11" s="431"/>
      <c r="Y11" s="431"/>
      <c r="Z11" s="560">
        <f>IFERROR(W11/$W$14,0)</f>
        <v>0</v>
      </c>
      <c r="AA11" s="560"/>
      <c r="AB11" s="561"/>
      <c r="AC11" s="303"/>
      <c r="AD11" s="624"/>
      <c r="AE11" s="624"/>
      <c r="AF11" s="624"/>
      <c r="AG11" s="624"/>
      <c r="AH11" s="624"/>
      <c r="AI11" s="624"/>
      <c r="AJ11" s="624"/>
      <c r="AK11" s="624"/>
      <c r="AL11" s="624"/>
      <c r="AM11" s="624"/>
      <c r="AN11" s="624"/>
      <c r="AO11" s="22"/>
    </row>
    <row r="12" spans="1:41" ht="27" customHeight="1" x14ac:dyDescent="0.6">
      <c r="A12" s="525" t="s">
        <v>98</v>
      </c>
      <c r="B12" s="434"/>
      <c r="C12" s="434"/>
      <c r="D12" s="434"/>
      <c r="E12" s="434"/>
      <c r="F12" s="434"/>
      <c r="G12" s="434"/>
      <c r="H12" s="435"/>
      <c r="I12" s="519">
        <f>SUMIFS(Input[HEF E&amp;G], Input[Type],$R$2)+SUMIFS(Input[HEF Desg], Input[Type],$R$2)+SUMIFS(Input[HEF Aux], Input[Type],$R$2)+SUMIFS(Input[HEF R Exp], Input[Type],$R$2)+SUMIFS(Input[HEF Loan], Input[Type],$R$2)+SUMIFS(Input[HEF Annuity], Input[Type],$R$2)+SUMIFS(Input[HEF Unexp], Input[Type],$R$2)+SUMIFS(Input[HEF R of Ind], Input[Type],$R$2)+SUMIFS(Input[HEF Inv in P], Input[Type],$R$2)</f>
        <v>0</v>
      </c>
      <c r="J12" s="519"/>
      <c r="K12" s="519"/>
      <c r="L12" s="432">
        <f t="shared" si="0"/>
        <v>0</v>
      </c>
      <c r="M12" s="432"/>
      <c r="N12" s="536"/>
      <c r="O12" s="303"/>
      <c r="P12" s="557" t="s">
        <v>727</v>
      </c>
      <c r="Q12" s="558"/>
      <c r="R12" s="558"/>
      <c r="S12" s="558"/>
      <c r="T12" s="558"/>
      <c r="U12" s="558"/>
      <c r="V12" s="559"/>
      <c r="W12" s="431">
        <f>I50</f>
        <v>0</v>
      </c>
      <c r="X12" s="431"/>
      <c r="Y12" s="431"/>
      <c r="Z12" s="560">
        <f>IFERROR(W12/$W$14,0)</f>
        <v>0</v>
      </c>
      <c r="AA12" s="560"/>
      <c r="AB12" s="561"/>
      <c r="AC12" s="303"/>
      <c r="AD12" s="624"/>
      <c r="AE12" s="624"/>
      <c r="AF12" s="624"/>
      <c r="AG12" s="624"/>
      <c r="AH12" s="624"/>
      <c r="AI12" s="624"/>
      <c r="AJ12" s="624"/>
      <c r="AK12" s="624"/>
      <c r="AL12" s="624"/>
      <c r="AM12" s="624"/>
      <c r="AN12" s="624"/>
      <c r="AO12" s="22"/>
    </row>
    <row r="13" spans="1:41" ht="27" customHeight="1" thickBot="1" x14ac:dyDescent="0.65">
      <c r="A13" s="548" t="s">
        <v>139</v>
      </c>
      <c r="B13" s="490"/>
      <c r="C13" s="490"/>
      <c r="D13" s="490"/>
      <c r="E13" s="490"/>
      <c r="F13" s="490"/>
      <c r="G13" s="490"/>
      <c r="H13" s="491"/>
      <c r="I13" s="520">
        <f>SUMIFS(Input[Available E&amp;G], Input[Type],$R$2)+SUMIFS(Input[Available Desg], Input[Type],$R$2)+SUMIFS(Input[Available Aux], Input[Type],$R$2)+SUMIFS(Input[Available R Exp], Input[Type],$R$2)+SUMIFS(Input[Available Loan], Input[Type],$R$2)+SUMIFS(Input[Available Annuity], Input[Type],$R$2)+SUMIFS(Input[Available Unexp], Input[Type],$R$2)+SUMIFS(Input[Available R of Ind], Input[Type],$R$2)+SUMIFS(Input[Available Inv in P], Input[Type],$R$2)</f>
        <v>0</v>
      </c>
      <c r="J13" s="520"/>
      <c r="K13" s="520"/>
      <c r="L13" s="534">
        <f t="shared" si="0"/>
        <v>0</v>
      </c>
      <c r="M13" s="534"/>
      <c r="N13" s="535"/>
      <c r="O13" s="303"/>
      <c r="P13" s="562" t="s">
        <v>170</v>
      </c>
      <c r="Q13" s="563"/>
      <c r="R13" s="563"/>
      <c r="S13" s="563"/>
      <c r="T13" s="563"/>
      <c r="U13" s="563"/>
      <c r="V13" s="564"/>
      <c r="W13" s="431">
        <f>SUM(I53,I56,I65)</f>
        <v>0</v>
      </c>
      <c r="X13" s="431"/>
      <c r="Y13" s="431"/>
      <c r="Z13" s="560">
        <f>IFERROR(W13/$W$14,0)</f>
        <v>0</v>
      </c>
      <c r="AA13" s="560"/>
      <c r="AB13" s="561"/>
      <c r="AC13" s="303"/>
      <c r="AD13" s="624"/>
      <c r="AE13" s="624"/>
      <c r="AF13" s="624"/>
      <c r="AG13" s="624"/>
      <c r="AH13" s="624"/>
      <c r="AI13" s="624"/>
      <c r="AJ13" s="624"/>
      <c r="AK13" s="624"/>
      <c r="AL13" s="624"/>
      <c r="AM13" s="624"/>
      <c r="AN13" s="624"/>
      <c r="AO13" s="22"/>
    </row>
    <row r="14" spans="1:41" ht="27" customHeight="1" thickBot="1" x14ac:dyDescent="0.65">
      <c r="A14" s="509" t="s">
        <v>99</v>
      </c>
      <c r="B14" s="510"/>
      <c r="C14" s="510"/>
      <c r="D14" s="510"/>
      <c r="E14" s="510"/>
      <c r="F14" s="510"/>
      <c r="G14" s="510"/>
      <c r="H14" s="510"/>
      <c r="I14" s="516">
        <f>SUM(I10:I13)</f>
        <v>0</v>
      </c>
      <c r="J14" s="516"/>
      <c r="K14" s="516"/>
      <c r="L14" s="516">
        <f>SUM(L10:L13)</f>
        <v>0</v>
      </c>
      <c r="M14" s="516"/>
      <c r="N14" s="517"/>
      <c r="O14" s="303"/>
      <c r="P14" s="552"/>
      <c r="Q14" s="553"/>
      <c r="R14" s="553"/>
      <c r="S14" s="553"/>
      <c r="T14" s="553"/>
      <c r="U14" s="553"/>
      <c r="V14" s="553"/>
      <c r="W14" s="554">
        <f>SUM(W10:W13)</f>
        <v>0</v>
      </c>
      <c r="X14" s="554"/>
      <c r="Y14" s="554"/>
      <c r="Z14" s="555">
        <f>SUM(Z10:Z13)</f>
        <v>0</v>
      </c>
      <c r="AA14" s="555"/>
      <c r="AB14" s="556"/>
      <c r="AC14" s="303"/>
      <c r="AD14" s="624"/>
      <c r="AE14" s="624"/>
      <c r="AF14" s="624"/>
      <c r="AG14" s="624"/>
      <c r="AH14" s="624"/>
      <c r="AI14" s="624"/>
      <c r="AJ14" s="624"/>
      <c r="AK14" s="624"/>
      <c r="AL14" s="624"/>
      <c r="AM14" s="624"/>
      <c r="AN14" s="624"/>
      <c r="AO14" s="22"/>
    </row>
    <row r="15" spans="1:41" ht="27" customHeight="1" thickBot="1" x14ac:dyDescent="0.65">
      <c r="A15" s="274"/>
      <c r="B15" s="275"/>
      <c r="C15" s="275"/>
      <c r="D15" s="275"/>
      <c r="E15" s="275"/>
      <c r="F15" s="275"/>
      <c r="G15" s="275"/>
      <c r="H15" s="275"/>
      <c r="I15" s="275"/>
      <c r="J15" s="275"/>
      <c r="K15" s="275"/>
      <c r="L15" s="276"/>
      <c r="M15" s="22"/>
      <c r="N15" s="22"/>
      <c r="O15" s="303"/>
      <c r="P15" s="303"/>
      <c r="Q15" s="303"/>
      <c r="R15" s="303"/>
      <c r="S15" s="303"/>
      <c r="T15" s="303"/>
      <c r="U15" s="303"/>
      <c r="V15" s="303"/>
      <c r="W15" s="303"/>
      <c r="X15" s="303"/>
      <c r="Y15" s="303"/>
      <c r="Z15" s="303"/>
      <c r="AA15" s="303"/>
      <c r="AB15" s="303"/>
      <c r="AC15" s="303"/>
      <c r="AD15" s="624"/>
      <c r="AE15" s="624"/>
      <c r="AF15" s="624"/>
      <c r="AG15" s="624"/>
      <c r="AH15" s="624"/>
      <c r="AI15" s="624"/>
      <c r="AJ15" s="624"/>
      <c r="AK15" s="624"/>
      <c r="AL15" s="624"/>
      <c r="AM15" s="624"/>
      <c r="AN15" s="624"/>
      <c r="AO15" s="22"/>
    </row>
    <row r="16" spans="1:41" ht="27" customHeight="1" thickBot="1" x14ac:dyDescent="0.65">
      <c r="A16" s="543" t="s">
        <v>100</v>
      </c>
      <c r="B16" s="544"/>
      <c r="C16" s="544"/>
      <c r="D16" s="544"/>
      <c r="E16" s="544"/>
      <c r="F16" s="544"/>
      <c r="G16" s="544"/>
      <c r="H16" s="544"/>
      <c r="I16" s="545" t="s">
        <v>135</v>
      </c>
      <c r="J16" s="546"/>
      <c r="K16" s="546"/>
      <c r="L16" s="545" t="s">
        <v>136</v>
      </c>
      <c r="M16" s="546"/>
      <c r="N16" s="547"/>
      <c r="O16" s="303"/>
      <c r="P16" s="303"/>
      <c r="Q16" s="303"/>
      <c r="R16" s="303"/>
      <c r="S16" s="303"/>
      <c r="T16" s="303"/>
      <c r="U16" s="303"/>
      <c r="V16" s="303"/>
      <c r="W16" s="303"/>
      <c r="X16" s="303"/>
      <c r="Y16" s="303"/>
      <c r="Z16" s="303"/>
      <c r="AA16" s="303"/>
      <c r="AB16" s="303"/>
      <c r="AC16" s="303"/>
      <c r="AD16" s="624"/>
      <c r="AE16" s="624"/>
      <c r="AF16" s="624"/>
      <c r="AG16" s="624"/>
      <c r="AH16" s="624"/>
      <c r="AI16" s="624"/>
      <c r="AJ16" s="624"/>
      <c r="AK16" s="624"/>
      <c r="AL16" s="624"/>
      <c r="AM16" s="624"/>
      <c r="AN16" s="624"/>
      <c r="AO16" s="22"/>
    </row>
    <row r="17" spans="1:41" s="29" customFormat="1" ht="27" customHeight="1" thickBot="1" x14ac:dyDescent="0.65">
      <c r="A17" s="511" t="s">
        <v>101</v>
      </c>
      <c r="B17" s="512"/>
      <c r="C17" s="512"/>
      <c r="D17" s="512"/>
      <c r="E17" s="512"/>
      <c r="F17" s="512"/>
      <c r="G17" s="512"/>
      <c r="H17" s="512"/>
      <c r="I17" s="516" cm="1">
        <f t="array" ref="I17">SUM(I23,-I19:J22)</f>
        <v>0</v>
      </c>
      <c r="J17" s="516"/>
      <c r="K17" s="516"/>
      <c r="L17" s="516">
        <f>IFERROR(ROUND(I17/$R$1,0),0)</f>
        <v>0</v>
      </c>
      <c r="M17" s="516"/>
      <c r="N17" s="517"/>
      <c r="O17" s="303"/>
      <c r="P17" s="303"/>
      <c r="Q17" s="303"/>
      <c r="R17" s="303"/>
      <c r="S17" s="303"/>
      <c r="T17" s="303"/>
      <c r="U17" s="303"/>
      <c r="V17" s="303"/>
      <c r="W17" s="303"/>
      <c r="X17" s="303"/>
      <c r="Y17" s="303"/>
      <c r="Z17" s="303"/>
      <c r="AA17" s="303"/>
      <c r="AB17" s="303"/>
      <c r="AC17" s="303"/>
      <c r="AD17" s="624"/>
      <c r="AE17" s="624"/>
      <c r="AF17" s="624"/>
      <c r="AG17" s="624"/>
      <c r="AH17" s="624"/>
      <c r="AI17" s="624"/>
      <c r="AJ17" s="624"/>
      <c r="AK17" s="624"/>
      <c r="AL17" s="624"/>
      <c r="AM17" s="624"/>
      <c r="AN17" s="624"/>
      <c r="AO17" s="22"/>
    </row>
    <row r="18" spans="1:41" ht="27" customHeight="1" thickBot="1" x14ac:dyDescent="0.65">
      <c r="A18" s="513" t="s">
        <v>1845</v>
      </c>
      <c r="B18" s="514"/>
      <c r="C18" s="514"/>
      <c r="D18" s="514"/>
      <c r="E18" s="514"/>
      <c r="F18" s="514"/>
      <c r="G18" s="514"/>
      <c r="H18" s="514"/>
      <c r="I18" s="514"/>
      <c r="J18" s="514"/>
      <c r="K18" s="514"/>
      <c r="L18" s="514"/>
      <c r="M18" s="514"/>
      <c r="N18" s="515"/>
      <c r="O18" s="303"/>
      <c r="P18" s="303"/>
      <c r="Q18" s="303"/>
      <c r="R18" s="303"/>
      <c r="S18" s="303"/>
      <c r="T18" s="303"/>
      <c r="U18" s="303"/>
      <c r="V18" s="303"/>
      <c r="W18" s="303"/>
      <c r="X18" s="303"/>
      <c r="Y18" s="303"/>
      <c r="Z18" s="303"/>
      <c r="AA18" s="303"/>
      <c r="AB18" s="303"/>
      <c r="AC18" s="303"/>
      <c r="AD18" s="624"/>
      <c r="AE18" s="624"/>
      <c r="AF18" s="624"/>
      <c r="AG18" s="624"/>
      <c r="AH18" s="624"/>
      <c r="AI18" s="624"/>
      <c r="AJ18" s="624"/>
      <c r="AK18" s="624"/>
      <c r="AL18" s="624"/>
      <c r="AM18" s="624"/>
      <c r="AN18" s="624"/>
      <c r="AO18" s="22"/>
    </row>
    <row r="19" spans="1:41" ht="27" customHeight="1" x14ac:dyDescent="0.6">
      <c r="A19" s="522" t="s">
        <v>102</v>
      </c>
      <c r="B19" s="523"/>
      <c r="C19" s="523"/>
      <c r="D19" s="523"/>
      <c r="E19" s="523"/>
      <c r="F19" s="523"/>
      <c r="G19" s="523"/>
      <c r="H19" s="524"/>
      <c r="I19" s="518">
        <f>SUMIFS(Input[T. W. - Stat (NR AFR) E&amp;G], Input[Type],$R$2)+SUMIFS(Input[T. W. - Stat (NR AFR) Desg], Input[Type],$R$2)+SUMIFS(Input[T. W. - Stat (NR AFR) Aux], Input[Type],$R$2)+SUMIFS(Input[T. W. - Stat (NR AFR) R Exp], Input[Type],$R$2)+SUMIFS(Input[T. W. - Stat (NR AFR) Loan], Input[Type],$R$2)+SUMIFS(Input[T. W. - Stat (NR AFR) Annuity], Input[Type],$R$2)+SUMIFS(Input[T. W. - Stat (NR AFR) Unexp], Input[Type],$R$2)+SUMIFS(Input[T. W. - Stat (NR AFR) R of Ind], Input[Type],$R$2)+SUMIFS(Input[T. W. - Stat (NR AFR) Inv in P], Input[Type],$R$2)</f>
        <v>0</v>
      </c>
      <c r="J19" s="518"/>
      <c r="K19" s="518"/>
      <c r="L19" s="529">
        <f>IFERROR(ROUND(I19/$R$1,0),0)</f>
        <v>0</v>
      </c>
      <c r="M19" s="529"/>
      <c r="N19" s="530"/>
      <c r="O19" s="303"/>
      <c r="P19" s="303"/>
      <c r="Q19" s="303"/>
      <c r="R19" s="303"/>
      <c r="S19" s="303"/>
      <c r="T19" s="303"/>
      <c r="U19" s="303"/>
      <c r="V19" s="303"/>
      <c r="W19" s="303"/>
      <c r="X19" s="303"/>
      <c r="Y19" s="303"/>
      <c r="Z19" s="303"/>
      <c r="AA19" s="303"/>
      <c r="AB19" s="303"/>
      <c r="AC19" s="303"/>
      <c r="AD19" s="624"/>
      <c r="AE19" s="624"/>
      <c r="AF19" s="624"/>
      <c r="AG19" s="624"/>
      <c r="AH19" s="624"/>
      <c r="AI19" s="624"/>
      <c r="AJ19" s="624"/>
      <c r="AK19" s="624"/>
      <c r="AL19" s="624"/>
      <c r="AM19" s="624"/>
      <c r="AN19" s="624"/>
      <c r="AO19" s="22"/>
    </row>
    <row r="20" spans="1:41" ht="27" customHeight="1" x14ac:dyDescent="0.6">
      <c r="A20" s="525" t="s">
        <v>103</v>
      </c>
      <c r="B20" s="434"/>
      <c r="C20" s="434"/>
      <c r="D20" s="434"/>
      <c r="E20" s="434"/>
      <c r="F20" s="434"/>
      <c r="G20" s="434"/>
      <c r="H20" s="435"/>
      <c r="I20" s="519">
        <f>SUMIFS(Input[T. W. - Inst. (NR AFR) E&amp;G], Input[Type],$R$2)+SUMIFS(Input[T. W. - Inst. (NR AFR) Desg], Input[Type],$R$2)+SUMIFS(Input[T. W. - Inst. (NR AFR) Aux], Input[Type],$R$2)+SUMIFS(Input[T. W. - Inst. (NR AFR) R Exp], Input[Type],$R$2)+SUMIFS(Input[T. W. - Inst. (NR AFR) Loan], Input[Type],$R$2)+SUMIFS(Input[T. W. - Inst. (NR AFR) Annuity], Input[Type],$R$2)+SUMIFS(Input[T. W. - Inst. (NR AFR) Unexp], Input[Type],$R$2)+SUMIFS(Input[T. W. - Inst. (NR AFR) R of Ind], Input[Type],$R$2)+SUMIFS(Input[T. W. - Inst. (NR AFR) Inv in P], Input[Type],$R$2)</f>
        <v>0</v>
      </c>
      <c r="J20" s="519"/>
      <c r="K20" s="519"/>
      <c r="L20" s="432">
        <f t="shared" ref="L20:L22" si="1">IFERROR(ROUND(I20/$R$1,0),0)</f>
        <v>0</v>
      </c>
      <c r="M20" s="432"/>
      <c r="N20" s="536"/>
      <c r="O20" s="303"/>
      <c r="P20" s="303"/>
      <c r="Q20" s="303"/>
      <c r="R20" s="303"/>
      <c r="S20" s="303"/>
      <c r="T20" s="303"/>
      <c r="U20" s="303"/>
      <c r="V20" s="303"/>
      <c r="W20" s="303"/>
      <c r="X20" s="303"/>
      <c r="Y20" s="303"/>
      <c r="Z20" s="303"/>
      <c r="AA20" s="303"/>
      <c r="AB20" s="303"/>
      <c r="AC20" s="303"/>
      <c r="AD20" s="624"/>
      <c r="AE20" s="624"/>
      <c r="AF20" s="624"/>
      <c r="AG20" s="624"/>
      <c r="AH20" s="624"/>
      <c r="AI20" s="624"/>
      <c r="AJ20" s="624"/>
      <c r="AK20" s="624"/>
      <c r="AL20" s="624"/>
      <c r="AM20" s="624"/>
      <c r="AN20" s="624"/>
      <c r="AO20" s="22"/>
    </row>
    <row r="21" spans="1:41" ht="27" customHeight="1" x14ac:dyDescent="0.6">
      <c r="A21" s="525" t="s">
        <v>104</v>
      </c>
      <c r="B21" s="434"/>
      <c r="C21" s="434"/>
      <c r="D21" s="434"/>
      <c r="E21" s="434"/>
      <c r="F21" s="434"/>
      <c r="G21" s="434"/>
      <c r="H21" s="435"/>
      <c r="I21" s="519">
        <f>SUMIFS(Input[T. Exp. - Stat (NR AFR) E&amp;G], Input[Type],$R$2)+SUMIFS(Input[T. Exp. - Stat (NR AFR) Desg], Input[Type],$R$2)+SUMIFS(Input[T. Exp. - Stat (NR AFR) Aux], Input[Type],$R$2)+SUMIFS(Input[T. Exp. - Stat (NR AFR) R Exp], Input[Type],$R$2)+SUMIFS(Input[T. Exp. - Stat (NR AFR) Loan], Input[Type],$R$2)+SUMIFS(Input[T. Exp. - Stat (NR AFR) Annuity], Input[Type],$R$2)+SUMIFS(Input[T. Exp. - Stat (NR AFR) Unexp], Input[Type],$R$2)+SUMIFS(Input[T. Exp. - Stat (NR AFR) R of Ind], Input[Type],$R$2)+SUMIFS(Input[T. Exp. - Stat (NR AFR) Inv in P], Input[Type],$R$2)</f>
        <v>0</v>
      </c>
      <c r="J21" s="519"/>
      <c r="K21" s="519"/>
      <c r="L21" s="432">
        <f t="shared" si="1"/>
        <v>0</v>
      </c>
      <c r="M21" s="432"/>
      <c r="N21" s="536"/>
      <c r="O21" s="303"/>
      <c r="P21" s="303"/>
      <c r="Q21" s="303"/>
      <c r="R21" s="303"/>
      <c r="S21" s="303"/>
      <c r="T21" s="303"/>
      <c r="U21" s="303"/>
      <c r="V21" s="303"/>
      <c r="W21" s="303"/>
      <c r="X21" s="303"/>
      <c r="Y21" s="303"/>
      <c r="Z21" s="303"/>
      <c r="AA21" s="303"/>
      <c r="AB21" s="303"/>
      <c r="AC21" s="303"/>
      <c r="AD21" s="624"/>
      <c r="AE21" s="624"/>
      <c r="AF21" s="624"/>
      <c r="AG21" s="624"/>
      <c r="AH21" s="624"/>
      <c r="AI21" s="624"/>
      <c r="AJ21" s="624"/>
      <c r="AK21" s="624"/>
      <c r="AL21" s="624"/>
      <c r="AM21" s="624"/>
      <c r="AN21" s="624"/>
      <c r="AO21" s="22"/>
    </row>
    <row r="22" spans="1:41" ht="27" customHeight="1" thickBot="1" x14ac:dyDescent="0.65">
      <c r="A22" s="531" t="s">
        <v>105</v>
      </c>
      <c r="B22" s="532"/>
      <c r="C22" s="532"/>
      <c r="D22" s="532"/>
      <c r="E22" s="532"/>
      <c r="F22" s="532"/>
      <c r="G22" s="532"/>
      <c r="H22" s="533"/>
      <c r="I22" s="520">
        <f>SUMIFS(Input[T. Exp. - Inst. (NR AFR) E&amp;G], Input[Type],$R$2)+SUMIFS(Input[T. Exp. - Inst. (NR AFR) Desg], Input[Type],$R$2)+SUMIFS(Input[T. Exp. - Inst. (NR AFR) Aux], Input[Type],$R$2)+SUMIFS(Input[T. Exp. - Inst. (NR AFR) R Exp], Input[Type],$R$2)+SUMIFS(Input[T. Exp. - Inst. (NR AFR) Loan], Input[Type],$R$2)+SUMIFS(Input[T. Exp. - Inst. (NR AFR) Annuity], Input[Type],$R$2)+SUMIFS(Input[T. Exp. - Inst. (NR AFR) Unexp], Input[Type],$R$2)+SUMIFS(Input[T. Exp. - Inst. (NR AFR) R of Ind], Input[Type],$R$2)+SUMIFS(Input[T. Exp. - Inst. (NR AFR) Inv in P], Input[Type],$R$2)</f>
        <v>0</v>
      </c>
      <c r="J22" s="520"/>
      <c r="K22" s="520"/>
      <c r="L22" s="534">
        <f t="shared" si="1"/>
        <v>0</v>
      </c>
      <c r="M22" s="534"/>
      <c r="N22" s="535"/>
      <c r="O22" s="303"/>
      <c r="P22" s="303"/>
      <c r="Q22" s="303"/>
      <c r="R22" s="303"/>
      <c r="S22" s="303"/>
      <c r="T22" s="303"/>
      <c r="U22" s="303"/>
      <c r="V22" s="303"/>
      <c r="W22" s="303"/>
      <c r="X22" s="303"/>
      <c r="Y22" s="303"/>
      <c r="Z22" s="303"/>
      <c r="AA22" s="303"/>
      <c r="AB22" s="303"/>
      <c r="AC22" s="303"/>
      <c r="AD22" s="624"/>
      <c r="AE22" s="624"/>
      <c r="AF22" s="624"/>
      <c r="AG22" s="624"/>
      <c r="AH22" s="624"/>
      <c r="AI22" s="624"/>
      <c r="AJ22" s="624"/>
      <c r="AK22" s="624"/>
      <c r="AL22" s="624"/>
      <c r="AM22" s="624"/>
      <c r="AN22" s="624"/>
      <c r="AO22" s="22"/>
    </row>
    <row r="23" spans="1:41" ht="27" customHeight="1" thickBot="1" x14ac:dyDescent="0.65">
      <c r="A23" s="526" t="s">
        <v>848</v>
      </c>
      <c r="B23" s="527"/>
      <c r="C23" s="527"/>
      <c r="D23" s="527"/>
      <c r="E23" s="527"/>
      <c r="F23" s="527"/>
      <c r="G23" s="527"/>
      <c r="H23" s="528"/>
      <c r="I23" s="521">
        <f>SUMIFS(Input[T. - Gross E&amp;G], Input[Type],$R$2)+SUMIFS(Input[T. - Gross Desg], Input[Type],$R$2)+SUMIFS(Input[T. - Gross Aux], Input[Type],$R$2)+SUMIFS(Input[T. - Gross R Exp], Input[Type],$R$2)+SUMIFS(Input[T. - Gross Loan], Input[Type],$R$2)+SUMIFS(Input[T. - Gross Annuity], Input[Type],$R$2)+SUMIFS(Input[T. - Gross Unexp], Input[Type],$R$2)+SUMIFS(Input[T. - Gross R of Ind], Input[Type],$R$2)+SUMIFS(Input[T. - Gross Inv in P], Input[Type],$R$2)</f>
        <v>0</v>
      </c>
      <c r="J23" s="521"/>
      <c r="K23" s="521"/>
      <c r="L23" s="516">
        <f>IFERROR(ROUND(I23/$R$1,0),0)</f>
        <v>0</v>
      </c>
      <c r="M23" s="516"/>
      <c r="N23" s="517"/>
      <c r="O23" s="303"/>
      <c r="P23" s="303"/>
      <c r="Q23" s="303"/>
      <c r="R23" s="303"/>
      <c r="S23" s="303"/>
      <c r="T23" s="303"/>
      <c r="U23" s="303"/>
      <c r="V23" s="303"/>
      <c r="W23" s="303"/>
      <c r="X23" s="303"/>
      <c r="Y23" s="303"/>
      <c r="Z23" s="303"/>
      <c r="AA23" s="303"/>
      <c r="AB23" s="303"/>
      <c r="AC23" s="303"/>
      <c r="AD23" s="624"/>
      <c r="AE23" s="624"/>
      <c r="AF23" s="624"/>
      <c r="AG23" s="624"/>
      <c r="AH23" s="624"/>
      <c r="AI23" s="624"/>
      <c r="AJ23" s="624"/>
      <c r="AK23" s="624"/>
      <c r="AL23" s="624"/>
      <c r="AM23" s="624"/>
      <c r="AN23" s="624"/>
      <c r="AO23" s="22"/>
    </row>
    <row r="24" spans="1:41" ht="27" customHeight="1" thickBot="1" x14ac:dyDescent="0.65">
      <c r="A24" s="513" t="s">
        <v>1846</v>
      </c>
      <c r="B24" s="514"/>
      <c r="C24" s="514"/>
      <c r="D24" s="514"/>
      <c r="E24" s="514"/>
      <c r="F24" s="514"/>
      <c r="G24" s="514"/>
      <c r="H24" s="514"/>
      <c r="I24" s="514"/>
      <c r="J24" s="514"/>
      <c r="K24" s="514"/>
      <c r="L24" s="514"/>
      <c r="M24" s="514"/>
      <c r="N24" s="515"/>
      <c r="O24" s="303"/>
      <c r="P24" s="303"/>
      <c r="Q24" s="303"/>
      <c r="R24" s="303"/>
      <c r="S24" s="303"/>
      <c r="T24" s="303"/>
      <c r="U24" s="303"/>
      <c r="V24" s="303"/>
      <c r="W24" s="303"/>
      <c r="X24" s="303"/>
      <c r="Y24" s="303"/>
      <c r="Z24" s="303"/>
      <c r="AA24" s="303"/>
      <c r="AB24" s="303"/>
      <c r="AC24" s="303"/>
      <c r="AD24" s="624"/>
      <c r="AE24" s="624"/>
      <c r="AF24" s="624"/>
      <c r="AG24" s="624"/>
      <c r="AH24" s="624"/>
      <c r="AI24" s="624"/>
      <c r="AJ24" s="624"/>
      <c r="AK24" s="624"/>
      <c r="AL24" s="624"/>
      <c r="AM24" s="624"/>
      <c r="AN24" s="624"/>
      <c r="AO24" s="22"/>
    </row>
    <row r="25" spans="1:41" ht="27" customHeight="1" x14ac:dyDescent="0.6">
      <c r="A25" s="522" t="s">
        <v>102</v>
      </c>
      <c r="B25" s="523"/>
      <c r="C25" s="523"/>
      <c r="D25" s="523"/>
      <c r="E25" s="523"/>
      <c r="F25" s="523"/>
      <c r="G25" s="523"/>
      <c r="H25" s="524"/>
      <c r="I25" s="518">
        <f>SUMIFS(Input[T. W. - Stat (R AFR) E&amp;G], Input[Type],$R$2)+SUMIFS(Input[T. W. - Stat (R AFR) Desg], Input[Type],$R$2)+SUMIFS(Input[T. W. - Stat (R AFR) Aux], Input[Type],$R$2)+SUMIFS(Input[T. W. - Stat (R AFR) R Exp], Input[Type],$R$2)+SUMIFS(Input[T. W. - Stat (R AFR) Loan], Input[Type],$R$2)+SUMIFS(Input[T. W. - Stat (R AFR) Annuity], Input[Type],$R$2)+SUMIFS(Input[T. W. - Stat (R AFR) Unexp], Input[Type],$R$2)+SUMIFS(Input[T. W. - Stat (R AFR) R of Ind], Input[Type],$R$2)+SUMIFS(Input[T. W. - Stat (R AFR) Inv in P], Input[Type],$R$2)</f>
        <v>0</v>
      </c>
      <c r="J25" s="518"/>
      <c r="K25" s="518"/>
      <c r="L25" s="529">
        <f>IFERROR(ROUND(I25/$R$1,0),0)</f>
        <v>0</v>
      </c>
      <c r="M25" s="529"/>
      <c r="N25" s="530"/>
      <c r="O25" s="303"/>
      <c r="P25" s="303"/>
      <c r="Q25" s="303"/>
      <c r="R25" s="303"/>
      <c r="S25" s="303"/>
      <c r="T25" s="303"/>
      <c r="U25" s="303"/>
      <c r="V25" s="303"/>
      <c r="W25" s="303"/>
      <c r="X25" s="303"/>
      <c r="Y25" s="303"/>
      <c r="Z25" s="304"/>
      <c r="AA25" s="304"/>
      <c r="AB25" s="304"/>
      <c r="AC25" s="303"/>
      <c r="AD25" s="624"/>
      <c r="AE25" s="624"/>
      <c r="AF25" s="624"/>
      <c r="AG25" s="624"/>
      <c r="AH25" s="624"/>
      <c r="AI25" s="624"/>
      <c r="AJ25" s="624"/>
      <c r="AK25" s="624"/>
      <c r="AL25" s="624"/>
      <c r="AM25" s="624"/>
      <c r="AN25" s="624"/>
      <c r="AO25" s="22"/>
    </row>
    <row r="26" spans="1:41" ht="27" customHeight="1" x14ac:dyDescent="0.6">
      <c r="A26" s="525" t="s">
        <v>103</v>
      </c>
      <c r="B26" s="434"/>
      <c r="C26" s="434"/>
      <c r="D26" s="434"/>
      <c r="E26" s="434"/>
      <c r="F26" s="434"/>
      <c r="G26" s="434"/>
      <c r="H26" s="435"/>
      <c r="I26" s="519">
        <f>SUMIFS(Input[T. W. - Inst. (R AFR) E&amp;G], Input[Type],$R$2)+SUMIFS(Input[T. W. - Inst. (R AFR) Desg], Input[Type],$R$2)+SUMIFS(Input[T. W. - Inst. (R AFR) Aux], Input[Type],$R$2)+SUMIFS(Input[T. W. - Inst. (R AFR) R Exp], Input[Type],$R$2)+SUMIFS(Input[T. W. - Inst. (R AFR) Loan], Input[Type],$R$2)+SUMIFS(Input[T. W. - Inst. (R AFR) Annuity], Input[Type],$R$2)+SUMIFS(Input[T. W. - Inst. (R AFR) Unexp], Input[Type],$R$2)+SUMIFS(Input[T. W. - Inst. (R AFR) R of Ind], Input[Type],$R$2)+SUMIFS(Input[T. W. - Inst. (R AFR) Inv in P], Input[Type],$R$2)</f>
        <v>0</v>
      </c>
      <c r="J26" s="519"/>
      <c r="K26" s="519"/>
      <c r="L26" s="432">
        <f t="shared" ref="L26:L29" si="2">IFERROR(ROUND(I26/$R$1,0),0)</f>
        <v>0</v>
      </c>
      <c r="M26" s="432"/>
      <c r="N26" s="536"/>
      <c r="O26" s="303"/>
      <c r="P26" s="598" t="str">
        <f>IF(ISBLANK(A1),"","Figure 1: Total Revenue by Operating Source Category")</f>
        <v/>
      </c>
      <c r="Q26" s="598"/>
      <c r="R26" s="598"/>
      <c r="S26" s="598"/>
      <c r="T26" s="598"/>
      <c r="U26" s="598"/>
      <c r="V26" s="598"/>
      <c r="W26" s="598"/>
      <c r="X26" s="598"/>
      <c r="Y26" s="598"/>
      <c r="Z26" s="304"/>
      <c r="AA26" s="304"/>
      <c r="AB26" s="304"/>
      <c r="AC26" s="303"/>
      <c r="AD26" s="624"/>
      <c r="AE26" s="624"/>
      <c r="AF26" s="624"/>
      <c r="AG26" s="624"/>
      <c r="AH26" s="624"/>
      <c r="AI26" s="624"/>
      <c r="AJ26" s="624"/>
      <c r="AK26" s="624"/>
      <c r="AL26" s="624"/>
      <c r="AM26" s="624"/>
      <c r="AN26" s="624"/>
      <c r="AO26" s="22"/>
    </row>
    <row r="27" spans="1:41" ht="27" customHeight="1" x14ac:dyDescent="0.6">
      <c r="A27" s="525" t="s">
        <v>104</v>
      </c>
      <c r="B27" s="434"/>
      <c r="C27" s="434"/>
      <c r="D27" s="434"/>
      <c r="E27" s="434"/>
      <c r="F27" s="434"/>
      <c r="G27" s="434"/>
      <c r="H27" s="435"/>
      <c r="I27" s="519">
        <f>SUMIFS(Input[T. Exp. - Stat (R AFR) E&amp;G], Input[Type],$R$2)+SUMIFS(Input[T. Exp. - Stat (R AFR) Desg], Input[Type],$R$2)+SUMIFS(Input[T. Exp. - Stat (R AFR) Aux], Input[Type],$R$2)+SUMIFS(Input[T. Exp. - Stat (R AFR) R Exp], Input[Type],$R$2)+SUMIFS(Input[T. Exp. - Stat (R AFR) Loan], Input[Type],$R$2)+SUMIFS(Input[T. Exp. - Stat (R AFR) Annuity], Input[Type],$R$2)+SUMIFS(Input[T. Exp. - Stat (R AFR) Unexp], Input[Type],$R$2)+SUMIFS(Input[T. Exp. - Stat (R AFR) R of Ind], Input[Type],$R$2)+SUMIFS(Input[T. Exp. - Stat (R AFR) Inv in P], Input[Type],$R$2)</f>
        <v>0</v>
      </c>
      <c r="J27" s="519"/>
      <c r="K27" s="519"/>
      <c r="L27" s="432">
        <f t="shared" si="2"/>
        <v>0</v>
      </c>
      <c r="M27" s="432"/>
      <c r="N27" s="536"/>
      <c r="O27" s="303"/>
      <c r="P27" s="7"/>
      <c r="Q27" s="7"/>
      <c r="R27" s="7"/>
      <c r="S27" s="7"/>
      <c r="T27" s="7"/>
      <c r="U27" s="7"/>
      <c r="V27" s="7"/>
      <c r="W27" s="7"/>
      <c r="X27" s="7"/>
      <c r="Y27" s="7"/>
      <c r="Z27" s="7"/>
      <c r="AA27" s="7"/>
      <c r="AB27" s="7"/>
      <c r="AC27" s="181"/>
      <c r="AD27" s="624"/>
      <c r="AE27" s="624"/>
      <c r="AF27" s="624"/>
      <c r="AG27" s="624"/>
      <c r="AH27" s="624"/>
      <c r="AI27" s="624"/>
      <c r="AJ27" s="624"/>
      <c r="AK27" s="624"/>
      <c r="AL27" s="624"/>
      <c r="AM27" s="624"/>
      <c r="AN27" s="624"/>
      <c r="AO27" s="22"/>
    </row>
    <row r="28" spans="1:41" ht="27" customHeight="1" x14ac:dyDescent="0.6">
      <c r="A28" s="525" t="s">
        <v>105</v>
      </c>
      <c r="B28" s="434"/>
      <c r="C28" s="434"/>
      <c r="D28" s="434"/>
      <c r="E28" s="434"/>
      <c r="F28" s="434"/>
      <c r="G28" s="434"/>
      <c r="H28" s="435"/>
      <c r="I28" s="519">
        <f>SUMIFS(Input[T. Exp. - Inst. (R AFR) E&amp;G], Input[Type],$R$2)+SUMIFS(Input[T. Exp. - Inst. (R AFR) Desg], Input[Type],$R$2)+SUMIFS(Input[T. Exp. - Inst. (R AFR) Aux], Input[Type],$R$2)+SUMIFS(Input[T. Exp. - Inst. (R AFR) R Exp], Input[Type],$R$2)+SUMIFS(Input[T. Exp. - Inst. (R AFR) Loan], Input[Type],$R$2)+SUMIFS(Input[T. Exp. - Inst. (R AFR) Annuity], Input[Type],$R$2)+SUMIFS(Input[T. Exp. - Inst. (R AFR) Unexp], Input[Type],$R$2)+SUMIFS(Input[T. Exp. - Inst. (R AFR) R of Ind], Input[Type],$R$2)+SUMIFS(Input[T. Exp. - Inst. (R AFR) Inv in P], Input[Type],$R$2)</f>
        <v>0</v>
      </c>
      <c r="J28" s="519"/>
      <c r="K28" s="519"/>
      <c r="L28" s="432">
        <f t="shared" si="2"/>
        <v>0</v>
      </c>
      <c r="M28" s="432"/>
      <c r="N28" s="536"/>
      <c r="O28" s="303"/>
      <c r="P28" s="7"/>
      <c r="Q28" s="7"/>
      <c r="R28" s="7"/>
      <c r="S28" s="7"/>
      <c r="T28" s="7"/>
      <c r="U28" s="7"/>
      <c r="V28" s="7"/>
      <c r="W28" s="7"/>
      <c r="X28" s="7"/>
      <c r="Y28" s="7"/>
      <c r="Z28" s="7"/>
      <c r="AA28" s="7"/>
      <c r="AB28" s="7"/>
      <c r="AC28" s="305"/>
      <c r="AD28" s="624"/>
      <c r="AE28" s="624"/>
      <c r="AF28" s="624"/>
      <c r="AG28" s="624"/>
      <c r="AH28" s="624"/>
      <c r="AI28" s="624"/>
      <c r="AJ28" s="624"/>
      <c r="AK28" s="624"/>
      <c r="AL28" s="624"/>
      <c r="AM28" s="624"/>
      <c r="AN28" s="624"/>
      <c r="AO28" s="22"/>
    </row>
    <row r="29" spans="1:41" ht="27" customHeight="1" thickBot="1" x14ac:dyDescent="0.65">
      <c r="A29" s="525" t="s">
        <v>141</v>
      </c>
      <c r="B29" s="434"/>
      <c r="C29" s="434"/>
      <c r="D29" s="434"/>
      <c r="E29" s="434"/>
      <c r="F29" s="434"/>
      <c r="G29" s="434"/>
      <c r="H29" s="435"/>
      <c r="I29" s="520">
        <f>SUMIFS(Input[T. Schlr E&amp;G], Input[Type],$R$2)+SUMIFS(Input[T. Schlr Desg], Input[Type],$R$2)+SUMIFS(Input[T. Schlr Aux], Input[Type],$R$2)+SUMIFS(Input[T. Schlr R Exp], Input[Type],$R$2)+SUMIFS(Input[T. Schlr Loan], Input[Type],$R$2)+SUMIFS(Input[T. Schlr Annuity], Input[Type],$R$2)+SUMIFS(Input[T. Schlr Unexp], Input[Type],$R$2)+SUMIFS(Input[T. Schlr R of Ind], Input[Type],$R$2)+SUMIFS(Input[T. Schlr Inv in P], Input[Type],$R$2)</f>
        <v>0</v>
      </c>
      <c r="J29" s="520"/>
      <c r="K29" s="520"/>
      <c r="L29" s="534">
        <f t="shared" si="2"/>
        <v>0</v>
      </c>
      <c r="M29" s="534"/>
      <c r="N29" s="535"/>
      <c r="O29" s="303"/>
      <c r="P29" s="7"/>
      <c r="Q29" s="7"/>
      <c r="R29" s="7"/>
      <c r="S29" s="7"/>
      <c r="T29" s="7"/>
      <c r="U29" s="7"/>
      <c r="V29" s="7"/>
      <c r="W29" s="7"/>
      <c r="X29" s="7"/>
      <c r="Y29" s="7"/>
      <c r="Z29" s="7"/>
      <c r="AA29" s="7"/>
      <c r="AB29" s="7"/>
      <c r="AC29" s="305"/>
      <c r="AD29" s="624"/>
      <c r="AE29" s="624"/>
      <c r="AF29" s="624"/>
      <c r="AG29" s="624"/>
      <c r="AH29" s="624"/>
      <c r="AI29" s="624"/>
      <c r="AJ29" s="624"/>
      <c r="AK29" s="624"/>
      <c r="AL29" s="624"/>
      <c r="AM29" s="624"/>
      <c r="AN29" s="624"/>
      <c r="AO29" s="22"/>
    </row>
    <row r="30" spans="1:41" ht="27" customHeight="1" thickBot="1" x14ac:dyDescent="0.65">
      <c r="A30" s="509" t="s">
        <v>106</v>
      </c>
      <c r="B30" s="510"/>
      <c r="C30" s="510"/>
      <c r="D30" s="510"/>
      <c r="E30" s="510"/>
      <c r="F30" s="510"/>
      <c r="G30" s="510"/>
      <c r="H30" s="510"/>
      <c r="I30" s="516">
        <f>SUM(I23,I25:I29)</f>
        <v>0</v>
      </c>
      <c r="J30" s="516"/>
      <c r="K30" s="516"/>
      <c r="L30" s="516">
        <f t="shared" ref="L30" si="3">IFERROR(I30/$R$1,0)</f>
        <v>0</v>
      </c>
      <c r="M30" s="516"/>
      <c r="N30" s="517"/>
      <c r="O30" s="303"/>
      <c r="P30" s="7"/>
      <c r="Q30" s="7"/>
      <c r="R30" s="7"/>
      <c r="S30" s="7"/>
      <c r="T30" s="7"/>
      <c r="U30" s="7"/>
      <c r="V30" s="7"/>
      <c r="W30" s="7"/>
      <c r="X30" s="7"/>
      <c r="Y30" s="7"/>
      <c r="Z30" s="7"/>
      <c r="AA30" s="7"/>
      <c r="AB30" s="7"/>
      <c r="AC30" s="305"/>
      <c r="AD30" s="624"/>
      <c r="AE30" s="624"/>
      <c r="AF30" s="624"/>
      <c r="AG30" s="624"/>
      <c r="AH30" s="624"/>
      <c r="AI30" s="624"/>
      <c r="AJ30" s="624"/>
      <c r="AK30" s="624"/>
      <c r="AL30" s="624"/>
      <c r="AM30" s="624"/>
      <c r="AN30" s="624"/>
      <c r="AO30" s="22"/>
    </row>
    <row r="31" spans="1:41" ht="27" customHeight="1" thickBot="1" x14ac:dyDescent="0.65">
      <c r="A31" s="274"/>
      <c r="B31" s="275"/>
      <c r="C31" s="275"/>
      <c r="D31" s="275"/>
      <c r="E31" s="275"/>
      <c r="F31" s="275"/>
      <c r="G31" s="275"/>
      <c r="H31" s="275"/>
      <c r="I31" s="283"/>
      <c r="J31" s="283"/>
      <c r="K31" s="283"/>
      <c r="L31" s="284"/>
      <c r="M31" s="22"/>
      <c r="N31" s="22"/>
      <c r="O31" s="303"/>
      <c r="P31" s="7"/>
      <c r="Q31" s="7"/>
      <c r="R31" s="7"/>
      <c r="S31" s="7"/>
      <c r="T31" s="7"/>
      <c r="U31" s="7"/>
      <c r="V31" s="7"/>
      <c r="W31" s="7"/>
      <c r="X31" s="7"/>
      <c r="Y31" s="7"/>
      <c r="Z31" s="7"/>
      <c r="AA31" s="7"/>
      <c r="AB31" s="7"/>
      <c r="AC31" s="305"/>
      <c r="AD31" s="624"/>
      <c r="AE31" s="624"/>
      <c r="AF31" s="624"/>
      <c r="AG31" s="624"/>
      <c r="AH31" s="624"/>
      <c r="AI31" s="624"/>
      <c r="AJ31" s="624"/>
      <c r="AK31" s="624"/>
      <c r="AL31" s="624"/>
      <c r="AM31" s="624"/>
      <c r="AN31" s="624"/>
      <c r="AO31" s="22"/>
    </row>
    <row r="32" spans="1:41" ht="27" customHeight="1" thickBot="1" x14ac:dyDescent="0.65">
      <c r="A32" s="511" t="s">
        <v>107</v>
      </c>
      <c r="B32" s="512"/>
      <c r="C32" s="512"/>
      <c r="D32" s="512"/>
      <c r="E32" s="512"/>
      <c r="F32" s="512"/>
      <c r="G32" s="512"/>
      <c r="H32" s="512"/>
      <c r="I32" s="516" cm="1">
        <f t="array" ref="I32">SUM(I38,-I34:J37)</f>
        <v>0</v>
      </c>
      <c r="J32" s="516"/>
      <c r="K32" s="516"/>
      <c r="L32" s="516">
        <f>IFERROR(ROUND(I32/$R$1,0),0)</f>
        <v>0</v>
      </c>
      <c r="M32" s="516"/>
      <c r="N32" s="517"/>
      <c r="O32" s="303"/>
      <c r="P32" s="580" t="s">
        <v>1787</v>
      </c>
      <c r="Q32" s="581"/>
      <c r="R32" s="581"/>
      <c r="S32" s="581"/>
      <c r="T32" s="581"/>
      <c r="U32" s="581"/>
      <c r="V32" s="581"/>
      <c r="W32" s="581"/>
      <c r="X32" s="581"/>
      <c r="Y32" s="582"/>
      <c r="Z32" s="7"/>
      <c r="AA32" s="7"/>
      <c r="AB32" s="7"/>
      <c r="AC32" s="182"/>
      <c r="AD32" s="624"/>
      <c r="AE32" s="624"/>
      <c r="AF32" s="624"/>
      <c r="AG32" s="624"/>
      <c r="AH32" s="624"/>
      <c r="AI32" s="624"/>
      <c r="AJ32" s="624"/>
      <c r="AK32" s="624"/>
      <c r="AL32" s="624"/>
      <c r="AM32" s="624"/>
      <c r="AN32" s="624"/>
      <c r="AO32" s="22"/>
    </row>
    <row r="33" spans="1:41" ht="27" customHeight="1" thickBot="1" x14ac:dyDescent="0.65">
      <c r="A33" s="513" t="s">
        <v>1847</v>
      </c>
      <c r="B33" s="514"/>
      <c r="C33" s="514"/>
      <c r="D33" s="514"/>
      <c r="E33" s="514"/>
      <c r="F33" s="514"/>
      <c r="G33" s="514"/>
      <c r="H33" s="514"/>
      <c r="I33" s="514"/>
      <c r="J33" s="514"/>
      <c r="K33" s="514"/>
      <c r="L33" s="514"/>
      <c r="M33" s="514"/>
      <c r="N33" s="515"/>
      <c r="O33" s="303"/>
      <c r="P33" s="579" t="s">
        <v>1783</v>
      </c>
      <c r="Q33" s="446"/>
      <c r="R33" s="446"/>
      <c r="S33" s="446"/>
      <c r="T33" s="446"/>
      <c r="U33" s="446"/>
      <c r="V33" s="447"/>
      <c r="W33" s="448">
        <f>SUM(I23,I38)</f>
        <v>0</v>
      </c>
      <c r="X33" s="448"/>
      <c r="Y33" s="612"/>
      <c r="Z33" s="7"/>
      <c r="AA33" s="7"/>
      <c r="AB33" s="7"/>
      <c r="AC33" s="182"/>
      <c r="AD33" s="624"/>
      <c r="AE33" s="624"/>
      <c r="AF33" s="624"/>
      <c r="AG33" s="624"/>
      <c r="AH33" s="624"/>
      <c r="AI33" s="624"/>
      <c r="AJ33" s="624"/>
      <c r="AK33" s="624"/>
      <c r="AL33" s="624"/>
      <c r="AM33" s="624"/>
      <c r="AN33" s="624"/>
      <c r="AO33" s="22"/>
    </row>
    <row r="34" spans="1:41" ht="27" customHeight="1" x14ac:dyDescent="0.6">
      <c r="A34" s="522" t="s">
        <v>102</v>
      </c>
      <c r="B34" s="523"/>
      <c r="C34" s="523"/>
      <c r="D34" s="523"/>
      <c r="E34" s="523"/>
      <c r="F34" s="523"/>
      <c r="G34" s="523"/>
      <c r="H34" s="524"/>
      <c r="I34" s="518">
        <f>SUMIFS(Input[F. W. - Stat (NR AFR) E&amp;G], Input[Type],$R$2)+SUMIFS(Input[F. W. - Stat (NR AFR) Desg], Input[Type],$R$2)+SUMIFS(Input[F. W. - Stat (NR AFR) Aux], Input[Type],$R$2)+SUMIFS(Input[F. W. - Stat (NR AFR) R Exp], Input[Type],$R$2)+SUMIFS(Input[F. W. - Stat (NR AFR) Loan], Input[Type],$R$2)+SUMIFS(Input[F. W. - Stat (NR AFR) Annuity], Input[Type],$R$2)+SUMIFS(Input[F. W. - Stat (NR AFR) Unexp], Input[Type],$R$2)+SUMIFS(Input[F. W. - Stat (NR AFR) R of Ind], Input[Type],$R$2)+SUMIFS(Input[F. W. - Stat (NR AFR) Inv in P], Input[Type],$R$2)</f>
        <v>0</v>
      </c>
      <c r="J34" s="518"/>
      <c r="K34" s="518"/>
      <c r="L34" s="529">
        <f>IFERROR(ROUND(I34/$R$1,0),0)</f>
        <v>0</v>
      </c>
      <c r="M34" s="529"/>
      <c r="N34" s="530"/>
      <c r="O34" s="303"/>
      <c r="P34" s="525" t="s">
        <v>1784</v>
      </c>
      <c r="Q34" s="434"/>
      <c r="R34" s="434"/>
      <c r="S34" s="434"/>
      <c r="T34" s="434"/>
      <c r="U34" s="434"/>
      <c r="V34" s="435"/>
      <c r="W34" s="431">
        <f>SUM(I25:K29,I40:K44)</f>
        <v>0</v>
      </c>
      <c r="X34" s="431"/>
      <c r="Y34" s="613"/>
      <c r="Z34" s="7"/>
      <c r="AA34" s="7"/>
      <c r="AB34" s="7"/>
      <c r="AC34" s="182"/>
      <c r="AD34" s="624"/>
      <c r="AE34" s="624"/>
      <c r="AF34" s="624"/>
      <c r="AG34" s="624"/>
      <c r="AH34" s="624"/>
      <c r="AI34" s="624"/>
      <c r="AJ34" s="624"/>
      <c r="AK34" s="624"/>
      <c r="AL34" s="624"/>
      <c r="AM34" s="624"/>
      <c r="AN34" s="624"/>
      <c r="AO34" s="22"/>
    </row>
    <row r="35" spans="1:41" ht="27" customHeight="1" thickBot="1" x14ac:dyDescent="0.65">
      <c r="A35" s="525" t="s">
        <v>103</v>
      </c>
      <c r="B35" s="434"/>
      <c r="C35" s="434"/>
      <c r="D35" s="434"/>
      <c r="E35" s="434"/>
      <c r="F35" s="434"/>
      <c r="G35" s="434"/>
      <c r="H35" s="435"/>
      <c r="I35" s="519">
        <f>SUMIFS(Input[F. W. - Inst. (NR AFR) E&amp;G], Input[Type],$R$2)+SUMIFS(Input[F. W. - Inst. (NR AFR) Desg], Input[Type],$R$2)+SUMIFS(Input[F. W. - Inst. (NR AFR) Aux], Input[Type],$R$2)+SUMIFS(Input[F. W. - Inst. (NR AFR) R Exp], Input[Type],$R$2)+SUMIFS(Input[F. W. - Inst. (NR AFR) Loan], Input[Type],$R$2)+SUMIFS(Input[F. W. - Inst. (NR AFR) Annuity], Input[Type],$R$2)+SUMIFS(Input[F. W. - Inst. (NR AFR) Unexp], Input[Type],$R$2)+SUMIFS(Input[F. W. - Inst. (NR AFR) R of Ind], Input[Type],$R$2)+SUMIFS(Input[F. W. - Inst. (NR AFR) Inv in P], Input[Type],$R$2)</f>
        <v>0</v>
      </c>
      <c r="J35" s="519"/>
      <c r="K35" s="519"/>
      <c r="L35" s="432">
        <f t="shared" ref="L35:L37" si="4">IFERROR(ROUND(I35/$R$1,0),0)</f>
        <v>0</v>
      </c>
      <c r="M35" s="432"/>
      <c r="N35" s="536"/>
      <c r="O35" s="303"/>
      <c r="P35" s="552" t="s">
        <v>1785</v>
      </c>
      <c r="Q35" s="553"/>
      <c r="R35" s="553"/>
      <c r="S35" s="553"/>
      <c r="T35" s="553"/>
      <c r="U35" s="553"/>
      <c r="V35" s="553"/>
      <c r="W35" s="554">
        <f>SUM(W33:Y34)</f>
        <v>0</v>
      </c>
      <c r="X35" s="554"/>
      <c r="Y35" s="603"/>
      <c r="Z35" s="7"/>
      <c r="AA35" s="7"/>
      <c r="AB35" s="7"/>
      <c r="AC35" s="182"/>
      <c r="AD35" s="624"/>
      <c r="AE35" s="624"/>
      <c r="AF35" s="624"/>
      <c r="AG35" s="624"/>
      <c r="AH35" s="624"/>
      <c r="AI35" s="624"/>
      <c r="AJ35" s="624"/>
      <c r="AK35" s="624"/>
      <c r="AL35" s="624"/>
      <c r="AM35" s="624"/>
      <c r="AN35" s="624"/>
      <c r="AO35" s="22"/>
    </row>
    <row r="36" spans="1:41" ht="27" customHeight="1" x14ac:dyDescent="0.6">
      <c r="A36" s="525" t="s">
        <v>104</v>
      </c>
      <c r="B36" s="434"/>
      <c r="C36" s="434"/>
      <c r="D36" s="434"/>
      <c r="E36" s="434"/>
      <c r="F36" s="434"/>
      <c r="G36" s="434"/>
      <c r="H36" s="435"/>
      <c r="I36" s="519">
        <f>SUMIFS(Input[F. Exp. - Stat (NR AFR) E&amp;G], Input[Type],$R$2)+SUMIFS(Input[F. Exp. - Stat (NR AFR) Desg], Input[Type],$R$2)+SUMIFS(Input[F. Exp. - Stat (NR AFR) Aux], Input[Type],$R$2)+SUMIFS(Input[F. Exp. - Stat (NR AFR) R Exp], Input[Type],$R$2)+SUMIFS(Input[F. Exp. - Stat (NR AFR) Loan], Input[Type],$R$2)+SUMIFS(Input[F. Exp. - Stat (NR AFR) Annuity], Input[Type],$R$2)+SUMIFS(Input[F. Exp. - Stat (NR AFR) Unexp], Input[Type],$R$2)+SUMIFS(Input[F. Exp. - Stat (NR AFR) R of Ind], Input[Type],$R$2)+SUMIFS(Input[F. Exp. - Stat (NR AFR) Inv in P], Input[Type],$R$2)</f>
        <v>0</v>
      </c>
      <c r="J36" s="519"/>
      <c r="K36" s="519"/>
      <c r="L36" s="432">
        <f t="shared" si="4"/>
        <v>0</v>
      </c>
      <c r="M36" s="432"/>
      <c r="N36" s="536"/>
      <c r="O36" s="303"/>
      <c r="P36" s="7"/>
      <c r="Q36" s="7"/>
      <c r="R36" s="7"/>
      <c r="S36" s="7"/>
      <c r="T36" s="7"/>
      <c r="U36" s="7"/>
      <c r="V36" s="7"/>
      <c r="W36" s="7"/>
      <c r="X36" s="7"/>
      <c r="Y36" s="7"/>
      <c r="Z36" s="7"/>
      <c r="AA36" s="7"/>
      <c r="AB36" s="7"/>
      <c r="AC36" s="183"/>
      <c r="AD36" s="624"/>
      <c r="AE36" s="624"/>
      <c r="AF36" s="624"/>
      <c r="AG36" s="624"/>
      <c r="AH36" s="624"/>
      <c r="AI36" s="624"/>
      <c r="AJ36" s="624"/>
      <c r="AK36" s="624"/>
      <c r="AL36" s="624"/>
      <c r="AM36" s="624"/>
      <c r="AN36" s="624"/>
      <c r="AO36" s="22"/>
    </row>
    <row r="37" spans="1:41" ht="27" customHeight="1" thickBot="1" x14ac:dyDescent="0.65">
      <c r="A37" s="531" t="s">
        <v>105</v>
      </c>
      <c r="B37" s="532"/>
      <c r="C37" s="532"/>
      <c r="D37" s="532"/>
      <c r="E37" s="532"/>
      <c r="F37" s="532"/>
      <c r="G37" s="532"/>
      <c r="H37" s="533"/>
      <c r="I37" s="520">
        <f>SUMIFS(Input[F. Exp. - Inst. (NR AFR) E&amp;G], Input[Type],$R$2)+SUMIFS(Input[F. Exp. - Inst. (NR AFR) Desg], Input[Type],$R$2)+SUMIFS(Input[F. Exp. - Inst. (NR AFR) Aux], Input[Type],$R$2)+SUMIFS(Input[F. Exp. - Inst. (NR AFR) R Exp], Input[Type],$R$2)+SUMIFS(Input[F. Exp. - Inst. (NR AFR) Loan], Input[Type],$R$2)+SUMIFS(Input[F. Exp. - Inst. (NR AFR) Annuity], Input[Type],$R$2)+SUMIFS(Input[F. Exp. - Inst. (NR AFR) Unexp], Input[Type],$R$2)+SUMIFS(Input[F. Exp. - Inst. (NR AFR) R of Ind], Input[Type],$R$2)+SUMIFS(Input[F. Exp. - Inst. (NR AFR) Inv in P], Input[Type],$R$2)</f>
        <v>0</v>
      </c>
      <c r="J37" s="520"/>
      <c r="K37" s="520"/>
      <c r="L37" s="534">
        <f t="shared" si="4"/>
        <v>0</v>
      </c>
      <c r="M37" s="534"/>
      <c r="N37" s="535"/>
      <c r="O37" s="303"/>
      <c r="P37" s="7"/>
      <c r="Q37" s="7"/>
      <c r="R37" s="7"/>
      <c r="S37" s="7"/>
      <c r="T37" s="7"/>
      <c r="U37" s="7"/>
      <c r="V37" s="7"/>
      <c r="W37" s="7"/>
      <c r="X37" s="7"/>
      <c r="Y37" s="7"/>
      <c r="Z37" s="7"/>
      <c r="AA37" s="7"/>
      <c r="AB37" s="7"/>
      <c r="AC37" s="7"/>
      <c r="AD37" s="624"/>
      <c r="AE37" s="624"/>
      <c r="AF37" s="624"/>
      <c r="AG37" s="624"/>
      <c r="AH37" s="624"/>
      <c r="AI37" s="624"/>
      <c r="AJ37" s="624"/>
      <c r="AK37" s="624"/>
      <c r="AL37" s="624"/>
      <c r="AM37" s="624"/>
      <c r="AN37" s="624"/>
      <c r="AO37" s="22"/>
    </row>
    <row r="38" spans="1:41" ht="27" customHeight="1" thickBot="1" x14ac:dyDescent="0.65">
      <c r="A38" s="526" t="s">
        <v>108</v>
      </c>
      <c r="B38" s="527"/>
      <c r="C38" s="527"/>
      <c r="D38" s="527"/>
      <c r="E38" s="527"/>
      <c r="F38" s="527"/>
      <c r="G38" s="527"/>
      <c r="H38" s="528"/>
      <c r="I38" s="521">
        <f>SUMIFS(Input[Fees - Gross E&amp;G], Input[Type],$R$2)+SUMIFS(Input[Fees - Gross Desg], Input[Type],$R$2)+SUMIFS(Input[Fees - Gross Aux], Input[Type],$R$2)+SUMIFS(Input[Fees - Gross R Exp], Input[Type],$R$2)+SUMIFS(Input[Fees - Gross Loan], Input[Type],$R$2)+SUMIFS(Input[Fees - Gross Annuity], Input[Type],$R$2)+SUMIFS(Input[Fees - Gross Unexp], Input[Type],$R$2)+SUMIFS(Input[Fees - Gross R of Ind], Input[Type],$R$2)+SUMIFS(Input[Fees - Gross Inv in P], Input[Type],$R$2)</f>
        <v>0</v>
      </c>
      <c r="J38" s="521"/>
      <c r="K38" s="521"/>
      <c r="L38" s="516">
        <f>IFERROR(ROUND(I38/$R$1,0),0)</f>
        <v>0</v>
      </c>
      <c r="M38" s="516"/>
      <c r="N38" s="517"/>
      <c r="O38" s="303"/>
      <c r="P38" s="7"/>
      <c r="Q38" s="7"/>
      <c r="R38" s="7"/>
      <c r="S38" s="7"/>
      <c r="T38" s="7"/>
      <c r="U38" s="7"/>
      <c r="V38" s="7"/>
      <c r="W38" s="7"/>
      <c r="X38" s="7"/>
      <c r="Y38" s="7"/>
      <c r="Z38" s="7"/>
      <c r="AA38" s="7"/>
      <c r="AB38" s="7"/>
      <c r="AC38" s="7"/>
      <c r="AD38" s="624"/>
      <c r="AE38" s="624"/>
      <c r="AF38" s="624"/>
      <c r="AG38" s="624"/>
      <c r="AH38" s="624"/>
      <c r="AI38" s="624"/>
      <c r="AJ38" s="624"/>
      <c r="AK38" s="624"/>
      <c r="AL38" s="624"/>
      <c r="AM38" s="624"/>
      <c r="AN38" s="624"/>
      <c r="AO38" s="22"/>
    </row>
    <row r="39" spans="1:41" ht="27" customHeight="1" thickBot="1" x14ac:dyDescent="0.65">
      <c r="A39" s="513" t="s">
        <v>1846</v>
      </c>
      <c r="B39" s="514"/>
      <c r="C39" s="514"/>
      <c r="D39" s="514"/>
      <c r="E39" s="514"/>
      <c r="F39" s="514"/>
      <c r="G39" s="514"/>
      <c r="H39" s="514"/>
      <c r="I39" s="514"/>
      <c r="J39" s="514"/>
      <c r="K39" s="514"/>
      <c r="L39" s="514"/>
      <c r="M39" s="514"/>
      <c r="N39" s="515"/>
      <c r="O39" s="303"/>
      <c r="P39" s="549" t="s">
        <v>1786</v>
      </c>
      <c r="Q39" s="550"/>
      <c r="R39" s="550"/>
      <c r="S39" s="550"/>
      <c r="T39" s="550"/>
      <c r="U39" s="550"/>
      <c r="V39" s="550"/>
      <c r="W39" s="550"/>
      <c r="X39" s="550"/>
      <c r="Y39" s="550"/>
      <c r="Z39" s="550"/>
      <c r="AA39" s="550"/>
      <c r="AB39" s="551"/>
      <c r="AC39" s="181"/>
      <c r="AD39" s="624"/>
      <c r="AE39" s="624"/>
      <c r="AF39" s="624"/>
      <c r="AG39" s="624"/>
      <c r="AH39" s="624"/>
      <c r="AI39" s="624"/>
      <c r="AJ39" s="624"/>
      <c r="AK39" s="624"/>
      <c r="AL39" s="624"/>
      <c r="AM39" s="624"/>
      <c r="AN39" s="624"/>
      <c r="AO39" s="22"/>
    </row>
    <row r="40" spans="1:41" ht="27" customHeight="1" thickBot="1" x14ac:dyDescent="0.65">
      <c r="A40" s="522" t="s">
        <v>102</v>
      </c>
      <c r="B40" s="523"/>
      <c r="C40" s="523"/>
      <c r="D40" s="523"/>
      <c r="E40" s="523"/>
      <c r="F40" s="523"/>
      <c r="G40" s="523"/>
      <c r="H40" s="524"/>
      <c r="I40" s="518">
        <f>SUMIFS(Input[F. W. - Stat (R AFR) E&amp;G], Input[Type],$R$2)+SUMIFS(Input[F. W. - Stat (R AFR) Desg], Input[Type],$R$2)+SUMIFS(Input[F. W. - Stat (R AFR) Aux], Input[Type],$R$2)+SUMIFS(Input[F. W. - Stat (R AFR) R Exp], Input[Type],$R$2)+SUMIFS(Input[F. W. - Stat (R AFR) Loan], Input[Type],$R$2)+SUMIFS(Input[F. W. - Stat (R AFR) Annuity], Input[Type],$R$2)+SUMIFS(Input[F. W. - Stat (R AFR) Unexp], Input[Type],$R$2)+SUMIFS(Input[F. W. - Stat (R AFR) R of Ind], Input[Type],$R$2)+SUMIFS(Input[F. W. - Stat (R AFR) Inv in P], Input[Type],$R$2)</f>
        <v>0</v>
      </c>
      <c r="J40" s="518"/>
      <c r="K40" s="518"/>
      <c r="L40" s="529">
        <f>IFERROR(ROUND(I40/$R$1,0),0)</f>
        <v>0</v>
      </c>
      <c r="M40" s="529"/>
      <c r="N40" s="530"/>
      <c r="O40" s="303"/>
      <c r="P40" s="614" t="s">
        <v>93</v>
      </c>
      <c r="Q40" s="615"/>
      <c r="R40" s="615"/>
      <c r="S40" s="615"/>
      <c r="T40" s="615"/>
      <c r="U40" s="615"/>
      <c r="V40" s="615"/>
      <c r="W40" s="616" t="s">
        <v>137</v>
      </c>
      <c r="X40" s="617"/>
      <c r="Y40" s="617"/>
      <c r="Z40" s="616" t="s">
        <v>138</v>
      </c>
      <c r="AA40" s="617"/>
      <c r="AB40" s="618"/>
      <c r="AC40" s="305"/>
      <c r="AD40" s="624"/>
      <c r="AE40" s="624"/>
      <c r="AF40" s="624"/>
      <c r="AG40" s="624"/>
      <c r="AH40" s="624"/>
      <c r="AI40" s="624"/>
      <c r="AJ40" s="624"/>
      <c r="AK40" s="624"/>
      <c r="AL40" s="624"/>
      <c r="AM40" s="624"/>
      <c r="AN40" s="624"/>
      <c r="AO40" s="22"/>
    </row>
    <row r="41" spans="1:41" ht="27" customHeight="1" x14ac:dyDescent="0.6">
      <c r="A41" s="525" t="s">
        <v>103</v>
      </c>
      <c r="B41" s="434"/>
      <c r="C41" s="434"/>
      <c r="D41" s="434"/>
      <c r="E41" s="434"/>
      <c r="F41" s="434"/>
      <c r="G41" s="434"/>
      <c r="H41" s="435"/>
      <c r="I41" s="519">
        <f>SUMIFS(Input[F. W. - Inst. (R AFR) E&amp;G], Input[Type],$R$2)+SUMIFS(Input[F. W. - Inst. (R AFR) Desg], Input[Type],$R$2)+SUMIFS(Input[F. W. - Inst. (R AFR) Aux], Input[Type],$R$2)+SUMIFS(Input[F. W. - Inst. (R AFR) R Exp], Input[Type],$R$2)+SUMIFS(Input[F. W. - Inst. (R AFR) Loan], Input[Type],$R$2)+SUMIFS(Input[F. W. - Inst. (R AFR) Annuity], Input[Type],$R$2)+SUMIFS(Input[F. W. - Inst. (R AFR) Unexp], Input[Type],$R$2)+SUMIFS(Input[F. W. - Inst. (R AFR) R of Ind], Input[Type],$R$2)+SUMIFS(Input[F. W. - Inst. (R AFR) Inv in P], Input[Type],$R$2)</f>
        <v>0</v>
      </c>
      <c r="J41" s="519"/>
      <c r="K41" s="519"/>
      <c r="L41" s="432">
        <f t="shared" ref="L41:L44" si="5">IFERROR(ROUND(I41/$R$1,0),0)</f>
        <v>0</v>
      </c>
      <c r="M41" s="432"/>
      <c r="N41" s="536"/>
      <c r="O41" s="303"/>
      <c r="P41" s="604" t="s">
        <v>97</v>
      </c>
      <c r="Q41" s="605"/>
      <c r="R41" s="605"/>
      <c r="S41" s="605"/>
      <c r="T41" s="605"/>
      <c r="U41" s="605"/>
      <c r="V41" s="606"/>
      <c r="W41" s="518">
        <f>I10</f>
        <v>0</v>
      </c>
      <c r="X41" s="518"/>
      <c r="Y41" s="518"/>
      <c r="Z41" s="607">
        <f t="shared" ref="Z41:Z46" si="6">IFERROR(W41/$W$14,0)</f>
        <v>0</v>
      </c>
      <c r="AA41" s="607"/>
      <c r="AB41" s="608"/>
      <c r="AC41" s="182"/>
      <c r="AD41" s="624"/>
      <c r="AE41" s="624"/>
      <c r="AF41" s="624"/>
      <c r="AG41" s="624"/>
      <c r="AH41" s="624"/>
      <c r="AI41" s="624"/>
      <c r="AJ41" s="624"/>
      <c r="AK41" s="624"/>
      <c r="AL41" s="624"/>
      <c r="AM41" s="624"/>
      <c r="AN41" s="624"/>
      <c r="AO41" s="22"/>
    </row>
    <row r="42" spans="1:41" ht="27" customHeight="1" x14ac:dyDescent="0.6">
      <c r="A42" s="525" t="s">
        <v>104</v>
      </c>
      <c r="B42" s="434"/>
      <c r="C42" s="434"/>
      <c r="D42" s="434"/>
      <c r="E42" s="434"/>
      <c r="F42" s="434"/>
      <c r="G42" s="434"/>
      <c r="H42" s="435"/>
      <c r="I42" s="519">
        <f>SUMIFS(Input[F. Exp. - Stat (R AFR) E&amp;G], Input[Type],$R$2)+SUMIFS(Input[F. Exp. - Stat (R AFR) Desg], Input[Type],$R$2)+SUMIFS(Input[F. Exp. - Stat (R AFR) Aux], Input[Type],$R$2)+SUMIFS(Input[F. Exp. - Stat (R AFR) R Exp], Input[Type],$R$2)+SUMIFS(Input[F. Exp. - Stat (R AFR) Loan], Input[Type],$R$2)+SUMIFS(Input[F. Exp. - Stat (R AFR) Annuity], Input[Type],$R$2)+SUMIFS(Input[F. Exp. - Stat (R AFR) Unexp], Input[Type],$R$2)+SUMIFS(Input[F. Exp. - Stat (R AFR) R of Ind], Input[Type],$R$2)+SUMIFS(Input[F. Exp. - Stat (R AFR) Inv in P], Input[Type],$R$2)</f>
        <v>0</v>
      </c>
      <c r="J42" s="519"/>
      <c r="K42" s="519"/>
      <c r="L42" s="432">
        <f t="shared" si="5"/>
        <v>0</v>
      </c>
      <c r="M42" s="432"/>
      <c r="N42" s="536"/>
      <c r="O42" s="303"/>
      <c r="P42" s="579" t="s">
        <v>142</v>
      </c>
      <c r="Q42" s="446"/>
      <c r="R42" s="446"/>
      <c r="S42" s="446"/>
      <c r="T42" s="446"/>
      <c r="U42" s="446"/>
      <c r="V42" s="447"/>
      <c r="W42" s="519">
        <f>I11</f>
        <v>0</v>
      </c>
      <c r="X42" s="519"/>
      <c r="Y42" s="519"/>
      <c r="Z42" s="572">
        <f t="shared" si="6"/>
        <v>0</v>
      </c>
      <c r="AA42" s="572"/>
      <c r="AB42" s="573"/>
      <c r="AC42" s="182"/>
      <c r="AD42" s="624"/>
      <c r="AE42" s="624"/>
      <c r="AF42" s="624"/>
      <c r="AG42" s="624"/>
      <c r="AH42" s="624"/>
      <c r="AI42" s="624"/>
      <c r="AJ42" s="624"/>
      <c r="AK42" s="624"/>
      <c r="AL42" s="624"/>
      <c r="AM42" s="624"/>
      <c r="AN42" s="624"/>
      <c r="AO42" s="22"/>
    </row>
    <row r="43" spans="1:41" ht="27" customHeight="1" x14ac:dyDescent="0.6">
      <c r="A43" s="525" t="s">
        <v>105</v>
      </c>
      <c r="B43" s="434"/>
      <c r="C43" s="434"/>
      <c r="D43" s="434"/>
      <c r="E43" s="434"/>
      <c r="F43" s="434"/>
      <c r="G43" s="434"/>
      <c r="H43" s="435"/>
      <c r="I43" s="519">
        <f>SUMIFS(Input[F. Exp. - Inst. (R AFR) E&amp;G], Input[Type],$R$2)+SUMIFS(Input[F. Exp. - Inst. (R AFR) Desg], Input[Type],$R$2)+SUMIFS(Input[F. Exp. - Inst. (R AFR) Aux], Input[Type],$R$2)+SUMIFS(Input[F. Exp. - Inst. (R AFR) R Exp], Input[Type],$R$2)+SUMIFS(Input[F. Exp. - Inst. (R AFR) Loan], Input[Type],$R$2)+SUMIFS(Input[F. Exp. - Inst. (R AFR) Annuity], Input[Type],$R$2)+SUMIFS(Input[F. Exp. - Inst. (R AFR) Unexp], Input[Type],$R$2)+SUMIFS(Input[F. Exp. - Inst. (R AFR) R of Ind], Input[Type],$R$2)+SUMIFS(Input[F. Exp. - Inst. (R AFR) Inv in P], Input[Type],$R$2)</f>
        <v>0</v>
      </c>
      <c r="J43" s="519"/>
      <c r="K43" s="519"/>
      <c r="L43" s="432">
        <f t="shared" si="5"/>
        <v>0</v>
      </c>
      <c r="M43" s="432"/>
      <c r="N43" s="536"/>
      <c r="O43" s="303"/>
      <c r="P43" s="579" t="s">
        <v>98</v>
      </c>
      <c r="Q43" s="446"/>
      <c r="R43" s="446"/>
      <c r="S43" s="446"/>
      <c r="T43" s="446"/>
      <c r="U43" s="446"/>
      <c r="V43" s="447"/>
      <c r="W43" s="519">
        <f>I12</f>
        <v>0</v>
      </c>
      <c r="X43" s="519"/>
      <c r="Y43" s="519"/>
      <c r="Z43" s="572">
        <f t="shared" si="6"/>
        <v>0</v>
      </c>
      <c r="AA43" s="572"/>
      <c r="AB43" s="573"/>
      <c r="AC43" s="182"/>
      <c r="AD43" s="624"/>
      <c r="AE43" s="624"/>
      <c r="AF43" s="624"/>
      <c r="AG43" s="624"/>
      <c r="AH43" s="624"/>
      <c r="AI43" s="624"/>
      <c r="AJ43" s="624"/>
      <c r="AK43" s="624"/>
      <c r="AL43" s="624"/>
      <c r="AM43" s="624"/>
      <c r="AN43" s="624"/>
      <c r="AO43" s="22"/>
    </row>
    <row r="44" spans="1:41" ht="27" customHeight="1" thickBot="1" x14ac:dyDescent="0.65">
      <c r="A44" s="525" t="s">
        <v>141</v>
      </c>
      <c r="B44" s="434"/>
      <c r="C44" s="434"/>
      <c r="D44" s="434"/>
      <c r="E44" s="434"/>
      <c r="F44" s="434"/>
      <c r="G44" s="434"/>
      <c r="H44" s="435"/>
      <c r="I44" s="520">
        <f>SUMIFS(Input[Fee Schlr E&amp;G], Input[Type],$R$2)+SUMIFS(Input[Fee Schlr Desg], Input[Type],$R$2)+SUMIFS(Input[Fee Schlr Aux], Input[Type],$R$2)+SUMIFS(Input[Fee Schlr R Exp], Input[Type],$R$2)+SUMIFS(Input[Fee Schlr Loan], Input[Type],$R$2)+SUMIFS(Input[Fee Schlr Annuity], Input[Type],$R$2)+SUMIFS(Input[Fee Schlr Unexp], Input[Type],$R$2)+SUMIFS(Input[Fee Schlr R of Ind], Input[Type],$R$2)+SUMIFS(Input[Fee Schlr Inv in P], Input[Type],$R$2)</f>
        <v>0</v>
      </c>
      <c r="J44" s="520"/>
      <c r="K44" s="520"/>
      <c r="L44" s="534">
        <f t="shared" si="5"/>
        <v>0</v>
      </c>
      <c r="M44" s="534"/>
      <c r="N44" s="535"/>
      <c r="O44" s="303"/>
      <c r="P44" s="579" t="s">
        <v>139</v>
      </c>
      <c r="Q44" s="446"/>
      <c r="R44" s="446"/>
      <c r="S44" s="446"/>
      <c r="T44" s="446"/>
      <c r="U44" s="446"/>
      <c r="V44" s="447"/>
      <c r="W44" s="519">
        <f>I13</f>
        <v>0</v>
      </c>
      <c r="X44" s="519"/>
      <c r="Y44" s="519"/>
      <c r="Z44" s="572">
        <f t="shared" si="6"/>
        <v>0</v>
      </c>
      <c r="AA44" s="572"/>
      <c r="AB44" s="573"/>
      <c r="AC44" s="182"/>
      <c r="AD44" s="624"/>
      <c r="AE44" s="624"/>
      <c r="AF44" s="624"/>
      <c r="AG44" s="624"/>
      <c r="AH44" s="624"/>
      <c r="AI44" s="624"/>
      <c r="AJ44" s="624"/>
      <c r="AK44" s="624"/>
      <c r="AL44" s="624"/>
      <c r="AM44" s="624"/>
      <c r="AN44" s="624"/>
      <c r="AO44" s="22"/>
    </row>
    <row r="45" spans="1:41" ht="27" customHeight="1" thickBot="1" x14ac:dyDescent="0.65">
      <c r="A45" s="509" t="s">
        <v>109</v>
      </c>
      <c r="B45" s="510"/>
      <c r="C45" s="510"/>
      <c r="D45" s="510"/>
      <c r="E45" s="510"/>
      <c r="F45" s="510"/>
      <c r="G45" s="510"/>
      <c r="H45" s="510"/>
      <c r="I45" s="516">
        <f>SUM(I38,I40:I44)</f>
        <v>0</v>
      </c>
      <c r="J45" s="516"/>
      <c r="K45" s="516"/>
      <c r="L45" s="516">
        <f t="shared" ref="L45" si="7">IFERROR(I45/$R$1,0)</f>
        <v>0</v>
      </c>
      <c r="M45" s="516"/>
      <c r="N45" s="517"/>
      <c r="O45" s="303"/>
      <c r="P45" s="579" t="s">
        <v>143</v>
      </c>
      <c r="Q45" s="446"/>
      <c r="R45" s="446"/>
      <c r="S45" s="446"/>
      <c r="T45" s="446"/>
      <c r="U45" s="446"/>
      <c r="V45" s="447"/>
      <c r="W45" s="519">
        <f>I30+I45</f>
        <v>0</v>
      </c>
      <c r="X45" s="519"/>
      <c r="Y45" s="519"/>
      <c r="Z45" s="572">
        <f t="shared" si="6"/>
        <v>0</v>
      </c>
      <c r="AA45" s="572"/>
      <c r="AB45" s="573"/>
      <c r="AC45" s="182"/>
      <c r="AD45" s="624"/>
      <c r="AE45" s="624"/>
      <c r="AF45" s="624"/>
      <c r="AG45" s="624"/>
      <c r="AH45" s="624"/>
      <c r="AI45" s="624"/>
      <c r="AJ45" s="624"/>
      <c r="AK45" s="624"/>
      <c r="AL45" s="624"/>
      <c r="AM45" s="624"/>
      <c r="AN45" s="624"/>
      <c r="AO45" s="22"/>
    </row>
    <row r="46" spans="1:41" ht="27" customHeight="1" thickBot="1" x14ac:dyDescent="0.65">
      <c r="A46" s="274"/>
      <c r="B46" s="275"/>
      <c r="C46" s="275"/>
      <c r="D46" s="275"/>
      <c r="E46" s="275"/>
      <c r="F46" s="275"/>
      <c r="G46" s="275"/>
      <c r="H46" s="275"/>
      <c r="I46" s="275"/>
      <c r="J46" s="275"/>
      <c r="K46" s="275"/>
      <c r="L46" s="276"/>
      <c r="M46" s="22"/>
      <c r="N46" s="22"/>
      <c r="O46" s="303"/>
      <c r="P46" s="579" t="s">
        <v>144</v>
      </c>
      <c r="Q46" s="446"/>
      <c r="R46" s="446"/>
      <c r="S46" s="446"/>
      <c r="T46" s="446"/>
      <c r="U46" s="446"/>
      <c r="V46" s="447"/>
      <c r="W46" s="519">
        <f>I50</f>
        <v>0</v>
      </c>
      <c r="X46" s="519"/>
      <c r="Y46" s="519"/>
      <c r="Z46" s="572">
        <f t="shared" si="6"/>
        <v>0</v>
      </c>
      <c r="AA46" s="572"/>
      <c r="AB46" s="573"/>
      <c r="AC46" s="182"/>
      <c r="AD46" s="624"/>
      <c r="AE46" s="624"/>
      <c r="AF46" s="624"/>
      <c r="AG46" s="624"/>
      <c r="AH46" s="624"/>
      <c r="AI46" s="624"/>
      <c r="AJ46" s="624"/>
      <c r="AK46" s="624"/>
      <c r="AL46" s="624"/>
      <c r="AM46" s="624"/>
      <c r="AN46" s="624"/>
      <c r="AO46" s="22"/>
    </row>
    <row r="47" spans="1:41" ht="27" customHeight="1" thickBot="1" x14ac:dyDescent="0.65">
      <c r="A47" s="509" t="s">
        <v>110</v>
      </c>
      <c r="B47" s="510"/>
      <c r="C47" s="510"/>
      <c r="D47" s="510"/>
      <c r="E47" s="510"/>
      <c r="F47" s="510"/>
      <c r="G47" s="510"/>
      <c r="H47" s="510"/>
      <c r="I47" s="516">
        <f>I30+I45</f>
        <v>0</v>
      </c>
      <c r="J47" s="516"/>
      <c r="K47" s="516"/>
      <c r="L47" s="516">
        <f>IFERROR(ROUND(I47/$R$1,0),0)</f>
        <v>0</v>
      </c>
      <c r="M47" s="516"/>
      <c r="N47" s="517"/>
      <c r="O47" s="303"/>
      <c r="P47" s="579" t="s">
        <v>112</v>
      </c>
      <c r="Q47" s="446"/>
      <c r="R47" s="446"/>
      <c r="S47" s="446"/>
      <c r="T47" s="446"/>
      <c r="U47" s="446"/>
      <c r="V47" s="447"/>
      <c r="W47" s="519">
        <f>I53</f>
        <v>0</v>
      </c>
      <c r="X47" s="519"/>
      <c r="Y47" s="519"/>
      <c r="Z47" s="572">
        <f t="shared" ref="Z47:Z54" si="8">IFERROR(W47/SUM($W$41:$W$54),0)</f>
        <v>0</v>
      </c>
      <c r="AA47" s="572"/>
      <c r="AB47" s="573"/>
      <c r="AC47" s="182"/>
      <c r="AD47" s="7"/>
      <c r="AE47" s="7"/>
      <c r="AF47" s="7"/>
      <c r="AG47" s="7"/>
      <c r="AH47" s="7"/>
      <c r="AI47" s="7"/>
      <c r="AJ47" s="7"/>
      <c r="AK47" s="184"/>
      <c r="AL47" s="182"/>
      <c r="AM47" s="7"/>
      <c r="AN47" s="7"/>
      <c r="AO47" s="22"/>
    </row>
    <row r="48" spans="1:41" ht="27" customHeight="1" thickBot="1" x14ac:dyDescent="0.8">
      <c r="A48" s="251"/>
      <c r="B48" s="251"/>
      <c r="C48" s="251"/>
      <c r="D48" s="251"/>
      <c r="E48" s="251"/>
      <c r="F48" s="251"/>
      <c r="G48" s="251"/>
      <c r="H48" s="251"/>
      <c r="I48" s="252"/>
      <c r="J48" s="252"/>
      <c r="K48" s="252"/>
      <c r="L48" s="252"/>
      <c r="M48" s="22"/>
      <c r="N48" s="22"/>
      <c r="O48" s="303"/>
      <c r="P48" s="579" t="s">
        <v>113</v>
      </c>
      <c r="Q48" s="446"/>
      <c r="R48" s="446"/>
      <c r="S48" s="446"/>
      <c r="T48" s="446"/>
      <c r="U48" s="446"/>
      <c r="V48" s="447"/>
      <c r="W48" s="519">
        <f>I56</f>
        <v>0</v>
      </c>
      <c r="X48" s="519"/>
      <c r="Y48" s="519"/>
      <c r="Z48" s="572">
        <f t="shared" si="8"/>
        <v>0</v>
      </c>
      <c r="AA48" s="572"/>
      <c r="AB48" s="573"/>
      <c r="AC48" s="182"/>
      <c r="AD48" s="619" t="s">
        <v>729</v>
      </c>
      <c r="AE48" s="620"/>
      <c r="AF48" s="620"/>
      <c r="AG48" s="620"/>
      <c r="AH48" s="620"/>
      <c r="AI48" s="620"/>
      <c r="AJ48" s="620"/>
      <c r="AK48" s="621"/>
      <c r="AL48" s="622"/>
      <c r="AM48" s="623"/>
      <c r="AN48" s="7"/>
      <c r="AO48" s="22"/>
    </row>
    <row r="49" spans="1:41" ht="27" customHeight="1" thickBot="1" x14ac:dyDescent="0.65">
      <c r="A49" s="543" t="s">
        <v>111</v>
      </c>
      <c r="B49" s="544"/>
      <c r="C49" s="544"/>
      <c r="D49" s="544"/>
      <c r="E49" s="544"/>
      <c r="F49" s="544"/>
      <c r="G49" s="544"/>
      <c r="H49" s="544"/>
      <c r="I49" s="545" t="s">
        <v>135</v>
      </c>
      <c r="J49" s="546"/>
      <c r="K49" s="546"/>
      <c r="L49" s="545" t="s">
        <v>136</v>
      </c>
      <c r="M49" s="546"/>
      <c r="N49" s="547"/>
      <c r="O49" s="303"/>
      <c r="P49" s="579" t="s">
        <v>145</v>
      </c>
      <c r="Q49" s="446"/>
      <c r="R49" s="446"/>
      <c r="S49" s="446"/>
      <c r="T49" s="446"/>
      <c r="U49" s="446"/>
      <c r="V49" s="447"/>
      <c r="W49" s="519">
        <f t="shared" ref="W49:W54" si="9">I59</f>
        <v>0</v>
      </c>
      <c r="X49" s="519"/>
      <c r="Y49" s="519"/>
      <c r="Z49" s="572">
        <f t="shared" si="8"/>
        <v>0</v>
      </c>
      <c r="AA49" s="572"/>
      <c r="AB49" s="573"/>
      <c r="AC49" s="182"/>
      <c r="AD49" s="614" t="s">
        <v>140</v>
      </c>
      <c r="AE49" s="615"/>
      <c r="AF49" s="615"/>
      <c r="AG49" s="615"/>
      <c r="AH49" s="615"/>
      <c r="AI49" s="615"/>
      <c r="AJ49" s="615"/>
      <c r="AK49" s="616" t="s">
        <v>137</v>
      </c>
      <c r="AL49" s="617"/>
      <c r="AM49" s="618"/>
      <c r="AN49" s="7"/>
      <c r="AO49" s="22"/>
    </row>
    <row r="50" spans="1:41" ht="27" customHeight="1" thickBot="1" x14ac:dyDescent="0.65">
      <c r="A50" s="537" t="s">
        <v>1645</v>
      </c>
      <c r="B50" s="538"/>
      <c r="C50" s="538"/>
      <c r="D50" s="538"/>
      <c r="E50" s="538"/>
      <c r="F50" s="538"/>
      <c r="G50" s="538"/>
      <c r="H50" s="539"/>
      <c r="I50" s="540">
        <f>SUMIFS(Input[Fed G&amp;C E&amp;G], Input[Type],$R$2)+SUMIFS(Input[Fed G&amp;C Desg], Input[Type],$R$2)+SUMIFS(Input[Fed G&amp;C Aux], Input[Type],$R$2)+SUMIFS(Input[Fed G&amp;C R Exp], Input[Type],$R$2)+SUMIFS(Input[Fed G&amp;C Loan], Input[Type],$R$2)+SUMIFS(Input[Fed G&amp;C Annuity], Input[Type],$R$2)+SUMIFS(Input[Fed G&amp;C Unexp], Input[Type],$R$2)+SUMIFS(Input[Fed G&amp;C R of Ind], Input[Type],$R$2)+SUMIFS(Input[Fed G&amp;C Inv in P], Input[Type],$R$2)</f>
        <v>0</v>
      </c>
      <c r="J50" s="540"/>
      <c r="K50" s="540"/>
      <c r="L50" s="541">
        <f>IFERROR(I50/$R$1,0)</f>
        <v>0</v>
      </c>
      <c r="M50" s="541"/>
      <c r="N50" s="542"/>
      <c r="O50" s="303"/>
      <c r="P50" s="579" t="s">
        <v>146</v>
      </c>
      <c r="Q50" s="446"/>
      <c r="R50" s="446"/>
      <c r="S50" s="446"/>
      <c r="T50" s="446"/>
      <c r="U50" s="446"/>
      <c r="V50" s="447"/>
      <c r="W50" s="519">
        <f t="shared" si="9"/>
        <v>0</v>
      </c>
      <c r="X50" s="519"/>
      <c r="Y50" s="519"/>
      <c r="Z50" s="572">
        <f t="shared" si="8"/>
        <v>0</v>
      </c>
      <c r="AA50" s="572"/>
      <c r="AB50" s="573"/>
      <c r="AC50" s="182"/>
      <c r="AD50" s="277"/>
      <c r="AE50" s="278" t="str" cm="1">
        <f t="array" ref="AE50">IF(ISBLANK(A1),"",INDEX(P41:P54,MATCH(LARGE(W41:W54,ROW(1:5)),W41:W54,0)))</f>
        <v/>
      </c>
      <c r="AF50" s="278"/>
      <c r="AG50" s="278"/>
      <c r="AH50" s="278"/>
      <c r="AI50" s="278"/>
      <c r="AJ50" s="279"/>
      <c r="AK50" s="426" t="str">
        <f>IFERROR(VLOOKUP(AE50,$P$41:$Y$54,8,FALSE),"")</f>
        <v/>
      </c>
      <c r="AL50" s="426"/>
      <c r="AM50" s="597"/>
      <c r="AN50" s="7"/>
      <c r="AO50" s="22"/>
    </row>
    <row r="51" spans="1:41" ht="27" customHeight="1" thickBot="1" x14ac:dyDescent="0.8">
      <c r="A51" s="251"/>
      <c r="B51" s="251"/>
      <c r="C51" s="251"/>
      <c r="D51" s="251"/>
      <c r="E51" s="251"/>
      <c r="F51" s="251"/>
      <c r="G51" s="251"/>
      <c r="H51" s="251"/>
      <c r="I51" s="252"/>
      <c r="J51" s="252"/>
      <c r="K51" s="252"/>
      <c r="L51" s="252"/>
      <c r="M51" s="22"/>
      <c r="N51" s="22"/>
      <c r="O51" s="303"/>
      <c r="P51" s="579" t="s">
        <v>147</v>
      </c>
      <c r="Q51" s="446"/>
      <c r="R51" s="446"/>
      <c r="S51" s="446"/>
      <c r="T51" s="446"/>
      <c r="U51" s="446"/>
      <c r="V51" s="447"/>
      <c r="W51" s="519">
        <f t="shared" si="9"/>
        <v>0</v>
      </c>
      <c r="X51" s="519"/>
      <c r="Y51" s="519"/>
      <c r="Z51" s="572">
        <f t="shared" si="8"/>
        <v>0</v>
      </c>
      <c r="AA51" s="572"/>
      <c r="AB51" s="573"/>
      <c r="AC51" s="182"/>
      <c r="AD51" s="280"/>
      <c r="AE51" s="281"/>
      <c r="AF51" s="281"/>
      <c r="AG51" s="281"/>
      <c r="AH51" s="281"/>
      <c r="AI51" s="281"/>
      <c r="AJ51" s="282"/>
      <c r="AK51" s="591" t="str">
        <f t="shared" ref="AK51:AK54" si="10">IFERROR(VLOOKUP(AE51,$P$41:$Y$54,8,FALSE),"")</f>
        <v/>
      </c>
      <c r="AL51" s="592"/>
      <c r="AM51" s="593"/>
      <c r="AN51" s="7"/>
      <c r="AO51" s="22"/>
    </row>
    <row r="52" spans="1:41" ht="27" customHeight="1" thickBot="1" x14ac:dyDescent="0.65">
      <c r="A52" s="543" t="s">
        <v>112</v>
      </c>
      <c r="B52" s="544"/>
      <c r="C52" s="544"/>
      <c r="D52" s="544"/>
      <c r="E52" s="544"/>
      <c r="F52" s="544"/>
      <c r="G52" s="544"/>
      <c r="H52" s="544"/>
      <c r="I52" s="545" t="s">
        <v>135</v>
      </c>
      <c r="J52" s="546"/>
      <c r="K52" s="546"/>
      <c r="L52" s="545" t="s">
        <v>136</v>
      </c>
      <c r="M52" s="546"/>
      <c r="N52" s="547"/>
      <c r="O52" s="303"/>
      <c r="P52" s="579" t="s">
        <v>148</v>
      </c>
      <c r="Q52" s="446"/>
      <c r="R52" s="446"/>
      <c r="S52" s="446"/>
      <c r="T52" s="446"/>
      <c r="U52" s="446"/>
      <c r="V52" s="447"/>
      <c r="W52" s="519">
        <f t="shared" si="9"/>
        <v>0</v>
      </c>
      <c r="X52" s="519"/>
      <c r="Y52" s="519"/>
      <c r="Z52" s="572">
        <f t="shared" si="8"/>
        <v>0</v>
      </c>
      <c r="AA52" s="572"/>
      <c r="AB52" s="573"/>
      <c r="AC52" s="182"/>
      <c r="AD52" s="280"/>
      <c r="AE52" s="281"/>
      <c r="AF52" s="281"/>
      <c r="AG52" s="281"/>
      <c r="AH52" s="281"/>
      <c r="AI52" s="281"/>
      <c r="AJ52" s="282"/>
      <c r="AK52" s="591" t="str">
        <f t="shared" si="10"/>
        <v/>
      </c>
      <c r="AL52" s="592"/>
      <c r="AM52" s="593"/>
      <c r="AN52" s="7"/>
      <c r="AO52" s="22"/>
    </row>
    <row r="53" spans="1:41" ht="27" customHeight="1" thickBot="1" x14ac:dyDescent="0.65">
      <c r="A53" s="537" t="s">
        <v>836</v>
      </c>
      <c r="B53" s="538"/>
      <c r="C53" s="538"/>
      <c r="D53" s="538"/>
      <c r="E53" s="538"/>
      <c r="F53" s="538"/>
      <c r="G53" s="538"/>
      <c r="H53" s="539"/>
      <c r="I53" s="590">
        <f>SUMIFS(Input[Prof Fees E&amp;G], Input[Type],$R$2)
+SUMIFS(Input[Prof Fees Desg], Input[Type],$R$2)
+SUMIFS(Input[Prof Fees Aux], Input[Type],$R$2)
+SUMIFS(Input[Prof Fees R Exp], Input[Type],$R$2)
+SUMIFS(Input[Prof Fees Loan], Input[Type],$R$2)
+SUMIFS(Input[Prof Fees Annuity], Input[Type],$R$2)
+SUMIFS(Input[Prof Fees Unexp], Input[Type],$R$2)
+SUMIFS(Input[Prof Fees R of Ind], Input[Type],$R$2)
+SUMIFS(Input[Prof Fees Inv in P], Input[Type],$R$2)</f>
        <v>0</v>
      </c>
      <c r="J53" s="590"/>
      <c r="K53" s="590"/>
      <c r="L53" s="541">
        <f>IFERROR(ROUND(I53/$R$1,0),0)</f>
        <v>0</v>
      </c>
      <c r="M53" s="541"/>
      <c r="N53" s="542"/>
      <c r="O53" s="303"/>
      <c r="P53" s="579" t="s">
        <v>116</v>
      </c>
      <c r="Q53" s="446"/>
      <c r="R53" s="446"/>
      <c r="S53" s="446"/>
      <c r="T53" s="446"/>
      <c r="U53" s="446"/>
      <c r="V53" s="447"/>
      <c r="W53" s="519">
        <f t="shared" si="9"/>
        <v>0</v>
      </c>
      <c r="X53" s="519"/>
      <c r="Y53" s="519"/>
      <c r="Z53" s="572">
        <f t="shared" si="8"/>
        <v>0</v>
      </c>
      <c r="AA53" s="572"/>
      <c r="AB53" s="573"/>
      <c r="AC53" s="182"/>
      <c r="AD53" s="280"/>
      <c r="AE53" s="281"/>
      <c r="AF53" s="281"/>
      <c r="AG53" s="281"/>
      <c r="AH53" s="281"/>
      <c r="AI53" s="281"/>
      <c r="AJ53" s="282"/>
      <c r="AK53" s="591" t="str">
        <f t="shared" si="10"/>
        <v/>
      </c>
      <c r="AL53" s="592"/>
      <c r="AM53" s="593"/>
      <c r="AN53" s="7"/>
      <c r="AO53" s="22"/>
    </row>
    <row r="54" spans="1:41" ht="27" customHeight="1" thickBot="1" x14ac:dyDescent="0.8">
      <c r="A54" s="251"/>
      <c r="B54" s="251"/>
      <c r="C54" s="251"/>
      <c r="D54" s="251"/>
      <c r="E54" s="251"/>
      <c r="F54" s="251"/>
      <c r="G54" s="251"/>
      <c r="H54" s="251"/>
      <c r="I54" s="252"/>
      <c r="J54" s="252"/>
      <c r="K54" s="252"/>
      <c r="L54" s="252"/>
      <c r="M54" s="22"/>
      <c r="N54" s="22"/>
      <c r="O54" s="303"/>
      <c r="P54" s="574" t="s">
        <v>149</v>
      </c>
      <c r="Q54" s="575"/>
      <c r="R54" s="575"/>
      <c r="S54" s="575"/>
      <c r="T54" s="575"/>
      <c r="U54" s="575"/>
      <c r="V54" s="576"/>
      <c r="W54" s="520">
        <f t="shared" si="9"/>
        <v>0</v>
      </c>
      <c r="X54" s="520"/>
      <c r="Y54" s="520"/>
      <c r="Z54" s="577">
        <f t="shared" si="8"/>
        <v>0</v>
      </c>
      <c r="AA54" s="577"/>
      <c r="AB54" s="578"/>
      <c r="AC54" s="182"/>
      <c r="AD54" s="285"/>
      <c r="AE54" s="286"/>
      <c r="AF54" s="286"/>
      <c r="AG54" s="286"/>
      <c r="AH54" s="286"/>
      <c r="AI54" s="286"/>
      <c r="AJ54" s="287"/>
      <c r="AK54" s="594" t="str">
        <f t="shared" si="10"/>
        <v/>
      </c>
      <c r="AL54" s="595"/>
      <c r="AM54" s="596"/>
      <c r="AN54" s="7"/>
      <c r="AO54" s="22"/>
    </row>
    <row r="55" spans="1:41" ht="27" customHeight="1" thickBot="1" x14ac:dyDescent="0.65">
      <c r="A55" s="543" t="s">
        <v>113</v>
      </c>
      <c r="B55" s="544"/>
      <c r="C55" s="544"/>
      <c r="D55" s="544"/>
      <c r="E55" s="544"/>
      <c r="F55" s="544"/>
      <c r="G55" s="544"/>
      <c r="H55" s="544"/>
      <c r="I55" s="545" t="s">
        <v>135</v>
      </c>
      <c r="J55" s="546"/>
      <c r="K55" s="546"/>
      <c r="L55" s="545" t="s">
        <v>136</v>
      </c>
      <c r="M55" s="546"/>
      <c r="N55" s="547"/>
      <c r="O55" s="303"/>
      <c r="P55" s="7"/>
      <c r="Q55" s="7"/>
      <c r="R55" s="7"/>
      <c r="S55" s="7"/>
      <c r="T55" s="7"/>
      <c r="U55" s="7"/>
      <c r="V55" s="7"/>
      <c r="W55" s="7"/>
      <c r="X55" s="7"/>
      <c r="Y55" s="7"/>
      <c r="Z55" s="7"/>
      <c r="AA55" s="7"/>
      <c r="AB55" s="7"/>
      <c r="AC55" s="7"/>
      <c r="AD55" s="7"/>
      <c r="AE55" s="7"/>
      <c r="AF55" s="7"/>
      <c r="AG55" s="7"/>
      <c r="AH55" s="7"/>
      <c r="AI55" s="7"/>
      <c r="AJ55" s="7"/>
      <c r="AK55" s="306" t="str">
        <f t="shared" ref="AK55" si="11">IFERROR(VLOOKUP(AD55,$P$41:$Z$54,2,FALSE),"")</f>
        <v/>
      </c>
      <c r="AL55" s="7"/>
      <c r="AM55" s="8"/>
      <c r="AN55" s="7"/>
      <c r="AO55" s="22"/>
    </row>
    <row r="56" spans="1:41" ht="27" customHeight="1" thickBot="1" x14ac:dyDescent="0.65">
      <c r="A56" s="537" t="s">
        <v>836</v>
      </c>
      <c r="B56" s="538"/>
      <c r="C56" s="538"/>
      <c r="D56" s="538"/>
      <c r="E56" s="538"/>
      <c r="F56" s="538"/>
      <c r="G56" s="538"/>
      <c r="H56" s="539"/>
      <c r="I56" s="540">
        <f>SUMIFS(Input[H&amp;C (OS) E&amp;G], Input[Type],$R$2)
+SUMIFS(Input[H&amp;C (OS) Desg], Input[Type],$R$2)
+SUMIFS(Input[H&amp;C (OS) Aux], Input[Type],$R$2)
+SUMIFS(Input[H&amp;C (OS) R Exp], Input[Type],$R$2)
+SUMIFS(Input[H&amp;C (OS) Loan], Input[Type],$R$2)
+SUMIFS(Input[H&amp;C (OS) Annuity], Input[Type],$R$2)
+SUMIFS(Input[H&amp;C (OS) Unexp], Input[Type],$R$2)
+SUMIFS(Input[H&amp;C (OS) R of Ind], Input[Type],$R$2)
+SUMIFS(Input[H&amp;C (OS) Inv in P], Input[Type],$R$2)</f>
        <v>0</v>
      </c>
      <c r="J56" s="540"/>
      <c r="K56" s="540"/>
      <c r="L56" s="541">
        <f>IFERROR(I56/$R$1,0)</f>
        <v>0</v>
      </c>
      <c r="M56" s="541"/>
      <c r="N56" s="542"/>
      <c r="O56" s="303"/>
      <c r="P56" s="7"/>
      <c r="Q56" s="7"/>
      <c r="R56" s="7"/>
      <c r="S56" s="7"/>
      <c r="T56" s="7"/>
      <c r="U56" s="7"/>
      <c r="V56" s="7"/>
      <c r="W56" s="7"/>
      <c r="X56" s="7"/>
      <c r="Y56" s="7"/>
      <c r="Z56" s="7"/>
      <c r="AA56" s="7"/>
      <c r="AB56" s="7"/>
      <c r="AC56" s="7"/>
      <c r="AD56" s="307"/>
      <c r="AE56" s="307"/>
      <c r="AF56" s="307"/>
      <c r="AG56" s="307"/>
      <c r="AH56" s="307"/>
      <c r="AI56" s="307"/>
      <c r="AJ56" s="307"/>
      <c r="AK56" s="307"/>
      <c r="AL56" s="307"/>
      <c r="AM56" s="307"/>
      <c r="AN56" s="7"/>
      <c r="AO56" s="22"/>
    </row>
    <row r="57" spans="1:41" ht="27" customHeight="1" thickBot="1" x14ac:dyDescent="0.65">
      <c r="A57" s="274"/>
      <c r="B57" s="275"/>
      <c r="C57" s="275"/>
      <c r="D57" s="275"/>
      <c r="E57" s="275"/>
      <c r="F57" s="275"/>
      <c r="G57" s="275"/>
      <c r="H57" s="275"/>
      <c r="I57" s="275"/>
      <c r="J57" s="275"/>
      <c r="K57" s="275"/>
      <c r="L57" s="276"/>
      <c r="M57" s="22"/>
      <c r="N57" s="22"/>
      <c r="O57" s="303"/>
      <c r="P57" s="7"/>
      <c r="Q57" s="7"/>
      <c r="R57" s="7"/>
      <c r="S57" s="7"/>
      <c r="T57" s="7"/>
      <c r="U57" s="7"/>
      <c r="V57" s="7"/>
      <c r="W57" s="7"/>
      <c r="X57" s="7"/>
      <c r="Y57" s="7"/>
      <c r="Z57" s="7"/>
      <c r="AA57" s="7"/>
      <c r="AB57" s="7"/>
      <c r="AC57" s="7"/>
      <c r="AD57" s="185"/>
      <c r="AE57" s="185"/>
      <c r="AF57" s="185"/>
      <c r="AG57" s="185"/>
      <c r="AH57" s="185"/>
      <c r="AI57" s="185"/>
      <c r="AJ57" s="185"/>
      <c r="AK57" s="185"/>
      <c r="AL57" s="185"/>
      <c r="AM57" s="185"/>
      <c r="AN57" s="7"/>
      <c r="AO57" s="22"/>
    </row>
    <row r="58" spans="1:41" ht="27" customHeight="1" thickBot="1" x14ac:dyDescent="0.65">
      <c r="A58" s="543" t="s">
        <v>114</v>
      </c>
      <c r="B58" s="544"/>
      <c r="C58" s="544"/>
      <c r="D58" s="544"/>
      <c r="E58" s="544"/>
      <c r="F58" s="544"/>
      <c r="G58" s="544"/>
      <c r="H58" s="589"/>
      <c r="I58" s="545" t="s">
        <v>135</v>
      </c>
      <c r="J58" s="546"/>
      <c r="K58" s="546"/>
      <c r="L58" s="545" t="s">
        <v>136</v>
      </c>
      <c r="M58" s="546"/>
      <c r="N58" s="547"/>
      <c r="O58" s="303"/>
      <c r="P58" s="7"/>
      <c r="Q58" s="7"/>
      <c r="R58" s="7"/>
      <c r="S58" s="7"/>
      <c r="T58" s="7"/>
      <c r="U58" s="7"/>
      <c r="V58" s="7"/>
      <c r="W58" s="7"/>
      <c r="X58" s="7"/>
      <c r="Y58" s="7"/>
      <c r="Z58" s="7"/>
      <c r="AA58" s="7"/>
      <c r="AB58" s="7"/>
      <c r="AC58" s="7"/>
      <c r="AD58" s="185"/>
      <c r="AE58" s="185"/>
      <c r="AF58" s="185"/>
      <c r="AG58" s="185"/>
      <c r="AH58" s="185"/>
      <c r="AI58" s="185"/>
      <c r="AJ58" s="185"/>
      <c r="AK58" s="185"/>
      <c r="AL58" s="185"/>
      <c r="AM58" s="185"/>
      <c r="AN58" s="7"/>
      <c r="AO58" s="22"/>
    </row>
    <row r="59" spans="1:41" ht="27" customHeight="1" x14ac:dyDescent="0.6">
      <c r="A59" s="522" t="s">
        <v>151</v>
      </c>
      <c r="B59" s="523"/>
      <c r="C59" s="523"/>
      <c r="D59" s="523"/>
      <c r="E59" s="523"/>
      <c r="F59" s="523"/>
      <c r="G59" s="523"/>
      <c r="H59" s="524"/>
      <c r="I59" s="518">
        <f>SUMIFS(Input[End &amp; Int Inc E&amp;G], Input[Type],$R$2)+SUMIFS(Input[End &amp; Int Inc Desg], Input[Type],$R$2)+SUMIFS(Input[End &amp; Int Inc Aux], Input[Type],$R$2)+SUMIFS(Input[End &amp; Int Inc R Exp], Input[Type],$R$2)+SUMIFS(Input[End &amp; Int Inc Loan], Input[Type],$R$2)+SUMIFS(Input[End &amp; Int Inc Annuity], Input[Type],$R$2)+SUMIFS(Input[End &amp; Int Inc Unexp], Input[Type],$R$2)+SUMIFS(Input[End &amp; Int Inc R of Ind], Input[Type],$R$2)+SUMIFS(Input[End &amp; Int Inc Inv in P], Input[Type],$R$2)</f>
        <v>0</v>
      </c>
      <c r="J59" s="518"/>
      <c r="K59" s="518"/>
      <c r="L59" s="529">
        <f t="shared" ref="L59:L65" si="12">IFERROR(I59/$R$1,0)</f>
        <v>0</v>
      </c>
      <c r="M59" s="529"/>
      <c r="N59" s="530"/>
      <c r="O59" s="303"/>
      <c r="P59" s="7"/>
      <c r="Q59" s="7"/>
      <c r="R59" s="7"/>
      <c r="S59" s="7"/>
      <c r="T59" s="7"/>
      <c r="U59" s="7"/>
      <c r="V59" s="7"/>
      <c r="W59" s="7"/>
      <c r="X59" s="7"/>
      <c r="Y59" s="7"/>
      <c r="Z59" s="7"/>
      <c r="AA59" s="7"/>
      <c r="AB59" s="7"/>
      <c r="AC59" s="7"/>
      <c r="AD59" s="185"/>
      <c r="AE59" s="185"/>
      <c r="AF59" s="185"/>
      <c r="AG59" s="185"/>
      <c r="AH59" s="185"/>
      <c r="AI59" s="185"/>
      <c r="AJ59" s="185"/>
      <c r="AK59" s="185"/>
      <c r="AL59" s="185"/>
      <c r="AM59" s="185"/>
      <c r="AN59" s="7"/>
      <c r="AO59" s="22"/>
    </row>
    <row r="60" spans="1:41" ht="27" customHeight="1" x14ac:dyDescent="0.6">
      <c r="A60" s="525" t="s">
        <v>146</v>
      </c>
      <c r="B60" s="434"/>
      <c r="C60" s="434"/>
      <c r="D60" s="434"/>
      <c r="E60" s="434"/>
      <c r="F60" s="434"/>
      <c r="G60" s="434"/>
      <c r="H60" s="435"/>
      <c r="I60" s="519">
        <f>SUMIFS(Input[Loc Gov G E&amp;G], Input[Type],$R$2)+SUMIFS(Input[Loc Gov G Desg], Input[Type],$R$2)+SUMIFS(Input[Loc Gov G Aux], Input[Type],$R$2)+SUMIFS(Input[Loc Gov G R Exp], Input[Type],$R$2)+SUMIFS(Input[Loc Gov G Loan], Input[Type],$R$2)+SUMIFS(Input[Loc Gov G Annuity], Input[Type],$R$2)+SUMIFS(Input[Loc Gov G Unexp], Input[Type],$R$2)+SUMIFS(Input[Loc Gov G R of Ind], Input[Type],$R$2)+SUMIFS(Input[Loc Gov G Inv in P], Input[Type],$R$2)</f>
        <v>0</v>
      </c>
      <c r="J60" s="519"/>
      <c r="K60" s="519"/>
      <c r="L60" s="432">
        <f t="shared" si="12"/>
        <v>0</v>
      </c>
      <c r="M60" s="432"/>
      <c r="N60" s="536"/>
      <c r="O60" s="303"/>
      <c r="P60" s="7"/>
      <c r="Q60" s="7"/>
      <c r="R60" s="7"/>
      <c r="S60" s="7"/>
      <c r="T60" s="7"/>
      <c r="U60" s="7"/>
      <c r="V60" s="7"/>
      <c r="W60" s="7"/>
      <c r="X60" s="7"/>
      <c r="Y60" s="7"/>
      <c r="Z60" s="7"/>
      <c r="AA60" s="7"/>
      <c r="AB60" s="7"/>
      <c r="AC60" s="7"/>
      <c r="AD60" s="185"/>
      <c r="AE60" s="185"/>
      <c r="AF60" s="185"/>
      <c r="AG60" s="185"/>
      <c r="AH60" s="185"/>
      <c r="AI60" s="185"/>
      <c r="AJ60" s="185"/>
      <c r="AK60" s="185"/>
      <c r="AL60" s="185"/>
      <c r="AM60" s="185"/>
      <c r="AN60" s="7"/>
      <c r="AO60" s="22"/>
    </row>
    <row r="61" spans="1:41" ht="27" customHeight="1" x14ac:dyDescent="0.6">
      <c r="A61" s="525" t="s">
        <v>851</v>
      </c>
      <c r="B61" s="434"/>
      <c r="C61" s="434"/>
      <c r="D61" s="434"/>
      <c r="E61" s="434"/>
      <c r="F61" s="434"/>
      <c r="G61" s="434"/>
      <c r="H61" s="435"/>
      <c r="I61" s="519">
        <f>SUMIFS(Input[Pvt G&amp;G E&amp;G], Input[Type],$R$2)+SUMIFS(Input[Pvt G&amp;G Desg], Input[Type],$R$2)+SUMIFS(Input[Pvt G&amp;G Aux], Input[Type],$R$2)+SUMIFS(Input[Pvt G&amp;G R Exp], Input[Type],$R$2)+SUMIFS(Input[Pvt G&amp;G Loan], Input[Type],$R$2)+SUMIFS(Input[Pvt G&amp;G Annuity], Input[Type],$R$2)+SUMIFS(Input[Pvt G&amp;G Unexp], Input[Type],$R$2)+SUMIFS(Input[Pvt G&amp;G R of Ind], Input[Type],$R$2)+SUMIFS(Input[Pvt G&amp;G Inv in P], Input[Type],$R$2)</f>
        <v>0</v>
      </c>
      <c r="J61" s="519"/>
      <c r="K61" s="519"/>
      <c r="L61" s="432">
        <f t="shared" si="12"/>
        <v>0</v>
      </c>
      <c r="M61" s="432"/>
      <c r="N61" s="536"/>
      <c r="O61" s="303"/>
      <c r="P61" s="7"/>
      <c r="Q61" s="7"/>
      <c r="R61" s="7"/>
      <c r="S61" s="7"/>
      <c r="T61" s="7"/>
      <c r="U61" s="7"/>
      <c r="V61" s="7"/>
      <c r="W61" s="7"/>
      <c r="X61" s="7"/>
      <c r="Y61" s="7"/>
      <c r="Z61" s="7"/>
      <c r="AA61" s="7"/>
      <c r="AB61" s="7"/>
      <c r="AC61" s="7"/>
      <c r="AD61" s="185"/>
      <c r="AE61" s="185"/>
      <c r="AF61" s="185"/>
      <c r="AG61" s="185"/>
      <c r="AH61" s="185"/>
      <c r="AI61" s="185"/>
      <c r="AJ61" s="185"/>
      <c r="AK61" s="185"/>
      <c r="AL61" s="185"/>
      <c r="AM61" s="185"/>
      <c r="AN61" s="7"/>
      <c r="AO61" s="22"/>
    </row>
    <row r="62" spans="1:41" ht="27" customHeight="1" x14ac:dyDescent="0.6">
      <c r="A62" s="525" t="s">
        <v>115</v>
      </c>
      <c r="B62" s="434"/>
      <c r="C62" s="434"/>
      <c r="D62" s="434"/>
      <c r="E62" s="434"/>
      <c r="F62" s="434"/>
      <c r="G62" s="434"/>
      <c r="H62" s="435"/>
      <c r="I62" s="519">
        <f>SUMIFS(Input[S&amp;S E&amp;G], Input[Type],$R$2)+SUMIFS(Input[S&amp;S Desg], Input[Type],$R$2)+SUMIFS(Input[S&amp;S Aux], Input[Type],$R$2)+SUMIFS(Input[S&amp;S R Exp], Input[Type],$R$2)+SUMIFS(Input[S&amp;S Loan], Input[Type],$R$2)+SUMIFS(Input[S&amp;S Annuity], Input[Type],$R$2)+SUMIFS(Input[S&amp;S Unexp], Input[Type],$R$2)+SUMIFS(Input[S&amp;S R of Ind], Input[Type],$R$2)+SUMIFS(Input[S&amp;S Inv in P], Input[Type],$R$2)</f>
        <v>0</v>
      </c>
      <c r="J62" s="519"/>
      <c r="K62" s="519"/>
      <c r="L62" s="432">
        <f t="shared" si="12"/>
        <v>0</v>
      </c>
      <c r="M62" s="432"/>
      <c r="N62" s="536"/>
      <c r="O62" s="303"/>
      <c r="P62" s="7"/>
      <c r="Q62" s="7"/>
      <c r="R62" s="7"/>
      <c r="S62" s="7"/>
      <c r="T62" s="7"/>
      <c r="U62" s="7"/>
      <c r="V62" s="7"/>
      <c r="W62" s="7"/>
      <c r="X62" s="7"/>
      <c r="Y62" s="7"/>
      <c r="Z62" s="7"/>
      <c r="AA62" s="7"/>
      <c r="AB62" s="7"/>
      <c r="AC62" s="7"/>
      <c r="AD62" s="185"/>
      <c r="AE62" s="185"/>
      <c r="AF62" s="185"/>
      <c r="AG62" s="185"/>
      <c r="AH62" s="185"/>
      <c r="AI62" s="185"/>
      <c r="AJ62" s="185"/>
      <c r="AK62" s="185"/>
      <c r="AL62" s="185"/>
      <c r="AM62" s="185"/>
      <c r="AN62" s="7"/>
      <c r="AO62" s="22"/>
    </row>
    <row r="63" spans="1:41" ht="27" customHeight="1" x14ac:dyDescent="0.6">
      <c r="A63" s="525" t="s">
        <v>116</v>
      </c>
      <c r="B63" s="434"/>
      <c r="C63" s="434"/>
      <c r="D63" s="434"/>
      <c r="E63" s="434"/>
      <c r="F63" s="434"/>
      <c r="G63" s="434"/>
      <c r="H63" s="435"/>
      <c r="I63" s="519">
        <f>SUMIFS(Input[Net Aux Ent E&amp;G], Input[Type],$R$2)+SUMIFS(Input[Net Aux Ent Desg], Input[Type],$R$2)+SUMIFS(Input[Net Aux Ent Aux], Input[Type],$R$2)+SUMIFS(Input[Net Aux Ent R Exp], Input[Type],$R$2)+SUMIFS(Input[Net Aux Ent Loan], Input[Type],$R$2)+SUMIFS(Input[Net Aux Ent Annuity], Input[Type],$R$2)+SUMIFS(Input[Net Aux Ent Unexp], Input[Type],$R$2)+SUMIFS(Input[Net Aux Ent R of Ind], Input[Type],$R$2)+SUMIFS(Input[Net Aux Ent Inv in P], Input[Type],$R$2)</f>
        <v>0</v>
      </c>
      <c r="J63" s="519"/>
      <c r="K63" s="519"/>
      <c r="L63" s="432">
        <f t="shared" si="12"/>
        <v>0</v>
      </c>
      <c r="M63" s="432"/>
      <c r="N63" s="536"/>
      <c r="O63" s="303"/>
      <c r="P63" s="7"/>
      <c r="Q63" s="7"/>
      <c r="R63" s="7"/>
      <c r="S63" s="7"/>
      <c r="T63" s="7"/>
      <c r="U63" s="7"/>
      <c r="V63" s="7"/>
      <c r="W63" s="7"/>
      <c r="X63" s="7"/>
      <c r="Y63" s="7"/>
      <c r="Z63" s="7"/>
      <c r="AA63" s="7"/>
      <c r="AB63" s="7"/>
      <c r="AC63" s="7"/>
      <c r="AD63" s="185"/>
      <c r="AE63" s="185"/>
      <c r="AF63" s="185"/>
      <c r="AG63" s="185"/>
      <c r="AH63" s="185"/>
      <c r="AI63" s="185"/>
      <c r="AJ63" s="185"/>
      <c r="AK63" s="185"/>
      <c r="AL63" s="185"/>
      <c r="AM63" s="185"/>
      <c r="AN63" s="7"/>
      <c r="AO63" s="22"/>
    </row>
    <row r="64" spans="1:41" ht="27" customHeight="1" thickBot="1" x14ac:dyDescent="0.65">
      <c r="A64" s="525" t="s">
        <v>149</v>
      </c>
      <c r="B64" s="434"/>
      <c r="C64" s="434"/>
      <c r="D64" s="434"/>
      <c r="E64" s="434"/>
      <c r="F64" s="434"/>
      <c r="G64" s="434"/>
      <c r="H64" s="435"/>
      <c r="I64" s="520">
        <f>SUMIFS(Input[Oth Inc E&amp;G], Input[Type],$R$2)+SUMIFS(Input[Oth Inc Desg], Input[Type],$R$2)+SUMIFS(Input[Oth Inc Aux], Input[Type],$R$2)+SUMIFS(Input[Oth Inc R Exp], Input[Type],$R$2)+SUMIFS(Input[Oth Inc Loan], Input[Type],$R$2)+SUMIFS(Input[Oth Inc Annuity], Input[Type],$R$2)+SUMIFS(Input[Oth Inc Unexp], Input[Type],$R$2)+SUMIFS(Input[Oth Inc R of Ind], Input[Type],$R$2)+SUMIFS(Input[Oth Inc Inv in P], Input[Type],$R$2)</f>
        <v>0</v>
      </c>
      <c r="J64" s="520"/>
      <c r="K64" s="520"/>
      <c r="L64" s="534">
        <f t="shared" si="12"/>
        <v>0</v>
      </c>
      <c r="M64" s="534"/>
      <c r="N64" s="535"/>
      <c r="O64" s="303"/>
      <c r="P64" s="7"/>
      <c r="Q64" s="7"/>
      <c r="R64" s="7"/>
      <c r="S64" s="7"/>
      <c r="T64" s="7"/>
      <c r="U64" s="7"/>
      <c r="V64" s="7"/>
      <c r="W64" s="7"/>
      <c r="X64" s="7"/>
      <c r="Y64" s="7"/>
      <c r="Z64" s="7"/>
      <c r="AA64" s="7"/>
      <c r="AB64" s="7"/>
      <c r="AC64" s="7"/>
      <c r="AD64" s="185"/>
      <c r="AE64" s="185"/>
      <c r="AF64" s="185"/>
      <c r="AG64" s="185"/>
      <c r="AH64" s="185"/>
      <c r="AI64" s="185"/>
      <c r="AJ64" s="185"/>
      <c r="AK64" s="185"/>
      <c r="AL64" s="185"/>
      <c r="AM64" s="185"/>
      <c r="AN64" s="7"/>
      <c r="AO64" s="22"/>
    </row>
    <row r="65" spans="1:41" ht="27" customHeight="1" thickBot="1" x14ac:dyDescent="0.65">
      <c r="A65" s="509" t="s">
        <v>99</v>
      </c>
      <c r="B65" s="510"/>
      <c r="C65" s="510"/>
      <c r="D65" s="510"/>
      <c r="E65" s="510"/>
      <c r="F65" s="510"/>
      <c r="G65" s="510"/>
      <c r="H65" s="510"/>
      <c r="I65" s="516">
        <f>SUM(I59:I64)</f>
        <v>0</v>
      </c>
      <c r="J65" s="516"/>
      <c r="K65" s="516"/>
      <c r="L65" s="516">
        <f t="shared" si="12"/>
        <v>0</v>
      </c>
      <c r="M65" s="516"/>
      <c r="N65" s="517"/>
      <c r="O65" s="303"/>
      <c r="P65" s="7"/>
      <c r="Q65" s="7"/>
      <c r="R65" s="7"/>
      <c r="S65" s="7"/>
      <c r="T65" s="7"/>
      <c r="U65" s="7"/>
      <c r="V65" s="7"/>
      <c r="W65" s="7"/>
      <c r="X65" s="7"/>
      <c r="Y65" s="7"/>
      <c r="Z65" s="7"/>
      <c r="AA65" s="7"/>
      <c r="AB65" s="7"/>
      <c r="AC65" s="7"/>
      <c r="AD65" s="308"/>
      <c r="AE65" s="308"/>
      <c r="AF65" s="308"/>
      <c r="AG65" s="308"/>
      <c r="AH65" s="308"/>
      <c r="AI65" s="308"/>
      <c r="AJ65" s="308"/>
      <c r="AK65" s="306" t="str">
        <f>IFERROR(VLOOKUP(AD65,$P$41:$Z$54,2,FALSE),"")</f>
        <v/>
      </c>
      <c r="AL65" s="7"/>
      <c r="AM65" s="7"/>
      <c r="AN65" s="7"/>
      <c r="AO65" s="22"/>
    </row>
    <row r="66" spans="1:41" ht="27" customHeight="1" thickBot="1" x14ac:dyDescent="0.65">
      <c r="A66" s="274"/>
      <c r="B66" s="275"/>
      <c r="C66" s="275"/>
      <c r="D66" s="275"/>
      <c r="E66" s="275"/>
      <c r="F66" s="275"/>
      <c r="G66" s="275"/>
      <c r="H66" s="275"/>
      <c r="I66" s="275"/>
      <c r="J66" s="275"/>
      <c r="K66" s="275"/>
      <c r="L66" s="276"/>
      <c r="M66" s="22"/>
      <c r="N66" s="22"/>
      <c r="O66" s="303"/>
      <c r="P66" s="7"/>
      <c r="Q66" s="7"/>
      <c r="R66" s="7"/>
      <c r="S66" s="7"/>
      <c r="T66" s="7"/>
      <c r="U66" s="7"/>
      <c r="V66" s="7"/>
      <c r="W66" s="7"/>
      <c r="X66" s="7"/>
      <c r="Y66" s="7"/>
      <c r="Z66" s="7"/>
      <c r="AA66" s="7"/>
      <c r="AB66" s="7"/>
      <c r="AC66" s="7"/>
      <c r="AD66" s="308"/>
      <c r="AE66" s="308"/>
      <c r="AF66" s="308"/>
      <c r="AG66" s="308"/>
      <c r="AH66" s="308"/>
      <c r="AI66" s="308"/>
      <c r="AJ66" s="308"/>
      <c r="AK66" s="306"/>
      <c r="AL66" s="7"/>
      <c r="AM66" s="7"/>
      <c r="AN66" s="7"/>
      <c r="AO66" s="22"/>
    </row>
    <row r="67" spans="1:41" ht="27" customHeight="1" thickBot="1" x14ac:dyDescent="0.65">
      <c r="A67" s="509" t="s">
        <v>117</v>
      </c>
      <c r="B67" s="510"/>
      <c r="C67" s="510"/>
      <c r="D67" s="510"/>
      <c r="E67" s="510"/>
      <c r="F67" s="510"/>
      <c r="G67" s="510"/>
      <c r="H67" s="510"/>
      <c r="I67" s="516">
        <f>SUM(I14,I30,I45,I50,I53,I56,I65)</f>
        <v>0</v>
      </c>
      <c r="J67" s="516"/>
      <c r="K67" s="516"/>
      <c r="L67" s="516">
        <f>IFERROR(I67/$R$1,0)</f>
        <v>0</v>
      </c>
      <c r="M67" s="516"/>
      <c r="N67" s="517"/>
      <c r="O67" s="303"/>
      <c r="P67" s="7"/>
      <c r="Q67" s="7"/>
      <c r="R67" s="7"/>
      <c r="S67" s="7"/>
      <c r="T67" s="7"/>
      <c r="U67" s="7"/>
      <c r="V67" s="7"/>
      <c r="W67" s="7"/>
      <c r="X67" s="7"/>
      <c r="Y67" s="7"/>
      <c r="Z67" s="7"/>
      <c r="AA67" s="7"/>
      <c r="AB67" s="7"/>
      <c r="AC67" s="7"/>
      <c r="AD67" s="308"/>
      <c r="AE67" s="308"/>
      <c r="AF67" s="308"/>
      <c r="AG67" s="308"/>
      <c r="AH67" s="308"/>
      <c r="AI67" s="308"/>
      <c r="AJ67" s="308"/>
      <c r="AK67" s="306"/>
      <c r="AL67" s="7"/>
      <c r="AM67" s="7"/>
      <c r="AN67" s="7"/>
      <c r="AO67" s="22"/>
    </row>
    <row r="68" spans="1:41" ht="27" customHeight="1" thickBot="1" x14ac:dyDescent="0.65">
      <c r="A68" s="274"/>
      <c r="B68" s="275"/>
      <c r="C68" s="275"/>
      <c r="D68" s="275"/>
      <c r="E68" s="275"/>
      <c r="F68" s="275"/>
      <c r="G68" s="275"/>
      <c r="H68" s="275"/>
      <c r="I68" s="275"/>
      <c r="J68" s="275"/>
      <c r="K68" s="275"/>
      <c r="L68" s="276"/>
      <c r="M68" s="22"/>
      <c r="N68" s="22"/>
      <c r="O68" s="303"/>
      <c r="P68" s="7"/>
      <c r="Q68" s="7"/>
      <c r="R68" s="7"/>
      <c r="S68" s="7"/>
      <c r="T68" s="7"/>
      <c r="U68" s="7"/>
      <c r="V68" s="7"/>
      <c r="W68" s="7"/>
      <c r="X68" s="7"/>
      <c r="Y68" s="7"/>
      <c r="Z68" s="7"/>
      <c r="AA68" s="7"/>
      <c r="AB68" s="7"/>
      <c r="AC68" s="7"/>
      <c r="AD68" s="308"/>
      <c r="AE68" s="308"/>
      <c r="AF68" s="308"/>
      <c r="AG68" s="308"/>
      <c r="AH68" s="308"/>
      <c r="AI68" s="308"/>
      <c r="AJ68" s="308"/>
      <c r="AK68" s="306"/>
      <c r="AL68" s="7"/>
      <c r="AM68" s="7"/>
      <c r="AN68" s="7"/>
      <c r="AO68" s="22"/>
    </row>
    <row r="69" spans="1:41" ht="31.95" customHeight="1" thickBot="1" x14ac:dyDescent="0.65">
      <c r="A69" s="565" t="s">
        <v>118</v>
      </c>
      <c r="B69" s="566"/>
      <c r="C69" s="566"/>
      <c r="D69" s="566"/>
      <c r="E69" s="566"/>
      <c r="F69" s="566"/>
      <c r="G69" s="566"/>
      <c r="H69" s="566"/>
      <c r="I69" s="566"/>
      <c r="J69" s="566"/>
      <c r="K69" s="566"/>
      <c r="L69" s="566"/>
      <c r="M69" s="566"/>
      <c r="N69" s="567"/>
      <c r="O69" s="303"/>
      <c r="P69" s="549" t="s">
        <v>150</v>
      </c>
      <c r="Q69" s="550"/>
      <c r="R69" s="550"/>
      <c r="S69" s="550"/>
      <c r="T69" s="550"/>
      <c r="U69" s="550"/>
      <c r="V69" s="550"/>
      <c r="W69" s="550"/>
      <c r="X69" s="550"/>
      <c r="Y69" s="550"/>
      <c r="Z69" s="550"/>
      <c r="AA69" s="186"/>
      <c r="AB69" s="187"/>
      <c r="AC69" s="7"/>
      <c r="AD69" s="308"/>
      <c r="AE69" s="308"/>
      <c r="AF69" s="308"/>
      <c r="AG69" s="308"/>
      <c r="AH69" s="308"/>
      <c r="AI69" s="308"/>
      <c r="AJ69" s="308"/>
      <c r="AK69" s="306"/>
      <c r="AL69" s="7"/>
      <c r="AM69" s="7"/>
      <c r="AN69" s="7"/>
      <c r="AO69" s="22"/>
    </row>
    <row r="70" spans="1:41" ht="27" customHeight="1" thickBot="1" x14ac:dyDescent="0.65">
      <c r="A70" s="543" t="s">
        <v>119</v>
      </c>
      <c r="B70" s="544"/>
      <c r="C70" s="544"/>
      <c r="D70" s="544"/>
      <c r="E70" s="544"/>
      <c r="F70" s="544"/>
      <c r="G70" s="544"/>
      <c r="H70" s="544"/>
      <c r="I70" s="545" t="s">
        <v>135</v>
      </c>
      <c r="J70" s="546"/>
      <c r="K70" s="546"/>
      <c r="L70" s="545" t="s">
        <v>136</v>
      </c>
      <c r="M70" s="546"/>
      <c r="N70" s="547"/>
      <c r="O70" s="303"/>
      <c r="P70" s="614" t="s">
        <v>119</v>
      </c>
      <c r="Q70" s="615"/>
      <c r="R70" s="615"/>
      <c r="S70" s="615"/>
      <c r="T70" s="615"/>
      <c r="U70" s="615"/>
      <c r="V70" s="615"/>
      <c r="W70" s="616" t="s">
        <v>1642</v>
      </c>
      <c r="X70" s="617"/>
      <c r="Y70" s="617"/>
      <c r="Z70" s="616" t="s">
        <v>1643</v>
      </c>
      <c r="AA70" s="617"/>
      <c r="AB70" s="618"/>
      <c r="AC70" s="7"/>
      <c r="AD70" s="308"/>
      <c r="AE70" s="308"/>
      <c r="AF70" s="308"/>
      <c r="AG70" s="308"/>
      <c r="AH70" s="308"/>
      <c r="AI70" s="308"/>
      <c r="AJ70" s="308"/>
      <c r="AK70" s="306"/>
      <c r="AL70" s="7"/>
      <c r="AM70" s="7"/>
      <c r="AN70" s="7"/>
      <c r="AO70" s="22"/>
    </row>
    <row r="71" spans="1:41" ht="27" customHeight="1" x14ac:dyDescent="0.6">
      <c r="A71" s="522" t="s">
        <v>34</v>
      </c>
      <c r="B71" s="523"/>
      <c r="C71" s="523"/>
      <c r="D71" s="523"/>
      <c r="E71" s="523"/>
      <c r="F71" s="523"/>
      <c r="G71" s="523"/>
      <c r="H71" s="524"/>
      <c r="I71" s="518">
        <f>SUMIFS(Input[Instr E&amp;G], Input[Type],$R$2)+SUMIFS(Input[Instr Desg], Input[Type],$R$2)+SUMIFS(Input[Instr Aux], Input[Type],$R$2)+SUMIFS(Input[Instr R Exp], Input[Type],$R$2)+SUMIFS(Input[Instr Loan], Input[Type],$R$2)+SUMIFS(Input[Instr Annuity], Input[Type],$R$2)+SUMIFS(Input[Instr Unexp], Input[Type],$R$2)+SUMIFS(Input[Instr R of Ind], Input[Type],$R$2)+SUMIFS(Input[Instr Inv in P], Input[Type],$R$2)</f>
        <v>0</v>
      </c>
      <c r="J71" s="518"/>
      <c r="K71" s="518"/>
      <c r="L71" s="529">
        <f t="shared" ref="L71:L83" si="13">IFERROR(I71/$R$1,0)</f>
        <v>0</v>
      </c>
      <c r="M71" s="529"/>
      <c r="N71" s="530"/>
      <c r="O71" s="303"/>
      <c r="P71" s="604" t="s">
        <v>34</v>
      </c>
      <c r="Q71" s="605"/>
      <c r="R71" s="605"/>
      <c r="S71" s="605"/>
      <c r="T71" s="605"/>
      <c r="U71" s="605"/>
      <c r="V71" s="606"/>
      <c r="W71" s="611">
        <f>SUMIFS(Input[SRECNA Inst.],Input[Type],$R$2)</f>
        <v>0</v>
      </c>
      <c r="X71" s="611"/>
      <c r="Y71" s="611"/>
      <c r="Z71" s="529">
        <f t="shared" ref="Z71:Z80" si="14">SUM(W71,-I71)</f>
        <v>0</v>
      </c>
      <c r="AA71" s="529"/>
      <c r="AB71" s="530"/>
      <c r="AC71" s="7"/>
      <c r="AD71" s="308"/>
      <c r="AE71" s="308"/>
      <c r="AF71" s="308"/>
      <c r="AG71" s="308"/>
      <c r="AH71" s="308"/>
      <c r="AI71" s="308"/>
      <c r="AJ71" s="308"/>
      <c r="AK71" s="306"/>
      <c r="AL71" s="7"/>
      <c r="AM71" s="7"/>
      <c r="AN71" s="7"/>
      <c r="AO71" s="22"/>
    </row>
    <row r="72" spans="1:41" ht="27" customHeight="1" x14ac:dyDescent="0.6">
      <c r="A72" s="525" t="s">
        <v>35</v>
      </c>
      <c r="B72" s="434"/>
      <c r="C72" s="434"/>
      <c r="D72" s="434"/>
      <c r="E72" s="434"/>
      <c r="F72" s="434"/>
      <c r="G72" s="434"/>
      <c r="H72" s="435"/>
      <c r="I72" s="519">
        <f>SUMIFS(Input[Res E&amp;G], Input[Type],$R$2)+SUMIFS(Input[Res Desg], Input[Type],$R$2)+SUMIFS(Input[Res Aux], Input[Type],$R$2)+SUMIFS(Input[Res R Exp], Input[Type],$R$2)+SUMIFS(Input[Res Loan], Input[Type],$R$2)+SUMIFS(Input[Res Annuity], Input[Type],$R$2)+SUMIFS(Input[Res Unexp], Input[Type],$R$2)+SUMIFS(Input[Res R of Ind], Input[Type],$R$2)+SUMIFS(Input[Res Inv in P], Input[Type],$R$2)</f>
        <v>0</v>
      </c>
      <c r="J72" s="519"/>
      <c r="K72" s="519"/>
      <c r="L72" s="432">
        <f t="shared" si="13"/>
        <v>0</v>
      </c>
      <c r="M72" s="432"/>
      <c r="N72" s="536"/>
      <c r="O72" s="303"/>
      <c r="P72" s="525" t="s">
        <v>35</v>
      </c>
      <c r="Q72" s="434"/>
      <c r="R72" s="434"/>
      <c r="S72" s="434"/>
      <c r="T72" s="434"/>
      <c r="U72" s="434"/>
      <c r="V72" s="435"/>
      <c r="W72" s="431">
        <f>SUMIFS(Input[SRECNA Resh],Input[Type],$R$2)</f>
        <v>0</v>
      </c>
      <c r="X72" s="431"/>
      <c r="Y72" s="431"/>
      <c r="Z72" s="432">
        <f t="shared" si="14"/>
        <v>0</v>
      </c>
      <c r="AA72" s="432"/>
      <c r="AB72" s="536"/>
      <c r="AC72" s="309"/>
      <c r="AD72" s="308"/>
      <c r="AE72" s="308"/>
      <c r="AF72" s="308"/>
      <c r="AG72" s="308"/>
      <c r="AH72" s="308"/>
      <c r="AI72" s="308"/>
      <c r="AJ72" s="308"/>
      <c r="AK72" s="306"/>
      <c r="AL72" s="7"/>
      <c r="AM72" s="7"/>
      <c r="AN72" s="7"/>
      <c r="AO72" s="22"/>
    </row>
    <row r="73" spans="1:41" ht="27" customHeight="1" x14ac:dyDescent="0.6">
      <c r="A73" s="525" t="s">
        <v>120</v>
      </c>
      <c r="B73" s="434"/>
      <c r="C73" s="434"/>
      <c r="D73" s="434"/>
      <c r="E73" s="434"/>
      <c r="F73" s="434"/>
      <c r="G73" s="434"/>
      <c r="H73" s="435"/>
      <c r="I73" s="519">
        <f>SUMIFS(Input[Pub Srv E&amp;G], Input[Type],$R$2)+SUMIFS(Input[Pub Srv Desg], Input[Type],$R$2)+SUMIFS(Input[Pub Srv Aux], Input[Type],$R$2)+SUMIFS(Input[Pub Srv R Exp], Input[Type],$R$2)+SUMIFS(Input[Pub Srv Loan], Input[Type],$R$2)+SUMIFS(Input[Pub Srv Annuity], Input[Type],$R$2)+SUMIFS(Input[Pub Srv Unexp], Input[Type],$R$2)+SUMIFS(Input[Pub Srv R of Ind], Input[Type],$R$2)+SUMIFS(Input[Pub Srv Inv in P], Input[Type],$R$2)</f>
        <v>0</v>
      </c>
      <c r="J73" s="519"/>
      <c r="K73" s="519"/>
      <c r="L73" s="432">
        <f t="shared" si="13"/>
        <v>0</v>
      </c>
      <c r="M73" s="432"/>
      <c r="N73" s="536"/>
      <c r="O73" s="303"/>
      <c r="P73" s="525" t="s">
        <v>120</v>
      </c>
      <c r="Q73" s="434"/>
      <c r="R73" s="434"/>
      <c r="S73" s="434"/>
      <c r="T73" s="434"/>
      <c r="U73" s="434"/>
      <c r="V73" s="435"/>
      <c r="W73" s="431">
        <f>SUMIFS(Input[SRECNA Pub Svc],Input[Type],$R$2)</f>
        <v>0</v>
      </c>
      <c r="X73" s="431"/>
      <c r="Y73" s="431"/>
      <c r="Z73" s="432">
        <f t="shared" si="14"/>
        <v>0</v>
      </c>
      <c r="AA73" s="432"/>
      <c r="AB73" s="536"/>
      <c r="AC73" s="188"/>
      <c r="AD73" s="308"/>
      <c r="AE73" s="308"/>
      <c r="AF73" s="308"/>
      <c r="AG73" s="308"/>
      <c r="AH73" s="308"/>
      <c r="AI73" s="308"/>
      <c r="AJ73" s="308"/>
      <c r="AK73" s="306"/>
      <c r="AL73" s="7"/>
      <c r="AM73" s="7"/>
      <c r="AN73" s="7"/>
      <c r="AO73" s="22"/>
    </row>
    <row r="74" spans="1:41" ht="27" customHeight="1" thickBot="1" x14ac:dyDescent="0.65">
      <c r="A74" s="525" t="s">
        <v>113</v>
      </c>
      <c r="B74" s="434"/>
      <c r="C74" s="434"/>
      <c r="D74" s="434"/>
      <c r="E74" s="434"/>
      <c r="F74" s="434"/>
      <c r="G74" s="434"/>
      <c r="H74" s="435"/>
      <c r="I74" s="519">
        <f>SUMIFS(Input[H&amp;C (OU) E&amp;G], Input[Type],$R$2)+SUMIFS(Input[H&amp;C (OU) Desg], Input[Type],$R$2)+SUMIFS(Input[H&amp;C (OU) Aux], Input[Type],$R$2)+SUMIFS(Input[H&amp;C (OU) R Exp], Input[Type],$R$2)+SUMIFS(Input[H&amp;C (OU) Loan], Input[Type],$R$2)+SUMIFS(Input[H&amp;C (OU) Annuity], Input[Type],$R$2)+SUMIFS(Input[H&amp;C (OU) Unexp], Input[Type],$R$2)+SUMIFS(Input[H&amp;C (OU) R of Ind], Input[Type],$R$2)+SUMIFS(Input[H&amp;C (OU) Inv in P], Input[Type],$R$2)</f>
        <v>0</v>
      </c>
      <c r="J74" s="519"/>
      <c r="K74" s="519"/>
      <c r="L74" s="432">
        <f t="shared" si="13"/>
        <v>0</v>
      </c>
      <c r="M74" s="432"/>
      <c r="N74" s="536"/>
      <c r="O74" s="303"/>
      <c r="P74" s="525" t="s">
        <v>113</v>
      </c>
      <c r="Q74" s="434"/>
      <c r="R74" s="434"/>
      <c r="S74" s="434"/>
      <c r="T74" s="434"/>
      <c r="U74" s="434"/>
      <c r="V74" s="435"/>
      <c r="W74" s="431">
        <f>SUMIFS(Input[SRECNA H&amp;C],Input[Type],$R$2)</f>
        <v>0</v>
      </c>
      <c r="X74" s="431"/>
      <c r="Y74" s="431"/>
      <c r="Z74" s="432">
        <f t="shared" si="14"/>
        <v>0</v>
      </c>
      <c r="AA74" s="432"/>
      <c r="AB74" s="536"/>
      <c r="AC74" s="188"/>
      <c r="AD74" s="7"/>
      <c r="AE74" s="7"/>
      <c r="AF74" s="7"/>
      <c r="AG74" s="7"/>
      <c r="AH74" s="7"/>
      <c r="AI74" s="7"/>
      <c r="AJ74" s="7"/>
      <c r="AK74" s="7"/>
      <c r="AL74" s="7"/>
      <c r="AM74" s="7"/>
      <c r="AN74" s="7"/>
      <c r="AO74" s="22"/>
    </row>
    <row r="75" spans="1:41" ht="27" customHeight="1" thickBot="1" x14ac:dyDescent="0.65">
      <c r="A75" s="525" t="s">
        <v>36</v>
      </c>
      <c r="B75" s="434"/>
      <c r="C75" s="434"/>
      <c r="D75" s="434"/>
      <c r="E75" s="434"/>
      <c r="F75" s="434"/>
      <c r="G75" s="434"/>
      <c r="H75" s="435"/>
      <c r="I75" s="519">
        <f>SUMIFS(Input[Acad Sup E&amp;G], Input[Type],$R$2)+SUMIFS(Input[Acad Sup Desg], Input[Type],$R$2)+SUMIFS(Input[Acad Sup Aux], Input[Type],$R$2)+SUMIFS(Input[Acad Sup R Exp], Input[Type],$R$2)+SUMIFS(Input[Acad Sup Loan], Input[Type],$R$2)+SUMIFS(Input[Acad Sup Annuity], Input[Type],$R$2)+SUMIFS(Input[Acad Sup Unexp], Input[Type],$R$2)+SUMIFS(Input[Acad Sup R of Ind], Input[Type],$R$2)+SUMIFS(Input[Acad Sup Inv in P], Input[Type],$R$2)</f>
        <v>0</v>
      </c>
      <c r="J75" s="519"/>
      <c r="K75" s="519"/>
      <c r="L75" s="432">
        <f t="shared" si="13"/>
        <v>0</v>
      </c>
      <c r="M75" s="432"/>
      <c r="N75" s="536"/>
      <c r="O75" s="303"/>
      <c r="P75" s="525" t="s">
        <v>36</v>
      </c>
      <c r="Q75" s="434"/>
      <c r="R75" s="434"/>
      <c r="S75" s="434"/>
      <c r="T75" s="434"/>
      <c r="U75" s="434"/>
      <c r="V75" s="435"/>
      <c r="W75" s="431">
        <f>SUMIFS(Input[SRECNA Aca Sppt],Input[Type],$R$2)</f>
        <v>0</v>
      </c>
      <c r="X75" s="431"/>
      <c r="Y75" s="431"/>
      <c r="Z75" s="432">
        <f t="shared" si="14"/>
        <v>0</v>
      </c>
      <c r="AA75" s="432"/>
      <c r="AB75" s="536"/>
      <c r="AC75" s="188"/>
      <c r="AD75" s="619" t="s">
        <v>1807</v>
      </c>
      <c r="AE75" s="620"/>
      <c r="AF75" s="620"/>
      <c r="AG75" s="620"/>
      <c r="AH75" s="620"/>
      <c r="AI75" s="620"/>
      <c r="AJ75" s="620"/>
      <c r="AK75" s="621"/>
      <c r="AL75" s="622"/>
      <c r="AM75" s="623"/>
      <c r="AN75" s="7"/>
      <c r="AO75" s="22"/>
    </row>
    <row r="76" spans="1:41" ht="27" customHeight="1" thickBot="1" x14ac:dyDescent="0.65">
      <c r="A76" s="525" t="s">
        <v>37</v>
      </c>
      <c r="B76" s="434"/>
      <c r="C76" s="434"/>
      <c r="D76" s="434"/>
      <c r="E76" s="434"/>
      <c r="F76" s="434"/>
      <c r="G76" s="434"/>
      <c r="H76" s="435"/>
      <c r="I76" s="519">
        <f>SUMIFS(Input[Stu Svc E&amp;G], Input[Type],$R$2)+SUMIFS(Input[Stu Svc Desg], Input[Type],$R$2)+SUMIFS(Input[Stu Svc Aux], Input[Type],$R$2)+SUMIFS(Input[Stu Svc R Exp], Input[Type],$R$2)+SUMIFS(Input[Stu Svc Loan], Input[Type],$R$2)+SUMIFS(Input[Stu Svc Annuity], Input[Type],$R$2)+SUMIFS(Input[Stu Svc Unexp], Input[Type],$R$2)+SUMIFS(Input[Stu Svc R of Ind], Input[Type],$R$2)+SUMIFS(Input[Stu Svc Inv in P], Input[Type],$R$2)</f>
        <v>0</v>
      </c>
      <c r="J76" s="519"/>
      <c r="K76" s="519"/>
      <c r="L76" s="432">
        <f t="shared" si="13"/>
        <v>0</v>
      </c>
      <c r="M76" s="432"/>
      <c r="N76" s="536"/>
      <c r="O76" s="303"/>
      <c r="P76" s="525" t="s">
        <v>37</v>
      </c>
      <c r="Q76" s="434"/>
      <c r="R76" s="434"/>
      <c r="S76" s="434"/>
      <c r="T76" s="434"/>
      <c r="U76" s="434"/>
      <c r="V76" s="435"/>
      <c r="W76" s="431">
        <f>SUMIFS(Input[SRECNA Stu Svcs],Input[Type],$R$2)</f>
        <v>0</v>
      </c>
      <c r="X76" s="431"/>
      <c r="Y76" s="431"/>
      <c r="Z76" s="432">
        <f t="shared" si="14"/>
        <v>0</v>
      </c>
      <c r="AA76" s="432"/>
      <c r="AB76" s="536"/>
      <c r="AC76" s="189"/>
      <c r="AD76" s="614" t="s">
        <v>119</v>
      </c>
      <c r="AE76" s="615"/>
      <c r="AF76" s="615"/>
      <c r="AG76" s="615"/>
      <c r="AH76" s="615"/>
      <c r="AI76" s="615"/>
      <c r="AJ76" s="615"/>
      <c r="AK76" s="616" t="s">
        <v>137</v>
      </c>
      <c r="AL76" s="617"/>
      <c r="AM76" s="618"/>
      <c r="AN76" s="7"/>
      <c r="AO76" s="22"/>
    </row>
    <row r="77" spans="1:41" ht="27" customHeight="1" x14ac:dyDescent="0.6">
      <c r="A77" s="525" t="s">
        <v>38</v>
      </c>
      <c r="B77" s="434"/>
      <c r="C77" s="434"/>
      <c r="D77" s="434"/>
      <c r="E77" s="434"/>
      <c r="F77" s="434"/>
      <c r="G77" s="434"/>
      <c r="H77" s="435"/>
      <c r="I77" s="519">
        <f>SUMIFS(Input[Inst. Spt E&amp;G], Input[Type],$R$2)+SUMIFS(Input[Inst. Spt Desg], Input[Type],$R$2)+SUMIFS(Input[Inst. Spt Aux], Input[Type],$R$2)+SUMIFS(Input[Inst. Spt R Exp], Input[Type],$R$2)+SUMIFS(Input[Inst. Spt Loan], Input[Type],$R$2)+SUMIFS(Input[Inst. Spt Annuity], Input[Type],$R$2)+SUMIFS(Input[Inst. Spt Unexp], Input[Type],$R$2)+SUMIFS(Input[Inst. Spt R of Ind], Input[Type],$R$2)+SUMIFS(Input[Inst. Spt Inv in P], Input[Type],$R$2)</f>
        <v>0</v>
      </c>
      <c r="J77" s="519"/>
      <c r="K77" s="519"/>
      <c r="L77" s="432">
        <f t="shared" si="13"/>
        <v>0</v>
      </c>
      <c r="M77" s="432"/>
      <c r="N77" s="536"/>
      <c r="O77" s="303"/>
      <c r="P77" s="525" t="s">
        <v>38</v>
      </c>
      <c r="Q77" s="434"/>
      <c r="R77" s="434"/>
      <c r="S77" s="434"/>
      <c r="T77" s="434"/>
      <c r="U77" s="434"/>
      <c r="V77" s="435"/>
      <c r="W77" s="431">
        <f>SUMIFS(Input[SRECNA Inst. Sppt],Input[Type],$R$2)</f>
        <v>0</v>
      </c>
      <c r="X77" s="431"/>
      <c r="Y77" s="431"/>
      <c r="Z77" s="432">
        <f t="shared" si="14"/>
        <v>0</v>
      </c>
      <c r="AA77" s="432"/>
      <c r="AB77" s="536"/>
      <c r="AC77" s="188"/>
      <c r="AD77" s="292"/>
      <c r="AE77" s="293" t="str" cm="1">
        <f t="array" ref="AE77">IF(ISBLANK(A1),"",INDEX(P71:P80,MATCH(LARGE(W71:W80,ROW(1:5)),W71:W80,0)))</f>
        <v/>
      </c>
      <c r="AF77" s="293"/>
      <c r="AG77" s="293"/>
      <c r="AH77" s="293"/>
      <c r="AI77" s="293"/>
      <c r="AJ77" s="294"/>
      <c r="AK77" s="426" t="str">
        <f>IFERROR(VLOOKUP(AE77,$P$71:$Y$80,8,FALSE),"")</f>
        <v/>
      </c>
      <c r="AL77" s="426"/>
      <c r="AM77" s="597"/>
      <c r="AN77" s="7"/>
      <c r="AO77" s="22"/>
    </row>
    <row r="78" spans="1:41" ht="27" customHeight="1" x14ac:dyDescent="0.6">
      <c r="A78" s="525" t="s">
        <v>121</v>
      </c>
      <c r="B78" s="434"/>
      <c r="C78" s="434"/>
      <c r="D78" s="434"/>
      <c r="E78" s="434"/>
      <c r="F78" s="434"/>
      <c r="G78" s="434"/>
      <c r="H78" s="435"/>
      <c r="I78" s="519">
        <f>SUMIFS(Input[M&amp;O Plnt E&amp;G], Input[Type],$R$2)+SUMIFS(Input[M&amp;O Plnt Desg], Input[Type],$R$2)+SUMIFS(Input[M&amp;O Plnt Aux], Input[Type],$R$2)+SUMIFS(Input[M&amp;O Plnt R Exp], Input[Type],$R$2)+SUMIFS(Input[M&amp;O Plnt Loan], Input[Type],$R$2)+SUMIFS(Input[M&amp;O Plnt Annuity], Input[Type],$R$2)+SUMIFS(Input[M&amp;O Plnt Unexp], Input[Type],$R$2)+SUMIFS(Input[M&amp;O Plnt R of Ind], Input[Type],$R$2)+SUMIFS(Input[M&amp;O Plnt Inv in P], Input[Type],$R$2)</f>
        <v>0</v>
      </c>
      <c r="J78" s="519"/>
      <c r="K78" s="519"/>
      <c r="L78" s="432">
        <f t="shared" si="13"/>
        <v>0</v>
      </c>
      <c r="M78" s="432"/>
      <c r="N78" s="536"/>
      <c r="O78" s="303"/>
      <c r="P78" s="525" t="s">
        <v>121</v>
      </c>
      <c r="Q78" s="434"/>
      <c r="R78" s="434"/>
      <c r="S78" s="434"/>
      <c r="T78" s="434"/>
      <c r="U78" s="434"/>
      <c r="V78" s="435"/>
      <c r="W78" s="431">
        <f>SUMIFS(Input[SRECNA Op &amp; Maint],Input[Type],$R$2)</f>
        <v>0</v>
      </c>
      <c r="X78" s="431"/>
      <c r="Y78" s="431"/>
      <c r="Z78" s="432">
        <f t="shared" si="14"/>
        <v>0</v>
      </c>
      <c r="AA78" s="432"/>
      <c r="AB78" s="536"/>
      <c r="AC78" s="188"/>
      <c r="AD78" s="280"/>
      <c r="AE78" s="281"/>
      <c r="AF78" s="281"/>
      <c r="AG78" s="281"/>
      <c r="AH78" s="281"/>
      <c r="AI78" s="281"/>
      <c r="AJ78" s="282"/>
      <c r="AK78" s="591" t="str">
        <f t="shared" ref="AK78:AK81" si="15">IFERROR(VLOOKUP(AE78,$P$71:$Y$80,8,FALSE),"")</f>
        <v/>
      </c>
      <c r="AL78" s="592"/>
      <c r="AM78" s="593"/>
      <c r="AN78" s="7"/>
      <c r="AO78" s="22"/>
    </row>
    <row r="79" spans="1:41" ht="27" customHeight="1" x14ac:dyDescent="0.6">
      <c r="A79" s="525" t="s">
        <v>122</v>
      </c>
      <c r="B79" s="434"/>
      <c r="C79" s="434"/>
      <c r="D79" s="434"/>
      <c r="E79" s="434"/>
      <c r="F79" s="434"/>
      <c r="G79" s="434"/>
      <c r="H79" s="435"/>
      <c r="I79" s="519">
        <f>SUMIFS(Input[Schl &amp; Fell E&amp;G], Input[Type],$R$2)+SUMIFS(Input[Schl &amp; Fell Desg], Input[Type],$R$2)+SUMIFS(Input[Schl &amp; Fell Aux], Input[Type],$R$2)+SUMIFS(Input[Schl &amp; Fell R Exp], Input[Type],$R$2)+SUMIFS(Input[Schl &amp; Fell Loan], Input[Type],$R$2)+SUMIFS(Input[Schl &amp; Fell Annuity], Input[Type],$R$2)+SUMIFS(Input[Schl &amp; Fell Unexp], Input[Type],$R$2)+SUMIFS(Input[Schl &amp; Fell R of Ind], Input[Type],$R$2)+SUMIFS(Input[Schl &amp; Fell Inv in P], Input[Type],$R$2)</f>
        <v>0</v>
      </c>
      <c r="J79" s="519"/>
      <c r="K79" s="519"/>
      <c r="L79" s="432">
        <f t="shared" si="13"/>
        <v>0</v>
      </c>
      <c r="M79" s="432"/>
      <c r="N79" s="536"/>
      <c r="O79" s="303"/>
      <c r="P79" s="525" t="s">
        <v>122</v>
      </c>
      <c r="Q79" s="434"/>
      <c r="R79" s="434"/>
      <c r="S79" s="434"/>
      <c r="T79" s="434"/>
      <c r="U79" s="434"/>
      <c r="V79" s="435"/>
      <c r="W79" s="431">
        <f>SUMIFS(Input[SRECNA Schl &amp; Fell],Input[Type],$R$2)</f>
        <v>0</v>
      </c>
      <c r="X79" s="431"/>
      <c r="Y79" s="431"/>
      <c r="Z79" s="432">
        <f t="shared" si="14"/>
        <v>0</v>
      </c>
      <c r="AA79" s="432"/>
      <c r="AB79" s="536"/>
      <c r="AC79" s="188"/>
      <c r="AD79" s="280"/>
      <c r="AE79" s="281"/>
      <c r="AF79" s="281"/>
      <c r="AG79" s="281"/>
      <c r="AH79" s="281"/>
      <c r="AI79" s="281"/>
      <c r="AJ79" s="282"/>
      <c r="AK79" s="591" t="str">
        <f t="shared" si="15"/>
        <v/>
      </c>
      <c r="AL79" s="592"/>
      <c r="AM79" s="593"/>
      <c r="AN79" s="7"/>
      <c r="AO79" s="22"/>
    </row>
    <row r="80" spans="1:41" ht="27" customHeight="1" x14ac:dyDescent="0.6">
      <c r="A80" s="525" t="s">
        <v>152</v>
      </c>
      <c r="B80" s="434"/>
      <c r="C80" s="434"/>
      <c r="D80" s="434"/>
      <c r="E80" s="434"/>
      <c r="F80" s="434"/>
      <c r="G80" s="434"/>
      <c r="H80" s="435"/>
      <c r="I80" s="519">
        <f>SUMIFS(Input[Aux Ent E&amp;G], Input[Type],$R$2)+SUMIFS(Input[Aux Ent Desg], Input[Type],$R$2)+SUMIFS(Input[Aux Ent Aux], Input[Type],$R$2)+SUMIFS(Input[Aux Ent R Exp], Input[Type],$R$2)+SUMIFS(Input[Aux Ent Loan], Input[Type],$R$2)+SUMIFS(Input[Aux Ent Annuity], Input[Type],$R$2)+SUMIFS(Input[Aux Ent Unexp], Input[Type],$R$2)+SUMIFS(Input[Aux Ent R of Ind], Input[Type],$R$2)+SUMIFS(Input[Aux Ent Inv in P], Input[Type],$R$2)</f>
        <v>0</v>
      </c>
      <c r="J80" s="519"/>
      <c r="K80" s="519"/>
      <c r="L80" s="432">
        <f t="shared" si="13"/>
        <v>0</v>
      </c>
      <c r="M80" s="432"/>
      <c r="N80" s="536"/>
      <c r="O80" s="303"/>
      <c r="P80" s="525" t="s">
        <v>152</v>
      </c>
      <c r="Q80" s="434"/>
      <c r="R80" s="434"/>
      <c r="S80" s="434"/>
      <c r="T80" s="434"/>
      <c r="U80" s="434"/>
      <c r="V80" s="435"/>
      <c r="W80" s="431">
        <f>SUMIFS(Input[SRECNA Aux],Input[Type],$R$2)</f>
        <v>0</v>
      </c>
      <c r="X80" s="431"/>
      <c r="Y80" s="431"/>
      <c r="Z80" s="432">
        <f t="shared" si="14"/>
        <v>0</v>
      </c>
      <c r="AA80" s="432"/>
      <c r="AB80" s="536"/>
      <c r="AC80" s="188"/>
      <c r="AD80" s="280"/>
      <c r="AE80" s="281"/>
      <c r="AF80" s="281"/>
      <c r="AG80" s="281"/>
      <c r="AH80" s="281"/>
      <c r="AI80" s="281"/>
      <c r="AJ80" s="282"/>
      <c r="AK80" s="591" t="str">
        <f t="shared" si="15"/>
        <v/>
      </c>
      <c r="AL80" s="592"/>
      <c r="AM80" s="593"/>
      <c r="AN80" s="7"/>
      <c r="AO80" s="22"/>
    </row>
    <row r="81" spans="1:41" ht="27" customHeight="1" thickBot="1" x14ac:dyDescent="0.65">
      <c r="A81" s="525" t="s">
        <v>123</v>
      </c>
      <c r="B81" s="434"/>
      <c r="C81" s="434"/>
      <c r="D81" s="434"/>
      <c r="E81" s="434"/>
      <c r="F81" s="434"/>
      <c r="G81" s="434"/>
      <c r="H81" s="435"/>
      <c r="I81" s="519">
        <f>SUMIFS(Input[Cap Out fund E&amp;G], Input[Type],$R$2)+SUMIFS(Input[Cap Out fund Desg], Input[Type],$R$2)+SUMIFS(Input[Cap Out fund Aux], Input[Type],$R$2)+SUMIFS(Input[Cap Out fund R Exp], Input[Type],$R$2)+SUMIFS(Input[Cap Out fund Loan], Input[Type],$R$2)+SUMIFS(Input[Cap Out fund Annuity], Input[Type],$R$2)+SUMIFS(Input[Cap Out fund Unexp], Input[Type],$R$2)+SUMIFS(Input[Cap Out fund R of Ind], Input[Type],$R$2)+SUMIFS(Input[Cap Out fund Inv in P], Input[Type],$R$2)</f>
        <v>0</v>
      </c>
      <c r="J81" s="519"/>
      <c r="K81" s="519"/>
      <c r="L81" s="432">
        <f t="shared" si="13"/>
        <v>0</v>
      </c>
      <c r="M81" s="432"/>
      <c r="N81" s="536"/>
      <c r="O81" s="303"/>
      <c r="P81" s="531" t="s">
        <v>1641</v>
      </c>
      <c r="Q81" s="532"/>
      <c r="R81" s="532"/>
      <c r="S81" s="532"/>
      <c r="T81" s="532"/>
      <c r="U81" s="532"/>
      <c r="V81" s="533"/>
      <c r="W81" s="540">
        <f>I101*-1</f>
        <v>0</v>
      </c>
      <c r="X81" s="540"/>
      <c r="Y81" s="540"/>
      <c r="Z81" s="534">
        <f>SUM(W81,I101)</f>
        <v>0</v>
      </c>
      <c r="AA81" s="534"/>
      <c r="AB81" s="535"/>
      <c r="AC81" s="188"/>
      <c r="AD81" s="285"/>
      <c r="AE81" s="286"/>
      <c r="AF81" s="286"/>
      <c r="AG81" s="286"/>
      <c r="AH81" s="286"/>
      <c r="AI81" s="286"/>
      <c r="AJ81" s="287"/>
      <c r="AK81" s="594" t="str">
        <f t="shared" si="15"/>
        <v/>
      </c>
      <c r="AL81" s="595"/>
      <c r="AM81" s="596"/>
      <c r="AN81" s="7"/>
      <c r="AO81" s="22"/>
    </row>
    <row r="82" spans="1:41" ht="27" customHeight="1" thickBot="1" x14ac:dyDescent="0.65">
      <c r="A82" s="525" t="s">
        <v>155</v>
      </c>
      <c r="B82" s="434"/>
      <c r="C82" s="434"/>
      <c r="D82" s="434"/>
      <c r="E82" s="434"/>
      <c r="F82" s="434"/>
      <c r="G82" s="434"/>
      <c r="H82" s="435"/>
      <c r="I82" s="520">
        <f>SUMIFS(Input[Oth Exp E&amp;G], Input[Type],$R$2)+SUMIFS(Input[Oth Exp Desg], Input[Type],$R$2)+SUMIFS(Input[Oth Exp Aux], Input[Type],$R$2)+SUMIFS(Input[Oth Exp R Exp], Input[Type],$R$2)+SUMIFS(Input[Oth Exp Loan], Input[Type],$R$2)+SUMIFS(Input[Oth Exp Annuity], Input[Type],$R$2)+SUMIFS(Input[Oth Exp Unexp], Input[Type],$R$2)+SUMIFS(Input[Oth Exp R of Ind], Input[Type],$R$2)+SUMIFS(Input[Oth Exp Inv in P], Input[Type],$R$2)</f>
        <v>0</v>
      </c>
      <c r="J82" s="520"/>
      <c r="K82" s="520"/>
      <c r="L82" s="534">
        <f t="shared" si="13"/>
        <v>0</v>
      </c>
      <c r="M82" s="534"/>
      <c r="N82" s="535"/>
      <c r="O82" s="303"/>
      <c r="P82" s="7"/>
      <c r="Q82" s="7"/>
      <c r="R82" s="7"/>
      <c r="S82" s="7"/>
      <c r="T82" s="7"/>
      <c r="U82" s="7"/>
      <c r="V82" s="7"/>
      <c r="W82" s="310"/>
      <c r="X82" s="310"/>
      <c r="Y82" s="310"/>
      <c r="Z82" s="310"/>
      <c r="AA82" s="310"/>
      <c r="AB82" s="310"/>
      <c r="AC82" s="188"/>
      <c r="AD82" s="7"/>
      <c r="AE82" s="7"/>
      <c r="AF82" s="7"/>
      <c r="AG82" s="7"/>
      <c r="AH82" s="7"/>
      <c r="AI82" s="7"/>
      <c r="AJ82" s="7"/>
      <c r="AK82" s="306" t="str">
        <f>IFERROR(VLOOKUP(AD82,$P$41:$Z$54,2,FALSE),"")</f>
        <v/>
      </c>
      <c r="AL82" s="311"/>
      <c r="AM82" s="8"/>
      <c r="AN82" s="7"/>
      <c r="AO82" s="22"/>
    </row>
    <row r="83" spans="1:41" ht="27" customHeight="1" thickBot="1" x14ac:dyDescent="0.65">
      <c r="A83" s="509" t="s">
        <v>99</v>
      </c>
      <c r="B83" s="510"/>
      <c r="C83" s="510"/>
      <c r="D83" s="510"/>
      <c r="E83" s="510"/>
      <c r="F83" s="510"/>
      <c r="G83" s="510"/>
      <c r="H83" s="510"/>
      <c r="I83" s="516">
        <f>SUM(I71:I82)</f>
        <v>0</v>
      </c>
      <c r="J83" s="516"/>
      <c r="K83" s="516"/>
      <c r="L83" s="516">
        <f t="shared" si="13"/>
        <v>0</v>
      </c>
      <c r="M83" s="516"/>
      <c r="N83" s="517"/>
      <c r="O83" s="303"/>
      <c r="P83" s="7"/>
      <c r="Q83" s="7"/>
      <c r="R83" s="7"/>
      <c r="S83" s="7"/>
      <c r="T83" s="7"/>
      <c r="U83" s="7"/>
      <c r="V83" s="7"/>
      <c r="W83" s="7"/>
      <c r="X83" s="7"/>
      <c r="Y83" s="7"/>
      <c r="Z83" s="7"/>
      <c r="AA83" s="7"/>
      <c r="AB83" s="7"/>
      <c r="AC83" s="312"/>
      <c r="AD83" s="307"/>
      <c r="AE83" s="307"/>
      <c r="AF83" s="307"/>
      <c r="AG83" s="307"/>
      <c r="AH83" s="307"/>
      <c r="AI83" s="307"/>
      <c r="AJ83" s="307"/>
      <c r="AK83" s="307"/>
      <c r="AL83" s="307"/>
      <c r="AM83" s="307"/>
      <c r="AN83" s="7"/>
      <c r="AO83" s="22"/>
    </row>
    <row r="84" spans="1:41" ht="27" customHeight="1" thickBot="1" x14ac:dyDescent="0.65">
      <c r="A84" s="274"/>
      <c r="B84" s="275"/>
      <c r="C84" s="275"/>
      <c r="D84" s="275"/>
      <c r="E84" s="275"/>
      <c r="F84" s="275"/>
      <c r="G84" s="275"/>
      <c r="H84" s="275"/>
      <c r="I84" s="275"/>
      <c r="J84" s="275"/>
      <c r="K84" s="275"/>
      <c r="L84" s="276"/>
      <c r="M84" s="22"/>
      <c r="N84" s="22"/>
      <c r="O84" s="303"/>
      <c r="P84" s="7"/>
      <c r="Q84" s="7"/>
      <c r="R84" s="7"/>
      <c r="S84" s="7"/>
      <c r="T84" s="7"/>
      <c r="U84" s="7"/>
      <c r="V84" s="7"/>
      <c r="W84" s="7"/>
      <c r="X84" s="7"/>
      <c r="Y84" s="7"/>
      <c r="Z84" s="7"/>
      <c r="AA84" s="7"/>
      <c r="AB84" s="7"/>
      <c r="AC84" s="190"/>
      <c r="AD84" s="307"/>
      <c r="AE84" s="307"/>
      <c r="AF84" s="307"/>
      <c r="AG84" s="307"/>
      <c r="AH84" s="307"/>
      <c r="AI84" s="307"/>
      <c r="AJ84" s="307"/>
      <c r="AK84" s="307"/>
      <c r="AL84" s="307"/>
      <c r="AM84" s="307"/>
      <c r="AN84" s="7"/>
      <c r="AO84" s="22"/>
    </row>
    <row r="85" spans="1:41" ht="27" customHeight="1" thickBot="1" x14ac:dyDescent="0.65">
      <c r="A85" s="543" t="s">
        <v>124</v>
      </c>
      <c r="B85" s="544"/>
      <c r="C85" s="544"/>
      <c r="D85" s="544"/>
      <c r="E85" s="544"/>
      <c r="F85" s="544"/>
      <c r="G85" s="544"/>
      <c r="H85" s="544"/>
      <c r="I85" s="545" t="s">
        <v>135</v>
      </c>
      <c r="J85" s="546"/>
      <c r="K85" s="546"/>
      <c r="L85" s="545" t="s">
        <v>136</v>
      </c>
      <c r="M85" s="546"/>
      <c r="N85" s="547"/>
      <c r="O85" s="303"/>
      <c r="P85" s="7"/>
      <c r="Q85" s="7"/>
      <c r="R85" s="7"/>
      <c r="S85" s="7"/>
      <c r="T85" s="7"/>
      <c r="U85" s="7"/>
      <c r="V85" s="7"/>
      <c r="W85" s="7"/>
      <c r="X85" s="7"/>
      <c r="Y85" s="7"/>
      <c r="Z85" s="7"/>
      <c r="AA85" s="7"/>
      <c r="AB85" s="7"/>
      <c r="AC85" s="7"/>
      <c r="AD85" s="307"/>
      <c r="AE85" s="307"/>
      <c r="AF85" s="307"/>
      <c r="AG85" s="307"/>
      <c r="AH85" s="307"/>
      <c r="AI85" s="307"/>
      <c r="AJ85" s="307"/>
      <c r="AK85" s="307"/>
      <c r="AL85" s="307"/>
      <c r="AM85" s="307"/>
      <c r="AN85" s="7"/>
      <c r="AO85" s="22"/>
    </row>
    <row r="86" spans="1:41" ht="27" customHeight="1" x14ac:dyDescent="0.6">
      <c r="A86" s="522" t="s">
        <v>125</v>
      </c>
      <c r="B86" s="523"/>
      <c r="C86" s="523"/>
      <c r="D86" s="523"/>
      <c r="E86" s="523"/>
      <c r="F86" s="523"/>
      <c r="G86" s="523"/>
      <c r="H86" s="524"/>
      <c r="I86" s="518">
        <f>SUMIFS(Input[Cap Out n-Fund E&amp;G], Input[Type],$R$2)+SUMIFS(Input[Cap Out n-Fund Desg], Input[Type],$R$2)+SUMIFS(Input[Cap Out n-Fund Aux], Input[Type],$R$2)+SUMIFS(Input[Cap Out n-Fund R Exp], Input[Type],$R$2)+SUMIFS(Input[Cap Out n-Fund Loan], Input[Type],$R$2)+SUMIFS(Input[Cap Out n-Fund Annuity], Input[Type],$R$2)+SUMIFS(Input[Cap Out n-Fund Unexp], Input[Type],$R$2)+SUMIFS(Input[Cap Out n-Fund R of Ind], Input[Type],$R$2)+SUMIFS(Input[Cap Out n-Fund Inv in P], Input[Type],$R$2)</f>
        <v>0</v>
      </c>
      <c r="J86" s="518"/>
      <c r="K86" s="518"/>
      <c r="L86" s="529">
        <f>IFERROR(I86/$R$1,0)</f>
        <v>0</v>
      </c>
      <c r="M86" s="529"/>
      <c r="N86" s="530"/>
      <c r="O86" s="303"/>
      <c r="P86" s="7"/>
      <c r="Q86" s="7"/>
      <c r="R86" s="7"/>
      <c r="S86" s="7"/>
      <c r="T86" s="7"/>
      <c r="U86" s="7"/>
      <c r="V86" s="7"/>
      <c r="W86" s="7"/>
      <c r="X86" s="7"/>
      <c r="Y86" s="7"/>
      <c r="Z86" s="7"/>
      <c r="AA86" s="7"/>
      <c r="AB86" s="7"/>
      <c r="AC86" s="7"/>
      <c r="AD86" s="307"/>
      <c r="AE86" s="307"/>
      <c r="AF86" s="307"/>
      <c r="AG86" s="307"/>
      <c r="AH86" s="307"/>
      <c r="AI86" s="307"/>
      <c r="AJ86" s="307"/>
      <c r="AK86" s="307"/>
      <c r="AL86" s="307"/>
      <c r="AM86" s="307"/>
      <c r="AN86" s="7"/>
      <c r="AO86" s="22"/>
    </row>
    <row r="87" spans="1:41" ht="27" customHeight="1" x14ac:dyDescent="0.6">
      <c r="A87" s="525" t="s">
        <v>156</v>
      </c>
      <c r="B87" s="434"/>
      <c r="C87" s="434"/>
      <c r="D87" s="434"/>
      <c r="E87" s="434"/>
      <c r="F87" s="434"/>
      <c r="G87" s="434"/>
      <c r="H87" s="435"/>
      <c r="I87" s="519">
        <f>SUMIFS(Input[M&amp;Nm Xfrs E&amp;G], Input[Type],$R$2)+SUMIFS(Input[M&amp;Nm Xfrs Desg], Input[Type],$R$2)+SUMIFS(Input[M&amp;Nm Xfrs Aux], Input[Type],$R$2)+SUMIFS(Input[M&amp;Nm Xfrs R Exp], Input[Type],$R$2)+SUMIFS(Input[M&amp;Nm Xfrs Loan], Input[Type],$R$2)+SUMIFS(Input[M&amp;Nm Xfrs Annuity], Input[Type],$R$2)+SUMIFS(Input[M&amp;Nm Xfrs Unexp], Input[Type],$R$2)+SUMIFS(Input[M&amp;Nm Xfrs R of Ind], Input[Type],$R$2)+SUMIFS(Input[M&amp;Nm Xfrs Inv in P], Input[Type],$R$2)</f>
        <v>0</v>
      </c>
      <c r="J87" s="519"/>
      <c r="K87" s="519"/>
      <c r="L87" s="432">
        <f>IFERROR(I87/$R$1,0)</f>
        <v>0</v>
      </c>
      <c r="M87" s="432"/>
      <c r="N87" s="536"/>
      <c r="O87" s="303"/>
      <c r="P87" s="7"/>
      <c r="Q87" s="7"/>
      <c r="R87" s="7"/>
      <c r="S87" s="7"/>
      <c r="T87" s="7"/>
      <c r="U87" s="7"/>
      <c r="V87" s="7"/>
      <c r="W87" s="7"/>
      <c r="X87" s="7"/>
      <c r="Y87" s="7"/>
      <c r="Z87" s="7"/>
      <c r="AA87" s="7"/>
      <c r="AB87" s="7"/>
      <c r="AC87" s="7"/>
      <c r="AD87" s="307"/>
      <c r="AE87" s="307"/>
      <c r="AF87" s="307"/>
      <c r="AG87" s="307"/>
      <c r="AH87" s="307"/>
      <c r="AI87" s="307"/>
      <c r="AJ87" s="307"/>
      <c r="AK87" s="307"/>
      <c r="AL87" s="307"/>
      <c r="AM87" s="307"/>
      <c r="AN87" s="7"/>
      <c r="AO87" s="22"/>
    </row>
    <row r="88" spans="1:41" ht="27" customHeight="1" x14ac:dyDescent="0.6">
      <c r="A88" s="525" t="s">
        <v>157</v>
      </c>
      <c r="B88" s="434"/>
      <c r="C88" s="434"/>
      <c r="D88" s="434"/>
      <c r="E88" s="434"/>
      <c r="F88" s="434"/>
      <c r="G88" s="434"/>
      <c r="H88" s="435"/>
      <c r="I88" s="519">
        <f>SUMIFS(Input[Bond Xfrs In E&amp;G], Input[Type],$R$2)+SUMIFS(Input[Bond Xfrs In Desg], Input[Type],$R$2)+SUMIFS(Input[Bond Xfrs In Aux], Input[Type],$R$2)+SUMIFS(Input[Bond Xfrs In R Exp], Input[Type],$R$2)+SUMIFS(Input[Bond Xfrs In Loan], Input[Type],$R$2)+SUMIFS(Input[Bond Xfrs In Annuity], Input[Type],$R$2)+SUMIFS(Input[Bond Xfrs In Unexp], Input[Type],$R$2)+SUMIFS(Input[Bond Xfrs In R of Ind], Input[Type],$R$2)+SUMIFS(Input[Bond Xfrs In Inv in P], Input[Type],$R$2)</f>
        <v>0</v>
      </c>
      <c r="J88" s="519"/>
      <c r="K88" s="519"/>
      <c r="L88" s="432">
        <f>IFERROR(I88/$R$1,0)</f>
        <v>0</v>
      </c>
      <c r="M88" s="432"/>
      <c r="N88" s="536"/>
      <c r="O88" s="303"/>
      <c r="P88" s="7"/>
      <c r="Q88" s="7"/>
      <c r="R88" s="7"/>
      <c r="S88" s="7"/>
      <c r="T88" s="7"/>
      <c r="U88" s="7"/>
      <c r="V88" s="7"/>
      <c r="W88" s="7"/>
      <c r="X88" s="7"/>
      <c r="Y88" s="7"/>
      <c r="Z88" s="7"/>
      <c r="AA88" s="7"/>
      <c r="AB88" s="7"/>
      <c r="AC88" s="7"/>
      <c r="AD88" s="307"/>
      <c r="AE88" s="307"/>
      <c r="AF88" s="307"/>
      <c r="AG88" s="307"/>
      <c r="AH88" s="307"/>
      <c r="AI88" s="307"/>
      <c r="AJ88" s="307"/>
      <c r="AK88" s="307"/>
      <c r="AL88" s="307"/>
      <c r="AM88" s="307"/>
      <c r="AN88" s="7"/>
      <c r="AO88" s="22"/>
    </row>
    <row r="89" spans="1:41" ht="27" customHeight="1" thickBot="1" x14ac:dyDescent="0.65">
      <c r="A89" s="525" t="s">
        <v>158</v>
      </c>
      <c r="B89" s="434"/>
      <c r="C89" s="434"/>
      <c r="D89" s="434"/>
      <c r="E89" s="434"/>
      <c r="F89" s="434"/>
      <c r="G89" s="434"/>
      <c r="H89" s="435"/>
      <c r="I89" s="520">
        <f>SUMIFS(Input[Debt Srv Pay E&amp;G], Input[Type],$R$2)+SUMIFS(Input[Debt Srv Pay Desg], Input[Type],$R$2)+SUMIFS(Input[Debt Srv Pay Aux], Input[Type],$R$2)+SUMIFS(Input[Debt Srv Pay R Exp], Input[Type],$R$2)+SUMIFS(Input[Debt Srv Pay Loan], Input[Type],$R$2)+SUMIFS(Input[Debt Srv Pay Annuity], Input[Type],$R$2)+SUMIFS(Input[Debt Srv Pay Unexp], Input[Type],$R$2)+SUMIFS(Input[Debt Srv Pay R of Ind], Input[Type],$R$2)+SUMIFS(Input[Debt Srv Pay Inv in P], Input[Type],$R$2)</f>
        <v>0</v>
      </c>
      <c r="J89" s="520"/>
      <c r="K89" s="520"/>
      <c r="L89" s="534">
        <f>IFERROR(I89/$R$1,0)</f>
        <v>0</v>
      </c>
      <c r="M89" s="534"/>
      <c r="N89" s="535"/>
      <c r="O89" s="303"/>
      <c r="P89" s="7"/>
      <c r="Q89" s="7"/>
      <c r="R89" s="7"/>
      <c r="S89" s="7"/>
      <c r="T89" s="7"/>
      <c r="U89" s="7"/>
      <c r="V89" s="7"/>
      <c r="W89" s="7"/>
      <c r="X89" s="7"/>
      <c r="Y89" s="7"/>
      <c r="Z89" s="7"/>
      <c r="AA89" s="7"/>
      <c r="AB89" s="7"/>
      <c r="AC89" s="7"/>
      <c r="AD89" s="307"/>
      <c r="AE89" s="307"/>
      <c r="AF89" s="307"/>
      <c r="AG89" s="307"/>
      <c r="AH89" s="307"/>
      <c r="AI89" s="307"/>
      <c r="AJ89" s="307"/>
      <c r="AK89" s="307"/>
      <c r="AL89" s="307"/>
      <c r="AM89" s="307"/>
      <c r="AN89" s="7"/>
      <c r="AO89" s="22"/>
    </row>
    <row r="90" spans="1:41" ht="27" customHeight="1" thickBot="1" x14ac:dyDescent="0.65">
      <c r="A90" s="509" t="s">
        <v>99</v>
      </c>
      <c r="B90" s="510"/>
      <c r="C90" s="510"/>
      <c r="D90" s="510"/>
      <c r="E90" s="510"/>
      <c r="F90" s="510"/>
      <c r="G90" s="510"/>
      <c r="H90" s="510"/>
      <c r="I90" s="516">
        <f>SUM(I86:I89)</f>
        <v>0</v>
      </c>
      <c r="J90" s="516"/>
      <c r="K90" s="516"/>
      <c r="L90" s="516">
        <f>IFERROR(I90/$R$1,0)</f>
        <v>0</v>
      </c>
      <c r="M90" s="516"/>
      <c r="N90" s="517"/>
      <c r="O90" s="303"/>
      <c r="P90" s="7"/>
      <c r="Q90" s="7"/>
      <c r="R90" s="7"/>
      <c r="S90" s="7"/>
      <c r="T90" s="7"/>
      <c r="U90" s="7"/>
      <c r="V90" s="7"/>
      <c r="W90" s="7"/>
      <c r="X90" s="7"/>
      <c r="Y90" s="7"/>
      <c r="Z90" s="7"/>
      <c r="AA90" s="7"/>
      <c r="AB90" s="7"/>
      <c r="AC90" s="7"/>
      <c r="AD90" s="307"/>
      <c r="AE90" s="307"/>
      <c r="AF90" s="307"/>
      <c r="AG90" s="307"/>
      <c r="AH90" s="307"/>
      <c r="AI90" s="307"/>
      <c r="AJ90" s="307"/>
      <c r="AK90" s="307"/>
      <c r="AL90" s="307"/>
      <c r="AM90" s="307"/>
      <c r="AN90" s="7"/>
      <c r="AO90" s="22"/>
    </row>
    <row r="91" spans="1:41" ht="27" customHeight="1" thickBot="1" x14ac:dyDescent="0.8">
      <c r="A91" s="253"/>
      <c r="B91" s="253"/>
      <c r="C91" s="253"/>
      <c r="D91" s="253"/>
      <c r="E91" s="253"/>
      <c r="F91" s="253"/>
      <c r="G91" s="253"/>
      <c r="H91" s="253"/>
      <c r="I91" s="9"/>
      <c r="J91" s="9"/>
      <c r="K91" s="9"/>
      <c r="L91" s="9"/>
      <c r="M91" s="9"/>
      <c r="N91" s="9"/>
      <c r="O91" s="303"/>
      <c r="P91" s="7"/>
      <c r="Q91" s="7"/>
      <c r="R91" s="7"/>
      <c r="S91" s="7"/>
      <c r="T91" s="7"/>
      <c r="U91" s="7"/>
      <c r="V91" s="7"/>
      <c r="W91" s="7"/>
      <c r="X91" s="7"/>
      <c r="Y91" s="7"/>
      <c r="Z91" s="7"/>
      <c r="AA91" s="7"/>
      <c r="AB91" s="7"/>
      <c r="AC91" s="7"/>
      <c r="AD91" s="7"/>
      <c r="AE91" s="7"/>
      <c r="AF91" s="7"/>
      <c r="AG91" s="7"/>
      <c r="AH91" s="7"/>
      <c r="AI91" s="7"/>
      <c r="AJ91" s="7"/>
      <c r="AK91" s="7"/>
      <c r="AL91" s="7"/>
      <c r="AM91" s="7"/>
      <c r="AN91" s="7"/>
      <c r="AO91" s="22"/>
    </row>
    <row r="92" spans="1:41" ht="27" customHeight="1" thickBot="1" x14ac:dyDescent="0.65">
      <c r="A92" s="543" t="s">
        <v>126</v>
      </c>
      <c r="B92" s="544"/>
      <c r="C92" s="544"/>
      <c r="D92" s="544"/>
      <c r="E92" s="544"/>
      <c r="F92" s="544"/>
      <c r="G92" s="544"/>
      <c r="H92" s="544"/>
      <c r="I92" s="545" t="s">
        <v>135</v>
      </c>
      <c r="J92" s="546"/>
      <c r="K92" s="546"/>
      <c r="L92" s="545" t="s">
        <v>136</v>
      </c>
      <c r="M92" s="546"/>
      <c r="N92" s="547"/>
      <c r="O92" s="303"/>
      <c r="P92" s="7"/>
      <c r="Q92" s="7"/>
      <c r="R92" s="7"/>
      <c r="S92" s="7"/>
      <c r="T92" s="7"/>
      <c r="U92" s="7"/>
      <c r="V92" s="7"/>
      <c r="W92" s="7"/>
      <c r="X92" s="7"/>
      <c r="Y92" s="7"/>
      <c r="Z92" s="7"/>
      <c r="AA92" s="7"/>
      <c r="AB92" s="7"/>
      <c r="AC92" s="7"/>
      <c r="AD92" s="7"/>
      <c r="AE92" s="7"/>
      <c r="AF92" s="7"/>
      <c r="AG92" s="7"/>
      <c r="AH92" s="7"/>
      <c r="AI92" s="7"/>
      <c r="AJ92" s="7"/>
      <c r="AK92" s="7"/>
      <c r="AL92" s="7"/>
      <c r="AM92" s="7"/>
      <c r="AN92" s="7"/>
      <c r="AO92" s="22"/>
    </row>
    <row r="93" spans="1:41" ht="27" customHeight="1" x14ac:dyDescent="0.6">
      <c r="A93" s="522" t="s">
        <v>159</v>
      </c>
      <c r="B93" s="523"/>
      <c r="C93" s="523"/>
      <c r="D93" s="523"/>
      <c r="E93" s="523"/>
      <c r="F93" s="523"/>
      <c r="G93" s="523"/>
      <c r="H93" s="524"/>
      <c r="I93" s="518">
        <f>SUMIFS(Input[Unreal G/L E&amp;G], Input[Type],$R$2)+SUMIFS(Input[Unreal G/L Desg], Input[Type],$R$2)+SUMIFS(Input[Unreal G/L Aux], Input[Type],$R$2)+SUMIFS(Input[Unreal G/L R Exp], Input[Type],$R$2)+SUMIFS(Input[Unreal G/L Loan], Input[Type],$R$2)+SUMIFS(Input[Unreal G/L Annuity], Input[Type],$R$2)+SUMIFS(Input[Unreal G/L Unexp], Input[Type],$R$2)+SUMIFS(Input[Unreal G/L R of Ind], Input[Type],$R$2)+SUMIFS(Input[Unreal G/L Inv in P], Input[Type],$R$2)</f>
        <v>0</v>
      </c>
      <c r="J93" s="518"/>
      <c r="K93" s="518"/>
      <c r="L93" s="529">
        <f>IFERROR(I93/$R$1,0)</f>
        <v>0</v>
      </c>
      <c r="M93" s="529"/>
      <c r="N93" s="530"/>
      <c r="O93" s="303"/>
      <c r="P93" s="7"/>
      <c r="Q93" s="7"/>
      <c r="R93" s="7"/>
      <c r="S93" s="7"/>
      <c r="T93" s="7"/>
      <c r="U93" s="7"/>
      <c r="V93" s="7"/>
      <c r="W93" s="7"/>
      <c r="X93" s="7"/>
      <c r="Y93" s="7"/>
      <c r="Z93" s="7"/>
      <c r="AA93" s="7"/>
      <c r="AB93" s="7"/>
      <c r="AC93" s="7"/>
      <c r="AD93" s="7"/>
      <c r="AE93" s="7"/>
      <c r="AF93" s="7"/>
      <c r="AG93" s="7"/>
      <c r="AH93" s="7"/>
      <c r="AI93" s="7"/>
      <c r="AJ93" s="7"/>
      <c r="AK93" s="7"/>
      <c r="AL93" s="7"/>
      <c r="AM93" s="7"/>
      <c r="AN93" s="7"/>
      <c r="AO93" s="22"/>
    </row>
    <row r="94" spans="1:41" ht="27" customHeight="1" thickBot="1" x14ac:dyDescent="0.65">
      <c r="A94" s="525" t="s">
        <v>160</v>
      </c>
      <c r="B94" s="434"/>
      <c r="C94" s="434"/>
      <c r="D94" s="434"/>
      <c r="E94" s="434"/>
      <c r="F94" s="434"/>
      <c r="G94" s="434"/>
      <c r="H94" s="435"/>
      <c r="I94" s="520">
        <f>SUMIFS(Input[Add End E&amp;G], Input[Type],$R$2)+SUMIFS(Input[Add End Desg], Input[Type],$R$2)+SUMIFS(Input[Add End Aux], Input[Type],$R$2)+SUMIFS(Input[Add End R Exp], Input[Type],$R$2)+SUMIFS(Input[Add End Loan], Input[Type],$R$2)+SUMIFS(Input[Add End Annuity], Input[Type],$R$2)+SUMIFS(Input[Add End Unexp], Input[Type],$R$2)+SUMIFS(Input[Add End R of Ind], Input[Type],$R$2)+SUMIFS(Input[Add End Inv in P], Input[Type],$R$2)</f>
        <v>0</v>
      </c>
      <c r="J94" s="520"/>
      <c r="K94" s="520"/>
      <c r="L94" s="534">
        <f>IFERROR(I94/$R$1,0)</f>
        <v>0</v>
      </c>
      <c r="M94" s="534"/>
      <c r="N94" s="535"/>
      <c r="O94" s="303"/>
      <c r="P94" s="7"/>
      <c r="Q94" s="7"/>
      <c r="R94" s="7"/>
      <c r="S94" s="7"/>
      <c r="T94" s="7"/>
      <c r="U94" s="7"/>
      <c r="V94" s="7"/>
      <c r="W94" s="7"/>
      <c r="X94" s="7"/>
      <c r="Y94" s="7"/>
      <c r="Z94" s="7"/>
      <c r="AA94" s="7"/>
      <c r="AB94" s="7"/>
      <c r="AC94" s="7"/>
      <c r="AD94" s="7"/>
      <c r="AE94" s="7"/>
      <c r="AF94" s="7"/>
      <c r="AG94" s="7"/>
      <c r="AH94" s="7"/>
      <c r="AI94" s="7"/>
      <c r="AJ94" s="7"/>
      <c r="AK94" s="7"/>
      <c r="AL94" s="7"/>
      <c r="AM94" s="7"/>
      <c r="AN94" s="7"/>
      <c r="AO94" s="22"/>
    </row>
    <row r="95" spans="1:41" ht="27" customHeight="1" thickBot="1" x14ac:dyDescent="0.65">
      <c r="A95" s="509" t="s">
        <v>99</v>
      </c>
      <c r="B95" s="510"/>
      <c r="C95" s="510"/>
      <c r="D95" s="510"/>
      <c r="E95" s="510"/>
      <c r="F95" s="510"/>
      <c r="G95" s="510"/>
      <c r="H95" s="510"/>
      <c r="I95" s="516">
        <f>SUM(I93:I94)</f>
        <v>0</v>
      </c>
      <c r="J95" s="516"/>
      <c r="K95" s="516"/>
      <c r="L95" s="516">
        <f>IFERROR(I95/$R$1,0)</f>
        <v>0</v>
      </c>
      <c r="M95" s="516"/>
      <c r="N95" s="517"/>
      <c r="O95" s="303"/>
      <c r="P95" s="7"/>
      <c r="Q95" s="7"/>
      <c r="R95" s="7"/>
      <c r="S95" s="7"/>
      <c r="T95" s="7"/>
      <c r="U95" s="7"/>
      <c r="V95" s="7"/>
      <c r="W95" s="7"/>
      <c r="X95" s="7"/>
      <c r="Y95" s="7"/>
      <c r="Z95" s="7"/>
      <c r="AA95" s="7"/>
      <c r="AB95" s="7"/>
      <c r="AC95" s="7"/>
      <c r="AD95" s="7"/>
      <c r="AE95" s="7"/>
      <c r="AF95" s="7"/>
      <c r="AG95" s="7"/>
      <c r="AH95" s="7"/>
      <c r="AI95" s="7"/>
      <c r="AJ95" s="7"/>
      <c r="AK95" s="7"/>
      <c r="AL95" s="7"/>
      <c r="AM95" s="7"/>
      <c r="AN95" s="7"/>
      <c r="AO95" s="22"/>
    </row>
    <row r="96" spans="1:41" ht="27" customHeight="1" thickBot="1" x14ac:dyDescent="0.65">
      <c r="A96" s="274"/>
      <c r="B96" s="275"/>
      <c r="C96" s="275"/>
      <c r="D96" s="275"/>
      <c r="E96" s="275"/>
      <c r="F96" s="275"/>
      <c r="G96" s="275"/>
      <c r="H96" s="275"/>
      <c r="I96" s="275"/>
      <c r="J96" s="275"/>
      <c r="K96" s="275"/>
      <c r="L96" s="276"/>
      <c r="M96" s="22"/>
      <c r="N96" s="22"/>
      <c r="O96" s="303"/>
      <c r="P96" s="7"/>
      <c r="Q96" s="7"/>
      <c r="R96" s="7"/>
      <c r="S96" s="7"/>
      <c r="T96" s="7"/>
      <c r="U96" s="7"/>
      <c r="V96" s="7"/>
      <c r="W96" s="7"/>
      <c r="X96" s="7"/>
      <c r="Y96" s="7"/>
      <c r="Z96" s="7"/>
      <c r="AA96" s="7"/>
      <c r="AB96" s="7"/>
      <c r="AC96" s="7"/>
      <c r="AD96" s="7"/>
      <c r="AE96" s="7"/>
      <c r="AF96" s="7"/>
      <c r="AG96" s="7"/>
      <c r="AH96" s="7"/>
      <c r="AI96" s="7"/>
      <c r="AJ96" s="7"/>
      <c r="AK96" s="7"/>
      <c r="AL96" s="7"/>
      <c r="AM96" s="7"/>
      <c r="AN96" s="7"/>
      <c r="AO96" s="22"/>
    </row>
    <row r="97" spans="1:41" ht="27" customHeight="1" thickBot="1" x14ac:dyDescent="0.65">
      <c r="A97" s="509" t="s">
        <v>1630</v>
      </c>
      <c r="B97" s="510"/>
      <c r="C97" s="510"/>
      <c r="D97" s="510"/>
      <c r="E97" s="510"/>
      <c r="F97" s="510"/>
      <c r="G97" s="510"/>
      <c r="H97" s="510"/>
      <c r="I97" s="516">
        <f>I67-I83+I90+I95</f>
        <v>0</v>
      </c>
      <c r="J97" s="516"/>
      <c r="K97" s="516"/>
      <c r="L97" s="516">
        <f>L67-L83+L90+L95</f>
        <v>0</v>
      </c>
      <c r="M97" s="516"/>
      <c r="N97" s="517"/>
      <c r="O97" s="303"/>
      <c r="P97" s="311"/>
      <c r="Q97" s="311"/>
      <c r="R97" s="311"/>
      <c r="S97" s="311"/>
      <c r="T97" s="311"/>
      <c r="U97" s="311"/>
      <c r="V97" s="311"/>
      <c r="W97" s="311"/>
      <c r="X97" s="311"/>
      <c r="Y97" s="311"/>
      <c r="Z97" s="311"/>
      <c r="AA97" s="311"/>
      <c r="AB97" s="311"/>
      <c r="AC97" s="311"/>
      <c r="AD97" s="7"/>
      <c r="AE97" s="7"/>
      <c r="AF97" s="7"/>
      <c r="AG97" s="7"/>
      <c r="AH97" s="7"/>
      <c r="AI97" s="7"/>
      <c r="AJ97" s="7"/>
      <c r="AK97" s="7"/>
      <c r="AL97" s="7"/>
      <c r="AM97" s="7"/>
      <c r="AN97" s="7"/>
      <c r="AO97" s="22"/>
    </row>
    <row r="98" spans="1:41" ht="27" customHeight="1" thickBot="1" x14ac:dyDescent="0.65">
      <c r="A98" s="274"/>
      <c r="B98" s="275"/>
      <c r="C98" s="275"/>
      <c r="D98" s="275"/>
      <c r="E98" s="275"/>
      <c r="F98" s="275"/>
      <c r="G98" s="275"/>
      <c r="H98" s="275"/>
      <c r="I98" s="275"/>
      <c r="J98" s="275"/>
      <c r="K98" s="275"/>
      <c r="L98" s="276"/>
      <c r="M98" s="22"/>
      <c r="N98" s="22"/>
      <c r="O98" s="303"/>
      <c r="P98" s="311"/>
      <c r="Q98" s="311"/>
      <c r="R98" s="311"/>
      <c r="S98" s="311"/>
      <c r="T98" s="311"/>
      <c r="U98" s="311"/>
      <c r="V98" s="311"/>
      <c r="W98" s="311"/>
      <c r="X98" s="311"/>
      <c r="Y98" s="311"/>
      <c r="Z98" s="311"/>
      <c r="AA98" s="311"/>
      <c r="AB98" s="311"/>
      <c r="AC98" s="311"/>
      <c r="AD98" s="7"/>
      <c r="AE98" s="7"/>
      <c r="AF98" s="7"/>
      <c r="AG98" s="7"/>
      <c r="AH98" s="7"/>
      <c r="AI98" s="7"/>
      <c r="AJ98" s="7"/>
      <c r="AK98" s="7"/>
      <c r="AL98" s="7"/>
      <c r="AM98" s="7"/>
      <c r="AN98" s="7"/>
      <c r="AO98" s="22"/>
    </row>
    <row r="99" spans="1:41" ht="27" customHeight="1" thickBot="1" x14ac:dyDescent="0.65">
      <c r="A99" s="543"/>
      <c r="B99" s="544"/>
      <c r="C99" s="544"/>
      <c r="D99" s="544"/>
      <c r="E99" s="544"/>
      <c r="F99" s="544"/>
      <c r="G99" s="544"/>
      <c r="H99" s="544"/>
      <c r="I99" s="545" t="s">
        <v>135</v>
      </c>
      <c r="J99" s="546"/>
      <c r="K99" s="546"/>
      <c r="L99" s="545" t="s">
        <v>136</v>
      </c>
      <c r="M99" s="546"/>
      <c r="N99" s="547"/>
      <c r="O99" s="303"/>
      <c r="P99" s="206"/>
      <c r="Q99" s="206"/>
      <c r="R99" s="206"/>
      <c r="S99" s="206"/>
      <c r="T99" s="206"/>
      <c r="U99" s="206"/>
      <c r="V99" s="206"/>
      <c r="W99" s="206"/>
      <c r="X99" s="206"/>
      <c r="Y99" s="206"/>
      <c r="Z99" s="206"/>
      <c r="AA99" s="206"/>
      <c r="AB99" s="206"/>
      <c r="AC99" s="206"/>
      <c r="AD99" s="7"/>
      <c r="AE99" s="7"/>
      <c r="AF99" s="7"/>
      <c r="AG99" s="7"/>
      <c r="AH99" s="7"/>
      <c r="AI99" s="7"/>
      <c r="AJ99" s="7"/>
      <c r="AK99" s="7"/>
      <c r="AL99" s="7"/>
      <c r="AM99" s="7"/>
      <c r="AN99" s="7"/>
      <c r="AO99" s="22"/>
    </row>
    <row r="100" spans="1:41" ht="27" customHeight="1" x14ac:dyDescent="0.6">
      <c r="A100" s="522" t="s">
        <v>127</v>
      </c>
      <c r="B100" s="523"/>
      <c r="C100" s="523"/>
      <c r="D100" s="523"/>
      <c r="E100" s="523"/>
      <c r="F100" s="523"/>
      <c r="G100" s="523"/>
      <c r="H100" s="524"/>
      <c r="I100" s="518">
        <f>SUMIFS(Input[Bond Proceeds E&amp;G], Input[Type],$R$2)+SUMIFS(Input[Bond Proceeds Desg], Input[Type],$R$2)+SUMIFS(Input[Bond Proceeds Aux], Input[Type],$R$2)+SUMIFS(Input[Bond Proceeds R Exp], Input[Type],$R$2)+SUMIFS(Input[Bond Proceeds Loan], Input[Type],$R$2)+SUMIFS(Input[Bond Proceeds Annuity], Input[Type],$R$2)+SUMIFS(Input[Bond Proceeds Unexp], Input[Type],$R$2)+SUMIFS(Input[Bond Proceeds R of Ind], Input[Type],$R$2)+SUMIFS(Input[Bond Proceeds Inv in P], Input[Type],$R$2)</f>
        <v>0</v>
      </c>
      <c r="J100" s="518"/>
      <c r="K100" s="518"/>
      <c r="L100" s="529">
        <f t="shared" ref="L100:L106" si="16">IFERROR(I100/$R$1,0)</f>
        <v>0</v>
      </c>
      <c r="M100" s="529"/>
      <c r="N100" s="530"/>
      <c r="O100" s="303"/>
      <c r="P100" s="206"/>
      <c r="Q100" s="206"/>
      <c r="R100" s="206"/>
      <c r="S100" s="206"/>
      <c r="T100" s="206"/>
      <c r="U100" s="206"/>
      <c r="V100" s="206"/>
      <c r="W100" s="206"/>
      <c r="X100" s="206"/>
      <c r="Y100" s="206"/>
      <c r="Z100" s="206"/>
      <c r="AA100" s="206"/>
      <c r="AB100" s="206"/>
      <c r="AC100" s="206"/>
      <c r="AD100" s="7"/>
      <c r="AE100" s="7"/>
      <c r="AF100" s="7"/>
      <c r="AG100" s="7"/>
      <c r="AH100" s="7"/>
      <c r="AI100" s="7"/>
      <c r="AJ100" s="7"/>
      <c r="AK100" s="7"/>
      <c r="AL100" s="7"/>
      <c r="AM100" s="7"/>
      <c r="AN100" s="7"/>
      <c r="AO100" s="22"/>
    </row>
    <row r="101" spans="1:41" ht="27" customHeight="1" x14ac:dyDescent="0.6">
      <c r="A101" s="525" t="s">
        <v>128</v>
      </c>
      <c r="B101" s="434"/>
      <c r="C101" s="434"/>
      <c r="D101" s="434"/>
      <c r="E101" s="434"/>
      <c r="F101" s="434"/>
      <c r="G101" s="434"/>
      <c r="H101" s="435"/>
      <c r="I101" s="519">
        <f>SUMIFS(Input[Dep Exp E&amp;G], Input[Type],$R$2)+SUMIFS(Input[Dep Exp Desg], Input[Type],$R$2)+SUMIFS(Input[Dep Exp Aux], Input[Type],$R$2)+SUMIFS(Input[Dep Exp R Exp], Input[Type],$R$2)+SUMIFS(Input[Dep Exp Loan], Input[Type],$R$2)+SUMIFS(Input[Dep Exp Annuity], Input[Type],$R$2)+SUMIFS(Input[Dep Exp Unexp], Input[Type],$R$2)+SUMIFS(Input[Dep Exp R of Ind], Input[Type],$R$2)+SUMIFS(Input[Dep Exp Inv in P], Input[Type],$R$2)</f>
        <v>0</v>
      </c>
      <c r="J101" s="519"/>
      <c r="K101" s="519"/>
      <c r="L101" s="432">
        <f t="shared" si="16"/>
        <v>0</v>
      </c>
      <c r="M101" s="432"/>
      <c r="N101" s="536"/>
      <c r="O101" s="303"/>
      <c r="P101" s="206"/>
      <c r="Q101" s="206"/>
      <c r="R101" s="206"/>
      <c r="S101" s="206"/>
      <c r="T101" s="206"/>
      <c r="U101" s="206"/>
      <c r="V101" s="206"/>
      <c r="W101" s="206"/>
      <c r="X101" s="206"/>
      <c r="Y101" s="206"/>
      <c r="Z101" s="206"/>
      <c r="AA101" s="206"/>
      <c r="AB101" s="206"/>
      <c r="AC101" s="206"/>
      <c r="AD101" s="7"/>
      <c r="AE101" s="7"/>
      <c r="AF101" s="7"/>
      <c r="AG101" s="7"/>
      <c r="AH101" s="7"/>
      <c r="AI101" s="7"/>
      <c r="AJ101" s="7"/>
      <c r="AK101" s="7"/>
      <c r="AL101" s="7"/>
      <c r="AM101" s="7"/>
      <c r="AN101" s="7"/>
      <c r="AO101" s="22"/>
    </row>
    <row r="102" spans="1:41" ht="27" customHeight="1" x14ac:dyDescent="0.6">
      <c r="A102" s="525" t="s">
        <v>129</v>
      </c>
      <c r="B102" s="434"/>
      <c r="C102" s="434"/>
      <c r="D102" s="434"/>
      <c r="E102" s="434"/>
      <c r="F102" s="434"/>
      <c r="G102" s="434"/>
      <c r="H102" s="435"/>
      <c r="I102" s="519">
        <f>SUMIFS(Input[Xfr Cap Sys E&amp;G], Input[Type],$R$2)+SUMIFS(Input[Xfr Cap Sys Desg], Input[Type],$R$2)+SUMIFS(Input[Xfr Cap Sys Aux], Input[Type],$R$2)+SUMIFS(Input[Xfr Cap Sys R Exp], Input[Type],$R$2)+SUMIFS(Input[Xfr Cap Sys Loan], Input[Type],$R$2)+SUMIFS(Input[Xfr Cap Sys Annuity], Input[Type],$R$2)+SUMIFS(Input[Xfr Cap Sys Unexp], Input[Type],$R$2)+SUMIFS(Input[Xfr Cap Sys R of Ind], Input[Type],$R$2)+SUMIFS(Input[Xfr Cap Sys Inv in P], Input[Type],$R$2)</f>
        <v>0</v>
      </c>
      <c r="J102" s="519"/>
      <c r="K102" s="519"/>
      <c r="L102" s="432">
        <f t="shared" si="16"/>
        <v>0</v>
      </c>
      <c r="M102" s="432"/>
      <c r="N102" s="536"/>
      <c r="O102" s="303"/>
      <c r="P102" s="206"/>
      <c r="Q102" s="206"/>
      <c r="R102" s="206"/>
      <c r="S102" s="206"/>
      <c r="T102" s="206"/>
      <c r="U102" s="206"/>
      <c r="V102" s="206"/>
      <c r="W102" s="206"/>
      <c r="X102" s="206"/>
      <c r="Y102" s="206"/>
      <c r="Z102" s="206"/>
      <c r="AA102" s="206"/>
      <c r="AB102" s="206"/>
      <c r="AC102" s="206"/>
      <c r="AD102" s="7"/>
      <c r="AE102" s="7"/>
      <c r="AF102" s="7"/>
      <c r="AG102" s="7"/>
      <c r="AH102" s="7"/>
      <c r="AI102" s="7"/>
      <c r="AJ102" s="7"/>
      <c r="AK102" s="7"/>
      <c r="AL102" s="7"/>
      <c r="AM102" s="7"/>
      <c r="AN102" s="7"/>
      <c r="AO102" s="22"/>
    </row>
    <row r="103" spans="1:41" ht="27" customHeight="1" x14ac:dyDescent="0.6">
      <c r="A103" s="525" t="s">
        <v>130</v>
      </c>
      <c r="B103" s="434"/>
      <c r="C103" s="434"/>
      <c r="D103" s="434"/>
      <c r="E103" s="434"/>
      <c r="F103" s="434"/>
      <c r="G103" s="434"/>
      <c r="H103" s="435"/>
      <c r="I103" s="519">
        <f>SUMIFS(Input[OPEB Exp E&amp;G], Input[Type],$R$2)+SUMIFS(Input[OPEB Exp Desg], Input[Type],$R$2)+SUMIFS(Input[OPEB Exp Aux], Input[Type],$R$2)+SUMIFS(Input[OPEB Exp R Exp], Input[Type],$R$2)+SUMIFS(Input[OPEB Exp Loan], Input[Type],$R$2)+SUMIFS(Input[OPEB Exp Annuity], Input[Type],$R$2)+SUMIFS(Input[OPEB Exp Unexp], Input[Type],$R$2)+SUMIFS(Input[OPEB Exp R of Ind], Input[Type],$R$2)+SUMIFS(Input[OPEB Exp Inv in P], Input[Type],$R$2)</f>
        <v>0</v>
      </c>
      <c r="J103" s="519"/>
      <c r="K103" s="519"/>
      <c r="L103" s="432">
        <f t="shared" si="16"/>
        <v>0</v>
      </c>
      <c r="M103" s="432"/>
      <c r="N103" s="536"/>
      <c r="O103" s="303"/>
      <c r="P103" s="206"/>
      <c r="Q103" s="206"/>
      <c r="R103" s="206"/>
      <c r="S103" s="206"/>
      <c r="T103" s="206"/>
      <c r="U103" s="206"/>
      <c r="V103" s="206"/>
      <c r="W103" s="206"/>
      <c r="X103" s="206"/>
      <c r="Y103" s="206"/>
      <c r="Z103" s="206"/>
      <c r="AA103" s="206"/>
      <c r="AB103" s="206"/>
      <c r="AC103" s="206"/>
      <c r="AD103" s="7"/>
      <c r="AE103" s="7"/>
      <c r="AF103" s="7"/>
      <c r="AG103" s="7"/>
      <c r="AH103" s="7"/>
      <c r="AI103" s="7"/>
      <c r="AJ103" s="7"/>
      <c r="AK103" s="7"/>
      <c r="AL103" s="7"/>
      <c r="AM103" s="7"/>
      <c r="AN103" s="7"/>
      <c r="AO103" s="22"/>
    </row>
    <row r="104" spans="1:41" ht="27" customHeight="1" x14ac:dyDescent="0.6">
      <c r="A104" s="525" t="s">
        <v>131</v>
      </c>
      <c r="B104" s="434"/>
      <c r="C104" s="434"/>
      <c r="D104" s="434"/>
      <c r="E104" s="434"/>
      <c r="F104" s="434"/>
      <c r="G104" s="434"/>
      <c r="H104" s="435"/>
      <c r="I104" s="519">
        <f>SUMIFS(Input[Non-Cash Cap E&amp;G], Input[Type],$R$2)+SUMIFS(Input[Non-Cash Cap Desg], Input[Type],$R$2)+SUMIFS(Input[Non-Cash Cap Aux], Input[Type],$R$2)+SUMIFS(Input[Non-Cash Cap R Exp], Input[Type],$R$2)+SUMIFS(Input[Non-Cash Cap Loan], Input[Type],$R$2)+SUMIFS(Input[Non-Cash Cap Annuity], Input[Type],$R$2)+SUMIFS(Input[Non-Cash Cap Unexp], Input[Type],$R$2)+SUMIFS(Input[Non-Cash Cap R of Ind], Input[Type],$R$2)+SUMIFS(Input[Non-Cash Cap Inv in P], Input[Type],$R$2)</f>
        <v>0</v>
      </c>
      <c r="J104" s="519"/>
      <c r="K104" s="519"/>
      <c r="L104" s="432">
        <f t="shared" si="16"/>
        <v>0</v>
      </c>
      <c r="M104" s="432"/>
      <c r="N104" s="536"/>
      <c r="O104" s="303"/>
      <c r="P104" s="206"/>
      <c r="Q104" s="206"/>
      <c r="R104" s="206"/>
      <c r="S104" s="206"/>
      <c r="T104" s="206"/>
      <c r="U104" s="206"/>
      <c r="V104" s="206"/>
      <c r="W104" s="206"/>
      <c r="X104" s="206"/>
      <c r="Y104" s="206"/>
      <c r="Z104" s="206"/>
      <c r="AA104" s="206"/>
      <c r="AB104" s="206"/>
      <c r="AC104" s="206"/>
      <c r="AD104" s="7"/>
      <c r="AE104" s="7"/>
      <c r="AF104" s="7"/>
      <c r="AG104" s="7"/>
      <c r="AH104" s="7"/>
      <c r="AI104" s="7"/>
      <c r="AJ104" s="7"/>
      <c r="AK104" s="7"/>
      <c r="AL104" s="7"/>
      <c r="AM104" s="7"/>
      <c r="AN104" s="7"/>
      <c r="AO104" s="22"/>
    </row>
    <row r="105" spans="1:41" ht="27" customHeight="1" thickBot="1" x14ac:dyDescent="0.65">
      <c r="A105" s="525" t="s">
        <v>132</v>
      </c>
      <c r="B105" s="434"/>
      <c r="C105" s="434"/>
      <c r="D105" s="434"/>
      <c r="E105" s="434"/>
      <c r="F105" s="434"/>
      <c r="G105" s="434"/>
      <c r="H105" s="435"/>
      <c r="I105" s="520">
        <f>SUMIFS(Input[Cap Out E&amp;G], Input[Type],$R$2)+SUMIFS(Input[Cap Out Desg], Input[Type],$R$2)+SUMIFS(Input[Cap Out Aux], Input[Type],$R$2)+SUMIFS(Input[Cap Out R Exp], Input[Type],$R$2)+SUMIFS(Input[Cap Out Loan], Input[Type],$R$2)+SUMIFS(Input[Cap Out Annuity], Input[Type],$R$2)+SUMIFS(Input[Cap Out Unexp], Input[Type],$R$2)+SUMIFS(Input[Cap Out R of Ind], Input[Type],$R$2)+SUMIFS(Input[Cap Out Inv in P], Input[Type],$R$2)</f>
        <v>0</v>
      </c>
      <c r="J105" s="520"/>
      <c r="K105" s="520"/>
      <c r="L105" s="534">
        <f t="shared" si="16"/>
        <v>0</v>
      </c>
      <c r="M105" s="534"/>
      <c r="N105" s="535"/>
      <c r="O105" s="303"/>
      <c r="P105" s="206"/>
      <c r="Q105" s="206"/>
      <c r="R105" s="206"/>
      <c r="S105" s="206"/>
      <c r="T105" s="206"/>
      <c r="U105" s="206"/>
      <c r="V105" s="206"/>
      <c r="W105" s="206"/>
      <c r="X105" s="206"/>
      <c r="Y105" s="206"/>
      <c r="Z105" s="206"/>
      <c r="AA105" s="206"/>
      <c r="AB105" s="206"/>
      <c r="AC105" s="206"/>
      <c r="AD105" s="206"/>
      <c r="AE105" s="206"/>
      <c r="AF105" s="206"/>
      <c r="AG105" s="206"/>
      <c r="AH105" s="206"/>
      <c r="AI105" s="206"/>
      <c r="AJ105" s="206"/>
      <c r="AK105" s="206"/>
      <c r="AL105" s="206"/>
      <c r="AM105" s="7"/>
      <c r="AN105" s="7"/>
      <c r="AO105" s="22"/>
    </row>
    <row r="106" spans="1:41" ht="27" customHeight="1" thickBot="1" x14ac:dyDescent="0.65">
      <c r="A106" s="509" t="s">
        <v>728</v>
      </c>
      <c r="B106" s="510"/>
      <c r="C106" s="510"/>
      <c r="D106" s="510"/>
      <c r="E106" s="510"/>
      <c r="F106" s="510"/>
      <c r="G106" s="510"/>
      <c r="H106" s="510"/>
      <c r="I106" s="516">
        <f>SUM(I97,I100:I105)</f>
        <v>0</v>
      </c>
      <c r="J106" s="516"/>
      <c r="K106" s="516"/>
      <c r="L106" s="516">
        <f t="shared" si="16"/>
        <v>0</v>
      </c>
      <c r="M106" s="516"/>
      <c r="N106" s="517"/>
      <c r="O106" s="303"/>
      <c r="P106" s="206"/>
      <c r="Q106" s="206"/>
      <c r="R106" s="206"/>
      <c r="S106" s="206"/>
      <c r="T106" s="206"/>
      <c r="U106" s="206"/>
      <c r="V106" s="206"/>
      <c r="W106" s="206"/>
      <c r="X106" s="206"/>
      <c r="Y106" s="206"/>
      <c r="Z106" s="206"/>
      <c r="AA106" s="206"/>
      <c r="AB106" s="206"/>
      <c r="AC106" s="206"/>
      <c r="AD106" s="206"/>
      <c r="AE106" s="206"/>
      <c r="AF106" s="206"/>
      <c r="AG106" s="206"/>
      <c r="AH106" s="206"/>
      <c r="AI106" s="206"/>
      <c r="AJ106" s="206"/>
      <c r="AK106" s="206"/>
      <c r="AL106" s="206"/>
      <c r="AM106" s="7"/>
      <c r="AN106" s="7"/>
      <c r="AO106" s="22"/>
    </row>
    <row r="107" spans="1:41" ht="27" customHeight="1" x14ac:dyDescent="0.55000000000000004">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c r="AB107" s="22"/>
      <c r="AC107" s="22"/>
      <c r="AD107" s="206"/>
      <c r="AE107" s="206"/>
      <c r="AF107" s="206"/>
      <c r="AG107" s="206"/>
      <c r="AH107" s="206"/>
      <c r="AI107" s="206"/>
      <c r="AJ107" s="206"/>
      <c r="AK107" s="206"/>
      <c r="AL107" s="206"/>
      <c r="AM107" s="7"/>
      <c r="AN107" s="22"/>
      <c r="AO107" s="22"/>
    </row>
    <row r="108" spans="1:41" ht="27" customHeight="1" x14ac:dyDescent="0.55000000000000004">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c r="AB108" s="22"/>
      <c r="AC108" s="22"/>
      <c r="AD108" s="206"/>
      <c r="AE108" s="206"/>
      <c r="AF108" s="206"/>
      <c r="AG108" s="206"/>
      <c r="AH108" s="206"/>
      <c r="AI108" s="206"/>
      <c r="AJ108" s="206"/>
      <c r="AK108" s="206"/>
      <c r="AL108" s="206"/>
      <c r="AM108" s="7"/>
      <c r="AN108" s="22"/>
      <c r="AO108" s="22"/>
    </row>
    <row r="109" spans="1:41" ht="27" customHeight="1" x14ac:dyDescent="0.55000000000000004"/>
  </sheetData>
  <sheetProtection algorithmName="SHA-512" hashValue="HDu4StTwY2tBRQ+9XzLWKAHrIqMNWadEtNSuteAEV8C0RCg3IQGfr+I+R1fa4YVQe1Lg0SS8KpQJ81NmsOE1Mw==" saltValue="Qfw89EEVWrMQUwVpctxifg==" spinCount="100000" sheet="1" objects="1" scenarios="1" formatColumns="0" formatRows="0"/>
  <mergeCells count="386">
    <mergeCell ref="R1:T1"/>
    <mergeCell ref="U1:W1"/>
    <mergeCell ref="R2:T2"/>
    <mergeCell ref="AD1:AM1"/>
    <mergeCell ref="AD2:AL4"/>
    <mergeCell ref="AE5:AG5"/>
    <mergeCell ref="AD8:AN9"/>
    <mergeCell ref="A1:N1"/>
    <mergeCell ref="A2:N2"/>
    <mergeCell ref="A3:N3"/>
    <mergeCell ref="A10:H10"/>
    <mergeCell ref="I10:K10"/>
    <mergeCell ref="L10:N10"/>
    <mergeCell ref="P10:V10"/>
    <mergeCell ref="W10:Y10"/>
    <mergeCell ref="Z10:AB10"/>
    <mergeCell ref="A6:N7"/>
    <mergeCell ref="A8:N8"/>
    <mergeCell ref="P8:AB8"/>
    <mergeCell ref="A9:H9"/>
    <mergeCell ref="I9:K9"/>
    <mergeCell ref="L9:N9"/>
    <mergeCell ref="P9:V9"/>
    <mergeCell ref="W9:Y9"/>
    <mergeCell ref="Z9:AB9"/>
    <mergeCell ref="A11:H11"/>
    <mergeCell ref="I11:K11"/>
    <mergeCell ref="L11:N11"/>
    <mergeCell ref="P11:V11"/>
    <mergeCell ref="W11:Y11"/>
    <mergeCell ref="Z11:AB11"/>
    <mergeCell ref="A12:H12"/>
    <mergeCell ref="I12:K12"/>
    <mergeCell ref="L12:N12"/>
    <mergeCell ref="P14:V14"/>
    <mergeCell ref="W14:Y14"/>
    <mergeCell ref="Z14:AB14"/>
    <mergeCell ref="P12:V12"/>
    <mergeCell ref="W12:Y12"/>
    <mergeCell ref="Z12:AB12"/>
    <mergeCell ref="A13:H13"/>
    <mergeCell ref="I13:K13"/>
    <mergeCell ref="L13:N13"/>
    <mergeCell ref="P13:V13"/>
    <mergeCell ref="W13:Y13"/>
    <mergeCell ref="Z13:AB13"/>
    <mergeCell ref="A16:H16"/>
    <mergeCell ref="I16:K16"/>
    <mergeCell ref="L16:N16"/>
    <mergeCell ref="A17:H17"/>
    <mergeCell ref="I17:K17"/>
    <mergeCell ref="L17:N17"/>
    <mergeCell ref="A14:H14"/>
    <mergeCell ref="I14:K14"/>
    <mergeCell ref="L14:N14"/>
    <mergeCell ref="A21:H21"/>
    <mergeCell ref="I21:K21"/>
    <mergeCell ref="L21:N21"/>
    <mergeCell ref="A22:H22"/>
    <mergeCell ref="I22:K22"/>
    <mergeCell ref="L22:N22"/>
    <mergeCell ref="A18:N18"/>
    <mergeCell ref="A19:H19"/>
    <mergeCell ref="I19:K19"/>
    <mergeCell ref="L19:N19"/>
    <mergeCell ref="A20:H20"/>
    <mergeCell ref="I20:K20"/>
    <mergeCell ref="L20:N20"/>
    <mergeCell ref="A26:H26"/>
    <mergeCell ref="I26:K26"/>
    <mergeCell ref="L26:N26"/>
    <mergeCell ref="P26:Y26"/>
    <mergeCell ref="A27:H27"/>
    <mergeCell ref="I27:K27"/>
    <mergeCell ref="L27:N27"/>
    <mergeCell ref="A23:H23"/>
    <mergeCell ref="I23:K23"/>
    <mergeCell ref="L23:N23"/>
    <mergeCell ref="A24:N24"/>
    <mergeCell ref="A25:H25"/>
    <mergeCell ref="I25:K25"/>
    <mergeCell ref="L25:N25"/>
    <mergeCell ref="A30:H30"/>
    <mergeCell ref="I30:K30"/>
    <mergeCell ref="L30:N30"/>
    <mergeCell ref="A32:H32"/>
    <mergeCell ref="I32:K32"/>
    <mergeCell ref="L32:N32"/>
    <mergeCell ref="A28:H28"/>
    <mergeCell ref="I28:K28"/>
    <mergeCell ref="L28:N28"/>
    <mergeCell ref="A29:H29"/>
    <mergeCell ref="I29:K29"/>
    <mergeCell ref="L29:N29"/>
    <mergeCell ref="P35:V35"/>
    <mergeCell ref="W35:Y35"/>
    <mergeCell ref="A36:H36"/>
    <mergeCell ref="I36:K36"/>
    <mergeCell ref="L36:N36"/>
    <mergeCell ref="P32:Y32"/>
    <mergeCell ref="A33:N33"/>
    <mergeCell ref="P33:V33"/>
    <mergeCell ref="W33:Y33"/>
    <mergeCell ref="A34:H34"/>
    <mergeCell ref="I34:K34"/>
    <mergeCell ref="L34:N34"/>
    <mergeCell ref="P34:V34"/>
    <mergeCell ref="W34:Y34"/>
    <mergeCell ref="A37:H37"/>
    <mergeCell ref="I37:K37"/>
    <mergeCell ref="L37:N37"/>
    <mergeCell ref="A38:H38"/>
    <mergeCell ref="I38:K38"/>
    <mergeCell ref="L38:N38"/>
    <mergeCell ref="A35:H35"/>
    <mergeCell ref="I35:K35"/>
    <mergeCell ref="L35:N35"/>
    <mergeCell ref="P40:V40"/>
    <mergeCell ref="W40:Y40"/>
    <mergeCell ref="Z40:AB40"/>
    <mergeCell ref="A43:H43"/>
    <mergeCell ref="I43:K43"/>
    <mergeCell ref="L43:N43"/>
    <mergeCell ref="P43:V43"/>
    <mergeCell ref="W43:Y43"/>
    <mergeCell ref="Z43:AB43"/>
    <mergeCell ref="AK52:AM52"/>
    <mergeCell ref="A42:H42"/>
    <mergeCell ref="I42:K42"/>
    <mergeCell ref="L42:N42"/>
    <mergeCell ref="P42:V42"/>
    <mergeCell ref="W42:Y42"/>
    <mergeCell ref="Z42:AB42"/>
    <mergeCell ref="AD49:AJ49"/>
    <mergeCell ref="AK49:AM49"/>
    <mergeCell ref="AD10:AN46"/>
    <mergeCell ref="A41:H41"/>
    <mergeCell ref="I41:K41"/>
    <mergeCell ref="L41:N41"/>
    <mergeCell ref="P41:V41"/>
    <mergeCell ref="W41:Y41"/>
    <mergeCell ref="Z41:AB41"/>
    <mergeCell ref="AK50:AM50"/>
    <mergeCell ref="A39:N39"/>
    <mergeCell ref="P39:AB39"/>
    <mergeCell ref="AD48:AJ48"/>
    <mergeCell ref="AK48:AM48"/>
    <mergeCell ref="A40:H40"/>
    <mergeCell ref="I40:K40"/>
    <mergeCell ref="L40:N40"/>
    <mergeCell ref="AK53:AM53"/>
    <mergeCell ref="A45:H45"/>
    <mergeCell ref="I45:K45"/>
    <mergeCell ref="L45:N45"/>
    <mergeCell ref="P45:V45"/>
    <mergeCell ref="W45:Y45"/>
    <mergeCell ref="Z45:AB45"/>
    <mergeCell ref="AK54:AM54"/>
    <mergeCell ref="A44:H44"/>
    <mergeCell ref="I44:K44"/>
    <mergeCell ref="L44:N44"/>
    <mergeCell ref="P44:V44"/>
    <mergeCell ref="W44:Y44"/>
    <mergeCell ref="Z44:AB44"/>
    <mergeCell ref="AK51:AM51"/>
    <mergeCell ref="P46:V46"/>
    <mergeCell ref="W46:Y46"/>
    <mergeCell ref="Z46:AB46"/>
    <mergeCell ref="A47:H47"/>
    <mergeCell ref="I47:K47"/>
    <mergeCell ref="L47:N47"/>
    <mergeCell ref="P47:V47"/>
    <mergeCell ref="W47:Y47"/>
    <mergeCell ref="Z47:AB47"/>
    <mergeCell ref="A50:H50"/>
    <mergeCell ref="I50:K50"/>
    <mergeCell ref="L50:N50"/>
    <mergeCell ref="P50:V50"/>
    <mergeCell ref="W50:Y50"/>
    <mergeCell ref="Z50:AB50"/>
    <mergeCell ref="P48:V48"/>
    <mergeCell ref="W48:Y48"/>
    <mergeCell ref="Z48:AB48"/>
    <mergeCell ref="A49:H49"/>
    <mergeCell ref="I49:K49"/>
    <mergeCell ref="L49:N49"/>
    <mergeCell ref="P49:V49"/>
    <mergeCell ref="W49:Y49"/>
    <mergeCell ref="Z49:AB49"/>
    <mergeCell ref="A53:H53"/>
    <mergeCell ref="I53:K53"/>
    <mergeCell ref="L53:N53"/>
    <mergeCell ref="P53:V53"/>
    <mergeCell ref="W53:Y53"/>
    <mergeCell ref="Z53:AB53"/>
    <mergeCell ref="P51:V51"/>
    <mergeCell ref="W51:Y51"/>
    <mergeCell ref="Z51:AB51"/>
    <mergeCell ref="A52:H52"/>
    <mergeCell ref="I52:K52"/>
    <mergeCell ref="L52:N52"/>
    <mergeCell ref="P52:V52"/>
    <mergeCell ref="W52:Y52"/>
    <mergeCell ref="Z52:AB52"/>
    <mergeCell ref="A56:H56"/>
    <mergeCell ref="I56:K56"/>
    <mergeCell ref="L56:N56"/>
    <mergeCell ref="A58:H58"/>
    <mergeCell ref="I58:K58"/>
    <mergeCell ref="L58:N58"/>
    <mergeCell ref="P54:V54"/>
    <mergeCell ref="W54:Y54"/>
    <mergeCell ref="Z54:AB54"/>
    <mergeCell ref="A55:H55"/>
    <mergeCell ref="I55:K55"/>
    <mergeCell ref="L55:N55"/>
    <mergeCell ref="A61:H61"/>
    <mergeCell ref="I61:K61"/>
    <mergeCell ref="L61:N61"/>
    <mergeCell ref="A62:H62"/>
    <mergeCell ref="I62:K62"/>
    <mergeCell ref="L62:N62"/>
    <mergeCell ref="A59:H59"/>
    <mergeCell ref="I59:K59"/>
    <mergeCell ref="L59:N59"/>
    <mergeCell ref="A60:H60"/>
    <mergeCell ref="I60:K60"/>
    <mergeCell ref="L60:N60"/>
    <mergeCell ref="A65:H65"/>
    <mergeCell ref="I65:K65"/>
    <mergeCell ref="L65:N65"/>
    <mergeCell ref="A67:H67"/>
    <mergeCell ref="I67:K67"/>
    <mergeCell ref="L67:N67"/>
    <mergeCell ref="A63:H63"/>
    <mergeCell ref="I63:K63"/>
    <mergeCell ref="L63:N63"/>
    <mergeCell ref="A64:H64"/>
    <mergeCell ref="I64:K64"/>
    <mergeCell ref="L64:N64"/>
    <mergeCell ref="A71:H71"/>
    <mergeCell ref="I71:K71"/>
    <mergeCell ref="L71:N71"/>
    <mergeCell ref="P71:V71"/>
    <mergeCell ref="W71:Y71"/>
    <mergeCell ref="Z71:AB71"/>
    <mergeCell ref="AK77:AM77"/>
    <mergeCell ref="A69:N69"/>
    <mergeCell ref="P69:Z69"/>
    <mergeCell ref="AD75:AJ75"/>
    <mergeCell ref="AK75:AM75"/>
    <mergeCell ref="A70:H70"/>
    <mergeCell ref="I70:K70"/>
    <mergeCell ref="L70:N70"/>
    <mergeCell ref="P70:V70"/>
    <mergeCell ref="W70:Y70"/>
    <mergeCell ref="Z70:AB70"/>
    <mergeCell ref="A73:H73"/>
    <mergeCell ref="I73:K73"/>
    <mergeCell ref="L73:N73"/>
    <mergeCell ref="P73:V73"/>
    <mergeCell ref="W73:Y73"/>
    <mergeCell ref="Z73:AB73"/>
    <mergeCell ref="AK79:AM79"/>
    <mergeCell ref="A72:H72"/>
    <mergeCell ref="I72:K72"/>
    <mergeCell ref="L72:N72"/>
    <mergeCell ref="P72:V72"/>
    <mergeCell ref="W72:Y72"/>
    <mergeCell ref="Z72:AB72"/>
    <mergeCell ref="AD76:AJ76"/>
    <mergeCell ref="AK76:AM76"/>
    <mergeCell ref="P76:V76"/>
    <mergeCell ref="W76:Y76"/>
    <mergeCell ref="Z76:AB76"/>
    <mergeCell ref="A79:H79"/>
    <mergeCell ref="I79:K79"/>
    <mergeCell ref="L79:N79"/>
    <mergeCell ref="P79:V79"/>
    <mergeCell ref="W79:Y79"/>
    <mergeCell ref="Z79:AB79"/>
    <mergeCell ref="A78:H78"/>
    <mergeCell ref="I78:K78"/>
    <mergeCell ref="L78:N78"/>
    <mergeCell ref="P78:V78"/>
    <mergeCell ref="W78:Y78"/>
    <mergeCell ref="Z78:AB78"/>
    <mergeCell ref="AK80:AM80"/>
    <mergeCell ref="A75:H75"/>
    <mergeCell ref="I75:K75"/>
    <mergeCell ref="L75:N75"/>
    <mergeCell ref="P75:V75"/>
    <mergeCell ref="W75:Y75"/>
    <mergeCell ref="Z75:AB75"/>
    <mergeCell ref="AK81:AM81"/>
    <mergeCell ref="A74:H74"/>
    <mergeCell ref="I74:K74"/>
    <mergeCell ref="L74:N74"/>
    <mergeCell ref="P74:V74"/>
    <mergeCell ref="W74:Y74"/>
    <mergeCell ref="Z74:AB74"/>
    <mergeCell ref="AK78:AM78"/>
    <mergeCell ref="A77:H77"/>
    <mergeCell ref="I77:K77"/>
    <mergeCell ref="L77:N77"/>
    <mergeCell ref="P77:V77"/>
    <mergeCell ref="W77:Y77"/>
    <mergeCell ref="Z77:AB77"/>
    <mergeCell ref="A76:H76"/>
    <mergeCell ref="I76:K76"/>
    <mergeCell ref="L76:N76"/>
    <mergeCell ref="P81:V81"/>
    <mergeCell ref="W81:Y81"/>
    <mergeCell ref="Z81:AB81"/>
    <mergeCell ref="A80:H80"/>
    <mergeCell ref="I80:K80"/>
    <mergeCell ref="L80:N80"/>
    <mergeCell ref="P80:V80"/>
    <mergeCell ref="W80:Y80"/>
    <mergeCell ref="Z80:AB80"/>
    <mergeCell ref="A82:H82"/>
    <mergeCell ref="I82:K82"/>
    <mergeCell ref="L82:N82"/>
    <mergeCell ref="A83:H83"/>
    <mergeCell ref="I83:K83"/>
    <mergeCell ref="L83:N83"/>
    <mergeCell ref="A81:H81"/>
    <mergeCell ref="I81:K81"/>
    <mergeCell ref="L81:N81"/>
    <mergeCell ref="A87:H87"/>
    <mergeCell ref="I87:K87"/>
    <mergeCell ref="L87:N87"/>
    <mergeCell ref="A88:H88"/>
    <mergeCell ref="I88:K88"/>
    <mergeCell ref="L88:N88"/>
    <mergeCell ref="A85:H85"/>
    <mergeCell ref="I85:K85"/>
    <mergeCell ref="L85:N85"/>
    <mergeCell ref="A86:H86"/>
    <mergeCell ref="I86:K86"/>
    <mergeCell ref="L86:N86"/>
    <mergeCell ref="A92:H92"/>
    <mergeCell ref="I92:K92"/>
    <mergeCell ref="L92:N92"/>
    <mergeCell ref="A93:H93"/>
    <mergeCell ref="I93:K93"/>
    <mergeCell ref="L93:N93"/>
    <mergeCell ref="A89:H89"/>
    <mergeCell ref="I89:K89"/>
    <mergeCell ref="L89:N89"/>
    <mergeCell ref="A90:H90"/>
    <mergeCell ref="I90:K90"/>
    <mergeCell ref="L90:N90"/>
    <mergeCell ref="A97:H97"/>
    <mergeCell ref="I97:K97"/>
    <mergeCell ref="L97:N97"/>
    <mergeCell ref="A99:H99"/>
    <mergeCell ref="I99:K99"/>
    <mergeCell ref="L99:N99"/>
    <mergeCell ref="A94:H94"/>
    <mergeCell ref="I94:K94"/>
    <mergeCell ref="L94:N94"/>
    <mergeCell ref="A95:H95"/>
    <mergeCell ref="I95:K95"/>
    <mergeCell ref="L95:N95"/>
    <mergeCell ref="A102:H102"/>
    <mergeCell ref="I102:K102"/>
    <mergeCell ref="L102:N102"/>
    <mergeCell ref="A103:H103"/>
    <mergeCell ref="I103:K103"/>
    <mergeCell ref="L103:N103"/>
    <mergeCell ref="A100:H100"/>
    <mergeCell ref="I100:K100"/>
    <mergeCell ref="L100:N100"/>
    <mergeCell ref="A101:H101"/>
    <mergeCell ref="I101:K101"/>
    <mergeCell ref="L101:N101"/>
    <mergeCell ref="A106:H106"/>
    <mergeCell ref="I106:K106"/>
    <mergeCell ref="L106:N106"/>
    <mergeCell ref="A104:H104"/>
    <mergeCell ref="I104:K104"/>
    <mergeCell ref="L104:N104"/>
    <mergeCell ref="A105:H105"/>
    <mergeCell ref="I105:K105"/>
    <mergeCell ref="L105:N105"/>
  </mergeCells>
  <conditionalFormatting sqref="A2:N2">
    <cfRule type="containsText" dxfId="4" priority="1" operator="containsText" text="Select">
      <formula>NOT(ISERROR(SEARCH("Select",A2)))</formula>
    </cfRule>
  </conditionalFormatting>
  <dataValidations count="2">
    <dataValidation type="whole" allowBlank="1" showInputMessage="1" showErrorMessage="1" error="Number should be reported as a whole dollar." sqref="I50:K50 I59:K64 I93:K94 I81:K82 I86:K89 I100:K105" xr:uid="{BB524AB6-BE99-4B2B-90F5-26340A4B0C99}">
      <formula1>-10000000000</formula1>
      <formula2>15000000000</formula2>
    </dataValidation>
    <dataValidation type="list" allowBlank="1" showInputMessage="1" showErrorMessage="1" sqref="A1" xr:uid="{679A0716-7E8A-49C7-BB34-963278C49FE7}">
      <formula1>TypeDropdown</formula1>
    </dataValidation>
  </dataValidations>
  <hyperlinks>
    <hyperlink ref="AH5:AL5" r:id="rId1" display="fonts.google.com/specimen/Overpass" xr:uid="{D455A127-4F5D-48F3-92F7-1EA48C26D9D1}"/>
    <hyperlink ref="AH5" r:id="rId2" display="http://fonts.google.com/specimen/Overpass" xr:uid="{02E150A9-D06A-4504-BA95-A3EBC3D58EC8}"/>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EEC99-A140-4DF5-B067-45B7D8545E57}">
  <sheetPr codeName="Sheet05">
    <tabColor theme="4" tint="0.89999084444715716"/>
  </sheetPr>
  <dimension ref="A1:AN109"/>
  <sheetViews>
    <sheetView zoomScale="70" zoomScaleNormal="70" workbookViewId="0">
      <selection sqref="A1:N1"/>
    </sheetView>
  </sheetViews>
  <sheetFormatPr defaultColWidth="8.83203125" defaultRowHeight="19.2" x14ac:dyDescent="0.55000000000000004"/>
  <cols>
    <col min="1" max="28" width="6.58203125" style="24" customWidth="1"/>
    <col min="29" max="29" width="6.58203125" style="29" customWidth="1"/>
    <col min="30" max="40" width="6.58203125" style="24" customWidth="1"/>
    <col min="41" max="16384" width="8.83203125" style="24"/>
  </cols>
  <sheetData>
    <row r="1" spans="1:40" ht="45" customHeight="1" x14ac:dyDescent="0.55000000000000004">
      <c r="A1" s="492"/>
      <c r="B1" s="493"/>
      <c r="C1" s="493"/>
      <c r="D1" s="493"/>
      <c r="E1" s="493"/>
      <c r="F1" s="493"/>
      <c r="G1" s="493"/>
      <c r="H1" s="493"/>
      <c r="I1" s="493"/>
      <c r="J1" s="493"/>
      <c r="K1" s="493"/>
      <c r="L1" s="493"/>
      <c r="M1" s="493"/>
      <c r="N1" s="494"/>
      <c r="O1" s="22"/>
      <c r="P1" s="568">
        <f>SUMIFS(Input[FTSE], Input[System],$P$2)</f>
        <v>0</v>
      </c>
      <c r="Q1" s="568"/>
      <c r="R1" s="568"/>
      <c r="S1" s="625" t="s">
        <v>133</v>
      </c>
      <c r="T1" s="625"/>
      <c r="U1" s="625"/>
      <c r="V1" s="22"/>
      <c r="W1" s="22"/>
      <c r="X1" s="22"/>
      <c r="Y1" s="22"/>
      <c r="Z1" s="22"/>
      <c r="AA1" s="22"/>
      <c r="AB1" s="22"/>
      <c r="AC1" s="22"/>
      <c r="AD1" s="388" t="s">
        <v>1854</v>
      </c>
      <c r="AE1" s="389"/>
      <c r="AF1" s="389"/>
      <c r="AG1" s="389"/>
      <c r="AH1" s="389"/>
      <c r="AI1" s="389"/>
      <c r="AJ1" s="389"/>
      <c r="AK1" s="389"/>
      <c r="AL1" s="389"/>
      <c r="AM1" s="390"/>
      <c r="AN1" s="22"/>
    </row>
    <row r="2" spans="1:40" s="8" customFormat="1" ht="34.950000000000003" customHeight="1" x14ac:dyDescent="0.55000000000000004">
      <c r="A2" s="632" t="str">
        <f>IF(ISBLANK($A$1),"▲ Select system name from dropdown ▲",VLOOKUP(A1,Hidden!$A$96:$C$103,3,FALSE))</f>
        <v>▲ Select system name from dropdown ▲</v>
      </c>
      <c r="B2" s="633"/>
      <c r="C2" s="633"/>
      <c r="D2" s="633"/>
      <c r="E2" s="633"/>
      <c r="F2" s="633"/>
      <c r="G2" s="633"/>
      <c r="H2" s="633"/>
      <c r="I2" s="633"/>
      <c r="J2" s="633"/>
      <c r="K2" s="633"/>
      <c r="L2" s="633"/>
      <c r="M2" s="633"/>
      <c r="N2" s="634"/>
      <c r="O2" s="7"/>
      <c r="P2" s="626" t="str">
        <f>IF(ISBLANK(A1),"",_xlfn.XLOOKUP($A$1,Hidden!$A$96:$A$103,Hidden!$B$96:$B$103,,-1))</f>
        <v/>
      </c>
      <c r="Q2" s="626"/>
      <c r="R2" s="626"/>
      <c r="S2" s="22"/>
      <c r="T2" s="22"/>
      <c r="U2" s="22"/>
      <c r="V2" s="41"/>
      <c r="W2" s="41"/>
      <c r="X2" s="41"/>
      <c r="Y2" s="41"/>
      <c r="Z2" s="41"/>
      <c r="AA2" s="22"/>
      <c r="AB2" s="22"/>
      <c r="AC2" s="22"/>
      <c r="AD2" s="410" t="s">
        <v>1851</v>
      </c>
      <c r="AE2" s="411"/>
      <c r="AF2" s="411"/>
      <c r="AG2" s="411"/>
      <c r="AH2" s="411"/>
      <c r="AI2" s="411"/>
      <c r="AJ2" s="411"/>
      <c r="AK2" s="411"/>
      <c r="AL2" s="411"/>
      <c r="AM2" s="214"/>
      <c r="AN2" s="22"/>
    </row>
    <row r="3" spans="1:40" ht="27" customHeight="1" x14ac:dyDescent="0.55000000000000004">
      <c r="A3" s="495" t="s">
        <v>1419</v>
      </c>
      <c r="B3" s="496"/>
      <c r="C3" s="496"/>
      <c r="D3" s="496"/>
      <c r="E3" s="496"/>
      <c r="F3" s="496"/>
      <c r="G3" s="496"/>
      <c r="H3" s="496"/>
      <c r="I3" s="496"/>
      <c r="J3" s="496"/>
      <c r="K3" s="496"/>
      <c r="L3" s="496"/>
      <c r="M3" s="496"/>
      <c r="N3" s="496"/>
      <c r="O3" s="22"/>
      <c r="P3" s="22"/>
      <c r="Q3" s="22"/>
      <c r="R3" s="22"/>
      <c r="S3" s="22"/>
      <c r="T3" s="22"/>
      <c r="U3" s="22"/>
      <c r="V3" s="22"/>
      <c r="W3" s="22"/>
      <c r="X3" s="22"/>
      <c r="Y3" s="22"/>
      <c r="Z3" s="22"/>
      <c r="AA3" s="22"/>
      <c r="AB3" s="22"/>
      <c r="AC3" s="22"/>
      <c r="AD3" s="410"/>
      <c r="AE3" s="411"/>
      <c r="AF3" s="411"/>
      <c r="AG3" s="411"/>
      <c r="AH3" s="411"/>
      <c r="AI3" s="411"/>
      <c r="AJ3" s="411"/>
      <c r="AK3" s="411"/>
      <c r="AL3" s="411"/>
      <c r="AM3" s="214"/>
      <c r="AN3" s="300"/>
    </row>
    <row r="4" spans="1:40" ht="27" customHeight="1" x14ac:dyDescent="0.55000000000000004">
      <c r="A4" s="269"/>
      <c r="B4" s="270"/>
      <c r="C4" s="270"/>
      <c r="D4" s="270"/>
      <c r="E4" s="270"/>
      <c r="F4" s="270"/>
      <c r="G4" s="270"/>
      <c r="H4" s="270"/>
      <c r="I4" s="270"/>
      <c r="J4" s="270"/>
      <c r="K4" s="270"/>
      <c r="L4" s="270"/>
      <c r="M4" s="270"/>
      <c r="N4" s="22"/>
      <c r="O4" s="22"/>
      <c r="P4" s="41"/>
      <c r="Q4" s="41"/>
      <c r="R4" s="41"/>
      <c r="S4" s="41"/>
      <c r="T4" s="41"/>
      <c r="U4" s="41"/>
      <c r="V4" s="41"/>
      <c r="W4" s="41"/>
      <c r="X4" s="41"/>
      <c r="Y4" s="22"/>
      <c r="Z4" s="22"/>
      <c r="AA4" s="22"/>
      <c r="AB4" s="22"/>
      <c r="AC4" s="22"/>
      <c r="AD4" s="410"/>
      <c r="AE4" s="411"/>
      <c r="AF4" s="411"/>
      <c r="AG4" s="411"/>
      <c r="AH4" s="411"/>
      <c r="AI4" s="411"/>
      <c r="AJ4" s="411"/>
      <c r="AK4" s="411"/>
      <c r="AL4" s="411"/>
      <c r="AM4" s="214"/>
      <c r="AN4" s="22"/>
    </row>
    <row r="5" spans="1:40" ht="27" customHeight="1" x14ac:dyDescent="0.55000000000000004">
      <c r="A5" s="271"/>
      <c r="B5" s="22"/>
      <c r="C5" s="22"/>
      <c r="D5" s="22"/>
      <c r="E5" s="22"/>
      <c r="F5" s="22"/>
      <c r="G5" s="22"/>
      <c r="H5" s="22"/>
      <c r="I5" s="22"/>
      <c r="J5" s="22"/>
      <c r="K5" s="22"/>
      <c r="L5" s="22"/>
      <c r="M5" s="22"/>
      <c r="N5" s="22"/>
      <c r="O5" s="22"/>
      <c r="P5" s="41"/>
      <c r="Q5" s="41"/>
      <c r="R5" s="41"/>
      <c r="S5" s="41"/>
      <c r="T5" s="41"/>
      <c r="U5" s="41"/>
      <c r="V5" s="41"/>
      <c r="W5" s="22"/>
      <c r="X5" s="22"/>
      <c r="Y5" s="22"/>
      <c r="Z5" s="22"/>
      <c r="AA5" s="22"/>
      <c r="AB5" s="22"/>
      <c r="AC5" s="22"/>
      <c r="AD5" s="216"/>
      <c r="AE5" s="391" t="s">
        <v>1852</v>
      </c>
      <c r="AF5" s="391"/>
      <c r="AG5" s="391"/>
      <c r="AH5" s="202" t="s">
        <v>1853</v>
      </c>
      <c r="AI5" s="202"/>
      <c r="AJ5" s="202"/>
      <c r="AK5" s="202"/>
      <c r="AL5" s="202"/>
      <c r="AM5" s="215"/>
      <c r="AN5" s="22"/>
    </row>
    <row r="6" spans="1:40" ht="27" customHeight="1" x14ac:dyDescent="1.05">
      <c r="A6" s="583" t="s">
        <v>135</v>
      </c>
      <c r="B6" s="583"/>
      <c r="C6" s="583"/>
      <c r="D6" s="583"/>
      <c r="E6" s="583"/>
      <c r="F6" s="583"/>
      <c r="G6" s="583"/>
      <c r="H6" s="583"/>
      <c r="I6" s="583"/>
      <c r="J6" s="583"/>
      <c r="K6" s="583"/>
      <c r="L6" s="583"/>
      <c r="M6" s="583"/>
      <c r="N6" s="583"/>
      <c r="O6" s="272"/>
      <c r="P6" s="272"/>
      <c r="Q6" s="272"/>
      <c r="R6" s="272"/>
      <c r="S6" s="272"/>
      <c r="T6" s="272"/>
      <c r="U6" s="272"/>
      <c r="V6" s="272"/>
      <c r="W6" s="272"/>
      <c r="X6" s="272"/>
      <c r="Y6" s="272"/>
      <c r="Z6" s="272"/>
      <c r="AA6" s="272"/>
      <c r="AB6" s="272"/>
      <c r="AC6" s="272"/>
      <c r="AD6" s="22"/>
      <c r="AE6" s="22"/>
      <c r="AF6" s="22"/>
      <c r="AG6" s="22"/>
      <c r="AH6" s="22"/>
      <c r="AI6" s="22"/>
      <c r="AJ6" s="22"/>
      <c r="AK6" s="22"/>
      <c r="AL6" s="22"/>
      <c r="AM6" s="22"/>
      <c r="AN6" s="22"/>
    </row>
    <row r="7" spans="1:40" ht="27" customHeight="1" thickBot="1" x14ac:dyDescent="1.1000000000000001">
      <c r="A7" s="583"/>
      <c r="B7" s="583"/>
      <c r="C7" s="583"/>
      <c r="D7" s="583"/>
      <c r="E7" s="583"/>
      <c r="F7" s="583"/>
      <c r="G7" s="583"/>
      <c r="H7" s="583"/>
      <c r="I7" s="583"/>
      <c r="J7" s="583"/>
      <c r="K7" s="583"/>
      <c r="L7" s="583"/>
      <c r="M7" s="583"/>
      <c r="N7" s="583"/>
      <c r="O7" s="272"/>
      <c r="P7" s="272"/>
      <c r="Q7" s="272"/>
      <c r="R7" s="272"/>
      <c r="S7" s="272"/>
      <c r="T7" s="272"/>
      <c r="U7" s="272"/>
      <c r="V7" s="272"/>
      <c r="W7" s="272"/>
      <c r="X7" s="272"/>
      <c r="Y7" s="272"/>
      <c r="Z7" s="272"/>
      <c r="AA7" s="272"/>
      <c r="AB7" s="272"/>
      <c r="AC7" s="272"/>
      <c r="AD7" s="22"/>
      <c r="AE7" s="302"/>
      <c r="AF7" s="302"/>
      <c r="AG7" s="302"/>
      <c r="AH7" s="302"/>
      <c r="AI7" s="302"/>
      <c r="AJ7" s="302"/>
      <c r="AK7" s="302"/>
      <c r="AL7" s="302"/>
      <c r="AM7" s="302"/>
      <c r="AN7" s="302"/>
    </row>
    <row r="8" spans="1:40" ht="31.95" customHeight="1" thickBot="1" x14ac:dyDescent="0.65">
      <c r="A8" s="549" t="s">
        <v>93</v>
      </c>
      <c r="B8" s="550"/>
      <c r="C8" s="550"/>
      <c r="D8" s="550"/>
      <c r="E8" s="550"/>
      <c r="F8" s="550"/>
      <c r="G8" s="550"/>
      <c r="H8" s="550"/>
      <c r="I8" s="550"/>
      <c r="J8" s="550"/>
      <c r="K8" s="550"/>
      <c r="L8" s="550"/>
      <c r="M8" s="550"/>
      <c r="N8" s="551"/>
      <c r="O8" s="303"/>
      <c r="P8" s="549" t="s">
        <v>134</v>
      </c>
      <c r="Q8" s="550"/>
      <c r="R8" s="550"/>
      <c r="S8" s="550"/>
      <c r="T8" s="550"/>
      <c r="U8" s="550"/>
      <c r="V8" s="550"/>
      <c r="W8" s="550"/>
      <c r="X8" s="550"/>
      <c r="Y8" s="550"/>
      <c r="Z8" s="550"/>
      <c r="AA8" s="550"/>
      <c r="AB8" s="551"/>
      <c r="AC8" s="303"/>
      <c r="AD8" s="627" t="s">
        <v>1907</v>
      </c>
      <c r="AE8" s="627"/>
      <c r="AF8" s="627"/>
      <c r="AG8" s="627"/>
      <c r="AH8" s="627"/>
      <c r="AI8" s="627"/>
      <c r="AJ8" s="627"/>
      <c r="AK8" s="627"/>
      <c r="AL8" s="627"/>
      <c r="AM8" s="627"/>
      <c r="AN8" s="627"/>
    </row>
    <row r="9" spans="1:40" ht="27" customHeight="1" thickBot="1" x14ac:dyDescent="0.65">
      <c r="A9" s="543" t="s">
        <v>94</v>
      </c>
      <c r="B9" s="544"/>
      <c r="C9" s="544"/>
      <c r="D9" s="544"/>
      <c r="E9" s="544"/>
      <c r="F9" s="544"/>
      <c r="G9" s="544"/>
      <c r="H9" s="544"/>
      <c r="I9" s="545" t="s">
        <v>135</v>
      </c>
      <c r="J9" s="546"/>
      <c r="K9" s="546"/>
      <c r="L9" s="545" t="s">
        <v>136</v>
      </c>
      <c r="M9" s="546"/>
      <c r="N9" s="547"/>
      <c r="O9" s="303"/>
      <c r="P9" s="614" t="s">
        <v>93</v>
      </c>
      <c r="Q9" s="615"/>
      <c r="R9" s="615"/>
      <c r="S9" s="615"/>
      <c r="T9" s="615"/>
      <c r="U9" s="615"/>
      <c r="V9" s="615"/>
      <c r="W9" s="616" t="s">
        <v>137</v>
      </c>
      <c r="X9" s="617"/>
      <c r="Y9" s="617"/>
      <c r="Z9" s="616" t="s">
        <v>138</v>
      </c>
      <c r="AA9" s="617"/>
      <c r="AB9" s="618"/>
      <c r="AC9" s="303"/>
      <c r="AD9" s="627"/>
      <c r="AE9" s="627"/>
      <c r="AF9" s="627"/>
      <c r="AG9" s="627"/>
      <c r="AH9" s="627"/>
      <c r="AI9" s="627"/>
      <c r="AJ9" s="627"/>
      <c r="AK9" s="627"/>
      <c r="AL9" s="627"/>
      <c r="AM9" s="627"/>
      <c r="AN9" s="627"/>
    </row>
    <row r="10" spans="1:40" ht="27" customHeight="1" x14ac:dyDescent="0.6">
      <c r="A10" s="522" t="s">
        <v>97</v>
      </c>
      <c r="B10" s="523"/>
      <c r="C10" s="523"/>
      <c r="D10" s="523"/>
      <c r="E10" s="523"/>
      <c r="F10" s="523"/>
      <c r="G10" s="523"/>
      <c r="H10" s="524"/>
      <c r="I10" s="518">
        <f>SUMIFS(Input[St. Ap. E &amp; G], Input[System],$P$2)
+SUMIFS(Input[St. Ap. Desg], Input[System],$P$2)
+SUMIFS(Input[St. Ap. Aux], Input[System],$P$2)
+SUMIFS(Input[St. Ap. R Exp], Input[System],$P$2)
+SUMIFS(Input[St. Ap. Loan], Input[System],$P$2)
+SUMIFS(Input[St. Ap. Annuity], Input[System],$P$2)
+SUMIFS(Input[St. Ap. Unexp], Input[System],$P$2)
+SUMIFS(Input[St. Ap. R of Ind], Input[System],$P$2)
+SUMIFS(Input[St. Ap. Inv in P], Input[System],$P$2)</f>
        <v>0</v>
      </c>
      <c r="J10" s="518"/>
      <c r="K10" s="518"/>
      <c r="L10" s="529">
        <f>IFERROR(ROUND(I10/P$1,0),0)</f>
        <v>0</v>
      </c>
      <c r="M10" s="529"/>
      <c r="N10" s="530"/>
      <c r="O10" s="303"/>
      <c r="P10" s="584" t="s">
        <v>94</v>
      </c>
      <c r="Q10" s="585"/>
      <c r="R10" s="585"/>
      <c r="S10" s="585"/>
      <c r="T10" s="585"/>
      <c r="U10" s="585"/>
      <c r="V10" s="586"/>
      <c r="W10" s="448">
        <f>I14</f>
        <v>0</v>
      </c>
      <c r="X10" s="448"/>
      <c r="Y10" s="448"/>
      <c r="Z10" s="587">
        <f>IFERROR(W10/$W$14,0)</f>
        <v>0</v>
      </c>
      <c r="AA10" s="587"/>
      <c r="AB10" s="588"/>
      <c r="AC10" s="303"/>
      <c r="AD10" s="624" t="str" cm="1">
        <f t="array" ref="AD10">_xlfn.TEXTJOIN(CHAR(10), TRUE, IF(Input[System]=P2, "▸ "&amp;Input[Institution Name], ""))</f>
        <v/>
      </c>
      <c r="AE10" s="624"/>
      <c r="AF10" s="624"/>
      <c r="AG10" s="624"/>
      <c r="AH10" s="624"/>
      <c r="AI10" s="624"/>
      <c r="AJ10" s="624"/>
      <c r="AK10" s="624"/>
      <c r="AL10" s="624"/>
      <c r="AM10" s="624"/>
      <c r="AN10" s="624"/>
    </row>
    <row r="11" spans="1:40" ht="27" customHeight="1" x14ac:dyDescent="0.6">
      <c r="A11" s="525" t="s">
        <v>847</v>
      </c>
      <c r="B11" s="434"/>
      <c r="C11" s="434"/>
      <c r="D11" s="434"/>
      <c r="E11" s="434"/>
      <c r="F11" s="434"/>
      <c r="G11" s="434"/>
      <c r="H11" s="435"/>
      <c r="I11" s="519">
        <f>SUMIFS(Input[St. C&amp;G E&amp;G], Input[System],$P$2)+SUMIFS(Input[St. C&amp;G Desg], Input[System],$P$2)+SUMIFS(Input[St. C&amp;G Aux], Input[System],$P$2)+SUMIFS(Input[St. C&amp;G R Exp], Input[System],$P$2)+SUMIFS(Input[St. C&amp;G Loan], Input[System],$P$2)+SUMIFS(Input[St. C&amp;G Annuity], Input[System],$P$2)+SUMIFS(Input[St. C&amp;G Unexp], Input[System],$P$2)+SUMIFS(Input[St. C&amp;G R of Ind], Input[System],$P$2)+SUMIFS(Input[St. C&amp;G Inv in P], Input[System],$P$2)</f>
        <v>0</v>
      </c>
      <c r="J11" s="519"/>
      <c r="K11" s="519"/>
      <c r="L11" s="432">
        <f t="shared" ref="L11:L14" si="0">IFERROR(ROUND(I11/P$1,0),0)</f>
        <v>0</v>
      </c>
      <c r="M11" s="432"/>
      <c r="N11" s="536"/>
      <c r="O11" s="303"/>
      <c r="P11" s="557" t="s">
        <v>100</v>
      </c>
      <c r="Q11" s="558"/>
      <c r="R11" s="558"/>
      <c r="S11" s="558"/>
      <c r="T11" s="558"/>
      <c r="U11" s="558"/>
      <c r="V11" s="559"/>
      <c r="W11" s="431">
        <f>I47</f>
        <v>0</v>
      </c>
      <c r="X11" s="431"/>
      <c r="Y11" s="431"/>
      <c r="Z11" s="560">
        <f>IFERROR(W11/$W$14,0)</f>
        <v>0</v>
      </c>
      <c r="AA11" s="560"/>
      <c r="AB11" s="561"/>
      <c r="AC11" s="303"/>
      <c r="AD11" s="624"/>
      <c r="AE11" s="624"/>
      <c r="AF11" s="624"/>
      <c r="AG11" s="624"/>
      <c r="AH11" s="624"/>
      <c r="AI11" s="624"/>
      <c r="AJ11" s="624"/>
      <c r="AK11" s="624"/>
      <c r="AL11" s="624"/>
      <c r="AM11" s="624"/>
      <c r="AN11" s="624"/>
    </row>
    <row r="12" spans="1:40" ht="27" customHeight="1" x14ac:dyDescent="0.6">
      <c r="A12" s="525" t="s">
        <v>98</v>
      </c>
      <c r="B12" s="434"/>
      <c r="C12" s="434"/>
      <c r="D12" s="434"/>
      <c r="E12" s="434"/>
      <c r="F12" s="434"/>
      <c r="G12" s="434"/>
      <c r="H12" s="435"/>
      <c r="I12" s="519">
        <f>SUMIFS(Input[HEF E&amp;G], Input[System],$P$2)+SUMIFS(Input[HEF Desg], Input[System],$P$2)+SUMIFS(Input[HEF Aux], Input[System],$P$2)+SUMIFS(Input[HEF R Exp], Input[System],$P$2)+SUMIFS(Input[HEF Loan], Input[System],$P$2)+SUMIFS(Input[HEF Annuity], Input[System],$P$2)+SUMIFS(Input[HEF Unexp], Input[System],$P$2)+SUMIFS(Input[HEF R of Ind], Input[System],$P$2)+SUMIFS(Input[HEF Inv in P], Input[System],$P$2)</f>
        <v>0</v>
      </c>
      <c r="J12" s="519"/>
      <c r="K12" s="519"/>
      <c r="L12" s="432">
        <f t="shared" si="0"/>
        <v>0</v>
      </c>
      <c r="M12" s="432"/>
      <c r="N12" s="536"/>
      <c r="O12" s="303"/>
      <c r="P12" s="557" t="s">
        <v>727</v>
      </c>
      <c r="Q12" s="558"/>
      <c r="R12" s="558"/>
      <c r="S12" s="558"/>
      <c r="T12" s="558"/>
      <c r="U12" s="558"/>
      <c r="V12" s="559"/>
      <c r="W12" s="431">
        <f>I50</f>
        <v>0</v>
      </c>
      <c r="X12" s="431"/>
      <c r="Y12" s="431"/>
      <c r="Z12" s="560">
        <f>IFERROR(W12/$W$14,0)</f>
        <v>0</v>
      </c>
      <c r="AA12" s="560"/>
      <c r="AB12" s="561"/>
      <c r="AC12" s="303"/>
      <c r="AD12" s="624"/>
      <c r="AE12" s="624"/>
      <c r="AF12" s="624"/>
      <c r="AG12" s="624"/>
      <c r="AH12" s="624"/>
      <c r="AI12" s="624"/>
      <c r="AJ12" s="624"/>
      <c r="AK12" s="624"/>
      <c r="AL12" s="624"/>
      <c r="AM12" s="624"/>
      <c r="AN12" s="624"/>
    </row>
    <row r="13" spans="1:40" ht="27" customHeight="1" thickBot="1" x14ac:dyDescent="0.65">
      <c r="A13" s="548" t="s">
        <v>139</v>
      </c>
      <c r="B13" s="490"/>
      <c r="C13" s="490"/>
      <c r="D13" s="490"/>
      <c r="E13" s="490"/>
      <c r="F13" s="490"/>
      <c r="G13" s="490"/>
      <c r="H13" s="491"/>
      <c r="I13" s="520">
        <f>SUMIFS(Input[Available E&amp;G], Input[System],$P$2)+SUMIFS(Input[Available Desg], Input[System],$P$2)+SUMIFS(Input[Available Aux], Input[System],$P$2)+SUMIFS(Input[Available R Exp], Input[System],$P$2)+SUMIFS(Input[Available Loan], Input[System],$P$2)+SUMIFS(Input[Available Annuity], Input[System],$P$2)+SUMIFS(Input[Available Unexp], Input[System],$P$2)+SUMIFS(Input[Available R of Ind], Input[System],$P$2)+SUMIFS(Input[Available Inv in P], Input[System],$P$2)</f>
        <v>0</v>
      </c>
      <c r="J13" s="520"/>
      <c r="K13" s="520"/>
      <c r="L13" s="534">
        <f t="shared" si="0"/>
        <v>0</v>
      </c>
      <c r="M13" s="534"/>
      <c r="N13" s="535"/>
      <c r="O13" s="303"/>
      <c r="P13" s="562" t="s">
        <v>170</v>
      </c>
      <c r="Q13" s="563"/>
      <c r="R13" s="563"/>
      <c r="S13" s="563"/>
      <c r="T13" s="563"/>
      <c r="U13" s="563"/>
      <c r="V13" s="564"/>
      <c r="W13" s="431">
        <f>SUM(I53,I56,I65)</f>
        <v>0</v>
      </c>
      <c r="X13" s="431"/>
      <c r="Y13" s="431"/>
      <c r="Z13" s="560">
        <f>IFERROR(W13/$W$14,0)</f>
        <v>0</v>
      </c>
      <c r="AA13" s="560"/>
      <c r="AB13" s="561"/>
      <c r="AC13" s="303"/>
      <c r="AD13" s="624"/>
      <c r="AE13" s="624"/>
      <c r="AF13" s="624"/>
      <c r="AG13" s="624"/>
      <c r="AH13" s="624"/>
      <c r="AI13" s="624"/>
      <c r="AJ13" s="624"/>
      <c r="AK13" s="624"/>
      <c r="AL13" s="624"/>
      <c r="AM13" s="624"/>
      <c r="AN13" s="624"/>
    </row>
    <row r="14" spans="1:40" ht="27" customHeight="1" thickBot="1" x14ac:dyDescent="0.65">
      <c r="A14" s="509" t="s">
        <v>99</v>
      </c>
      <c r="B14" s="510"/>
      <c r="C14" s="510"/>
      <c r="D14" s="510"/>
      <c r="E14" s="510"/>
      <c r="F14" s="510"/>
      <c r="G14" s="510"/>
      <c r="H14" s="510"/>
      <c r="I14" s="521">
        <f>SUM(I10:I13)</f>
        <v>0</v>
      </c>
      <c r="J14" s="521"/>
      <c r="K14" s="521"/>
      <c r="L14" s="516">
        <f t="shared" si="0"/>
        <v>0</v>
      </c>
      <c r="M14" s="516"/>
      <c r="N14" s="517"/>
      <c r="O14" s="303"/>
      <c r="P14" s="552"/>
      <c r="Q14" s="553"/>
      <c r="R14" s="553"/>
      <c r="S14" s="553"/>
      <c r="T14" s="553"/>
      <c r="U14" s="553"/>
      <c r="V14" s="553"/>
      <c r="W14" s="554">
        <f>SUM(W10:W13)</f>
        <v>0</v>
      </c>
      <c r="X14" s="554"/>
      <c r="Y14" s="554"/>
      <c r="Z14" s="555">
        <f>SUM(Z10:Z13)</f>
        <v>0</v>
      </c>
      <c r="AA14" s="555"/>
      <c r="AB14" s="556"/>
      <c r="AC14" s="303"/>
      <c r="AD14" s="624"/>
      <c r="AE14" s="624"/>
      <c r="AF14" s="624"/>
      <c r="AG14" s="624"/>
      <c r="AH14" s="624"/>
      <c r="AI14" s="624"/>
      <c r="AJ14" s="624"/>
      <c r="AK14" s="624"/>
      <c r="AL14" s="624"/>
      <c r="AM14" s="624"/>
      <c r="AN14" s="624"/>
    </row>
    <row r="15" spans="1:40" ht="27" customHeight="1" thickBot="1" x14ac:dyDescent="0.65">
      <c r="A15" s="274"/>
      <c r="B15" s="275"/>
      <c r="C15" s="275"/>
      <c r="D15" s="275"/>
      <c r="E15" s="275"/>
      <c r="F15" s="275"/>
      <c r="G15" s="275"/>
      <c r="H15" s="275"/>
      <c r="I15" s="275"/>
      <c r="J15" s="275"/>
      <c r="K15" s="275"/>
      <c r="L15" s="276"/>
      <c r="M15" s="22"/>
      <c r="N15" s="22"/>
      <c r="O15" s="303"/>
      <c r="P15" s="303"/>
      <c r="Q15" s="303"/>
      <c r="R15" s="303"/>
      <c r="S15" s="303"/>
      <c r="T15" s="303"/>
      <c r="U15" s="303"/>
      <c r="V15" s="303"/>
      <c r="W15" s="303"/>
      <c r="X15" s="303"/>
      <c r="Y15" s="303"/>
      <c r="Z15" s="303"/>
      <c r="AA15" s="303"/>
      <c r="AB15" s="303"/>
      <c r="AC15" s="303"/>
      <c r="AD15" s="624"/>
      <c r="AE15" s="624"/>
      <c r="AF15" s="624"/>
      <c r="AG15" s="624"/>
      <c r="AH15" s="624"/>
      <c r="AI15" s="624"/>
      <c r="AJ15" s="624"/>
      <c r="AK15" s="624"/>
      <c r="AL15" s="624"/>
      <c r="AM15" s="624"/>
      <c r="AN15" s="624"/>
    </row>
    <row r="16" spans="1:40" ht="27" customHeight="1" thickBot="1" x14ac:dyDescent="0.65">
      <c r="A16" s="543" t="s">
        <v>100</v>
      </c>
      <c r="B16" s="544"/>
      <c r="C16" s="544"/>
      <c r="D16" s="544"/>
      <c r="E16" s="544"/>
      <c r="F16" s="544"/>
      <c r="G16" s="544"/>
      <c r="H16" s="544"/>
      <c r="I16" s="545" t="s">
        <v>135</v>
      </c>
      <c r="J16" s="546"/>
      <c r="K16" s="546"/>
      <c r="L16" s="545" t="s">
        <v>136</v>
      </c>
      <c r="M16" s="546"/>
      <c r="N16" s="547"/>
      <c r="O16" s="303"/>
      <c r="P16" s="303"/>
      <c r="Q16" s="303"/>
      <c r="R16" s="303"/>
      <c r="S16" s="303"/>
      <c r="T16" s="303"/>
      <c r="U16" s="303"/>
      <c r="V16" s="303"/>
      <c r="W16" s="303"/>
      <c r="X16" s="303"/>
      <c r="Y16" s="303"/>
      <c r="Z16" s="303"/>
      <c r="AA16" s="303"/>
      <c r="AB16" s="303"/>
      <c r="AC16" s="303"/>
      <c r="AD16" s="624"/>
      <c r="AE16" s="624"/>
      <c r="AF16" s="624"/>
      <c r="AG16" s="624"/>
      <c r="AH16" s="624"/>
      <c r="AI16" s="624"/>
      <c r="AJ16" s="624"/>
      <c r="AK16" s="624"/>
      <c r="AL16" s="624"/>
      <c r="AM16" s="624"/>
      <c r="AN16" s="624"/>
    </row>
    <row r="17" spans="1:40" s="29" customFormat="1" ht="27" customHeight="1" thickBot="1" x14ac:dyDescent="0.65">
      <c r="A17" s="511" t="s">
        <v>101</v>
      </c>
      <c r="B17" s="512"/>
      <c r="C17" s="512"/>
      <c r="D17" s="512"/>
      <c r="E17" s="512"/>
      <c r="F17" s="512"/>
      <c r="G17" s="512"/>
      <c r="H17" s="512"/>
      <c r="I17" s="516" cm="1">
        <f t="array" ref="I17">SUM(I23,-I19:J22)</f>
        <v>0</v>
      </c>
      <c r="J17" s="516"/>
      <c r="K17" s="516"/>
      <c r="L17" s="516">
        <f t="shared" ref="L17" si="1">IFERROR(ROUND(I17/P$1,0),0)</f>
        <v>0</v>
      </c>
      <c r="M17" s="516"/>
      <c r="N17" s="517"/>
      <c r="O17" s="303"/>
      <c r="P17" s="303"/>
      <c r="Q17" s="303"/>
      <c r="R17" s="303"/>
      <c r="S17" s="303"/>
      <c r="T17" s="303"/>
      <c r="U17" s="303"/>
      <c r="V17" s="303"/>
      <c r="W17" s="303"/>
      <c r="X17" s="303"/>
      <c r="Y17" s="303"/>
      <c r="Z17" s="303"/>
      <c r="AA17" s="303"/>
      <c r="AB17" s="303"/>
      <c r="AC17" s="303"/>
      <c r="AD17" s="624"/>
      <c r="AE17" s="624"/>
      <c r="AF17" s="624"/>
      <c r="AG17" s="624"/>
      <c r="AH17" s="624"/>
      <c r="AI17" s="624"/>
      <c r="AJ17" s="624"/>
      <c r="AK17" s="624"/>
      <c r="AL17" s="624"/>
      <c r="AM17" s="624"/>
      <c r="AN17" s="624"/>
    </row>
    <row r="18" spans="1:40" ht="27" customHeight="1" thickBot="1" x14ac:dyDescent="0.65">
      <c r="A18" s="513" t="s">
        <v>1845</v>
      </c>
      <c r="B18" s="514"/>
      <c r="C18" s="514"/>
      <c r="D18" s="514"/>
      <c r="E18" s="514"/>
      <c r="F18" s="514"/>
      <c r="G18" s="514"/>
      <c r="H18" s="514"/>
      <c r="I18" s="514"/>
      <c r="J18" s="514"/>
      <c r="K18" s="514"/>
      <c r="L18" s="514"/>
      <c r="M18" s="514"/>
      <c r="N18" s="515"/>
      <c r="O18" s="303"/>
      <c r="P18" s="303"/>
      <c r="Q18" s="303"/>
      <c r="R18" s="303"/>
      <c r="S18" s="303"/>
      <c r="T18" s="303"/>
      <c r="U18" s="303"/>
      <c r="V18" s="303"/>
      <c r="W18" s="303"/>
      <c r="X18" s="303"/>
      <c r="Y18" s="303"/>
      <c r="Z18" s="303"/>
      <c r="AA18" s="303"/>
      <c r="AB18" s="303"/>
      <c r="AC18" s="303"/>
      <c r="AD18" s="624"/>
      <c r="AE18" s="624"/>
      <c r="AF18" s="624"/>
      <c r="AG18" s="624"/>
      <c r="AH18" s="624"/>
      <c r="AI18" s="624"/>
      <c r="AJ18" s="624"/>
      <c r="AK18" s="624"/>
      <c r="AL18" s="624"/>
      <c r="AM18" s="624"/>
      <c r="AN18" s="624"/>
    </row>
    <row r="19" spans="1:40" ht="27" customHeight="1" x14ac:dyDescent="0.6">
      <c r="A19" s="522" t="s">
        <v>102</v>
      </c>
      <c r="B19" s="523"/>
      <c r="C19" s="523"/>
      <c r="D19" s="523"/>
      <c r="E19" s="523"/>
      <c r="F19" s="523"/>
      <c r="G19" s="523"/>
      <c r="H19" s="524"/>
      <c r="I19" s="518">
        <f>SUMIFS(Input[T. W. - Stat (NR AFR) E&amp;G], Input[System],$P$2)+SUMIFS(Input[T. W. - Stat (NR AFR) Desg], Input[System],$P$2)+SUMIFS(Input[T. W. - Stat (NR AFR) Aux], Input[System],$P$2)+SUMIFS(Input[T. W. - Stat (NR AFR) R Exp], Input[System],$P$2)+SUMIFS(Input[T. W. - Stat (NR AFR) Loan], Input[System],$P$2)+SUMIFS(Input[T. W. - Stat (NR AFR) Annuity], Input[System],$P$2)+SUMIFS(Input[T. W. - Stat (NR AFR) Unexp], Input[System],$P$2)+SUMIFS(Input[T. W. - Stat (NR AFR) R of Ind], Input[System],$P$2)+SUMIFS(Input[T. W. - Stat (NR AFR) Inv in P], Input[System],$P$2)</f>
        <v>0</v>
      </c>
      <c r="J19" s="518"/>
      <c r="K19" s="518"/>
      <c r="L19" s="529">
        <f t="shared" ref="L19:L23" si="2">IFERROR(ROUND(I19/P$1,0),0)</f>
        <v>0</v>
      </c>
      <c r="M19" s="529"/>
      <c r="N19" s="530"/>
      <c r="O19" s="303"/>
      <c r="P19" s="303"/>
      <c r="Q19" s="303"/>
      <c r="R19" s="303"/>
      <c r="S19" s="303"/>
      <c r="T19" s="303"/>
      <c r="U19" s="303"/>
      <c r="V19" s="303"/>
      <c r="W19" s="303"/>
      <c r="X19" s="303"/>
      <c r="Y19" s="303"/>
      <c r="Z19" s="303"/>
      <c r="AA19" s="303"/>
      <c r="AB19" s="303"/>
      <c r="AC19" s="303"/>
      <c r="AD19" s="624"/>
      <c r="AE19" s="624"/>
      <c r="AF19" s="624"/>
      <c r="AG19" s="624"/>
      <c r="AH19" s="624"/>
      <c r="AI19" s="624"/>
      <c r="AJ19" s="624"/>
      <c r="AK19" s="624"/>
      <c r="AL19" s="624"/>
      <c r="AM19" s="624"/>
      <c r="AN19" s="624"/>
    </row>
    <row r="20" spans="1:40" ht="27" customHeight="1" x14ac:dyDescent="0.6">
      <c r="A20" s="525" t="s">
        <v>103</v>
      </c>
      <c r="B20" s="434"/>
      <c r="C20" s="434"/>
      <c r="D20" s="434"/>
      <c r="E20" s="434"/>
      <c r="F20" s="434"/>
      <c r="G20" s="434"/>
      <c r="H20" s="435"/>
      <c r="I20" s="519">
        <f>SUMIFS(Input[T. W. - Inst. (NR AFR) E&amp;G], Input[System],$P$2)+SUMIFS(Input[T. W. - Inst. (NR AFR) Desg], Input[System],$P$2)+SUMIFS(Input[T. W. - Inst. (NR AFR) Aux], Input[System],$P$2)+SUMIFS(Input[T. W. - Inst. (NR AFR) R Exp], Input[System],$P$2)+SUMIFS(Input[T. W. - Inst. (NR AFR) Loan], Input[System],$P$2)+SUMIFS(Input[T. W. - Inst. (NR AFR) Annuity], Input[System],$P$2)+SUMIFS(Input[T. W. - Inst. (NR AFR) Unexp], Input[System],$P$2)+SUMIFS(Input[T. W. - Inst. (NR AFR) R of Ind], Input[System],$P$2)+SUMIFS(Input[T. W. - Inst. (NR AFR) Inv in P], Input[System],$P$2)</f>
        <v>0</v>
      </c>
      <c r="J20" s="519"/>
      <c r="K20" s="519"/>
      <c r="L20" s="432">
        <f t="shared" si="2"/>
        <v>0</v>
      </c>
      <c r="M20" s="432"/>
      <c r="N20" s="536"/>
      <c r="O20" s="303"/>
      <c r="P20" s="303"/>
      <c r="Q20" s="303"/>
      <c r="R20" s="303"/>
      <c r="S20" s="303"/>
      <c r="T20" s="303"/>
      <c r="U20" s="303"/>
      <c r="V20" s="303"/>
      <c r="W20" s="303"/>
      <c r="X20" s="303"/>
      <c r="Y20" s="303"/>
      <c r="Z20" s="303"/>
      <c r="AA20" s="303"/>
      <c r="AB20" s="303"/>
      <c r="AC20" s="303"/>
      <c r="AD20" s="624"/>
      <c r="AE20" s="624"/>
      <c r="AF20" s="624"/>
      <c r="AG20" s="624"/>
      <c r="AH20" s="624"/>
      <c r="AI20" s="624"/>
      <c r="AJ20" s="624"/>
      <c r="AK20" s="624"/>
      <c r="AL20" s="624"/>
      <c r="AM20" s="624"/>
      <c r="AN20" s="624"/>
    </row>
    <row r="21" spans="1:40" ht="27" customHeight="1" x14ac:dyDescent="0.6">
      <c r="A21" s="525" t="s">
        <v>104</v>
      </c>
      <c r="B21" s="434"/>
      <c r="C21" s="434"/>
      <c r="D21" s="434"/>
      <c r="E21" s="434"/>
      <c r="F21" s="434"/>
      <c r="G21" s="434"/>
      <c r="H21" s="435"/>
      <c r="I21" s="519">
        <f>SUMIFS(Input[T. Exp. - Stat (NR AFR) E&amp;G], Input[System],$P$2)+SUMIFS(Input[T. Exp. - Stat (NR AFR) Desg], Input[System],$P$2)+SUMIFS(Input[T. Exp. - Stat (NR AFR) Aux], Input[System],$P$2)+SUMIFS(Input[T. Exp. - Stat (NR AFR) R Exp], Input[System],$P$2)+SUMIFS(Input[T. Exp. - Stat (NR AFR) Loan], Input[System],$P$2)+SUMIFS(Input[T. Exp. - Stat (NR AFR) Annuity], Input[System],$P$2)+SUMIFS(Input[T. Exp. - Stat (NR AFR) Unexp], Input[System],$P$2)+SUMIFS(Input[T. Exp. - Stat (NR AFR) R of Ind], Input[System],$P$2)+SUMIFS(Input[T. Exp. - Stat (NR AFR) Inv in P], Input[System],$P$2)</f>
        <v>0</v>
      </c>
      <c r="J21" s="519"/>
      <c r="K21" s="519"/>
      <c r="L21" s="432">
        <f t="shared" si="2"/>
        <v>0</v>
      </c>
      <c r="M21" s="432"/>
      <c r="N21" s="536"/>
      <c r="O21" s="303"/>
      <c r="P21" s="303"/>
      <c r="Q21" s="303"/>
      <c r="R21" s="303"/>
      <c r="S21" s="303"/>
      <c r="T21" s="303"/>
      <c r="U21" s="303"/>
      <c r="V21" s="303"/>
      <c r="W21" s="303"/>
      <c r="X21" s="303"/>
      <c r="Y21" s="303"/>
      <c r="Z21" s="303"/>
      <c r="AA21" s="303"/>
      <c r="AB21" s="303"/>
      <c r="AC21" s="303"/>
      <c r="AD21" s="624"/>
      <c r="AE21" s="624"/>
      <c r="AF21" s="624"/>
      <c r="AG21" s="624"/>
      <c r="AH21" s="624"/>
      <c r="AI21" s="624"/>
      <c r="AJ21" s="624"/>
      <c r="AK21" s="624"/>
      <c r="AL21" s="624"/>
      <c r="AM21" s="624"/>
      <c r="AN21" s="624"/>
    </row>
    <row r="22" spans="1:40" ht="27" customHeight="1" thickBot="1" x14ac:dyDescent="0.65">
      <c r="A22" s="531" t="s">
        <v>105</v>
      </c>
      <c r="B22" s="532"/>
      <c r="C22" s="532"/>
      <c r="D22" s="532"/>
      <c r="E22" s="532"/>
      <c r="F22" s="532"/>
      <c r="G22" s="532"/>
      <c r="H22" s="533"/>
      <c r="I22" s="520">
        <f>SUMIFS(Input[T. Exp. - Inst. (NR AFR) E&amp;G], Input[System],$P$2)+SUMIFS(Input[T. Exp. - Inst. (NR AFR) Desg], Input[System],$P$2)+SUMIFS(Input[T. Exp. - Inst. (NR AFR) Aux], Input[System],$P$2)+SUMIFS(Input[T. Exp. - Inst. (NR AFR) R Exp], Input[System],$P$2)+SUMIFS(Input[T. Exp. - Inst. (NR AFR) Loan], Input[System],$P$2)+SUMIFS(Input[T. Exp. - Inst. (NR AFR) Annuity], Input[System],$P$2)+SUMIFS(Input[T. Exp. - Inst. (NR AFR) Unexp], Input[System],$P$2)+SUMIFS(Input[T. Exp. - Inst. (NR AFR) R of Ind], Input[System],$P$2)+SUMIFS(Input[T. Exp. - Inst. (NR AFR) Inv in P], Input[System],$P$2)</f>
        <v>0</v>
      </c>
      <c r="J22" s="520"/>
      <c r="K22" s="520"/>
      <c r="L22" s="534">
        <f t="shared" si="2"/>
        <v>0</v>
      </c>
      <c r="M22" s="534"/>
      <c r="N22" s="535"/>
      <c r="O22" s="303"/>
      <c r="P22" s="303"/>
      <c r="Q22" s="303"/>
      <c r="R22" s="303"/>
      <c r="S22" s="303"/>
      <c r="T22" s="303"/>
      <c r="U22" s="303"/>
      <c r="V22" s="303"/>
      <c r="W22" s="303"/>
      <c r="X22" s="303"/>
      <c r="Y22" s="303"/>
      <c r="Z22" s="303"/>
      <c r="AA22" s="303"/>
      <c r="AB22" s="303"/>
      <c r="AC22" s="303"/>
      <c r="AD22" s="624"/>
      <c r="AE22" s="624"/>
      <c r="AF22" s="624"/>
      <c r="AG22" s="624"/>
      <c r="AH22" s="624"/>
      <c r="AI22" s="624"/>
      <c r="AJ22" s="624"/>
      <c r="AK22" s="624"/>
      <c r="AL22" s="624"/>
      <c r="AM22" s="624"/>
      <c r="AN22" s="624"/>
    </row>
    <row r="23" spans="1:40" ht="27" customHeight="1" thickBot="1" x14ac:dyDescent="0.65">
      <c r="A23" s="526" t="s">
        <v>848</v>
      </c>
      <c r="B23" s="527"/>
      <c r="C23" s="527"/>
      <c r="D23" s="527"/>
      <c r="E23" s="527"/>
      <c r="F23" s="527"/>
      <c r="G23" s="527"/>
      <c r="H23" s="528"/>
      <c r="I23" s="516">
        <f>SUMIFS(Input[T. - Gross E&amp;G], Input[System],$P$2)+SUMIFS(Input[T. - Gross Desg], Input[System],$P$2)+SUMIFS(Input[T. - Gross Aux], Input[System],$P$2)+SUMIFS(Input[T. - Gross R Exp], Input[System],$P$2)+SUMIFS(Input[T. - Gross Loan], Input[System],$P$2)+SUMIFS(Input[T. - Gross Annuity], Input[System],$P$2)+SUMIFS(Input[T. - Gross Unexp], Input[System],$P$2)+SUMIFS(Input[T. - Gross R of Ind], Input[System],$P$2)+SUMIFS(Input[T. - Gross Inv in P], Input[System],$P$2)</f>
        <v>0</v>
      </c>
      <c r="J23" s="516"/>
      <c r="K23" s="516"/>
      <c r="L23" s="516">
        <f t="shared" si="2"/>
        <v>0</v>
      </c>
      <c r="M23" s="516"/>
      <c r="N23" s="517"/>
      <c r="O23" s="303"/>
      <c r="P23" s="303"/>
      <c r="Q23" s="303"/>
      <c r="R23" s="303"/>
      <c r="S23" s="303"/>
      <c r="T23" s="303"/>
      <c r="U23" s="303"/>
      <c r="V23" s="303"/>
      <c r="W23" s="303"/>
      <c r="X23" s="303"/>
      <c r="Y23" s="303"/>
      <c r="Z23" s="303"/>
      <c r="AA23" s="303"/>
      <c r="AB23" s="303"/>
      <c r="AC23" s="303"/>
      <c r="AD23" s="624"/>
      <c r="AE23" s="624"/>
      <c r="AF23" s="624"/>
      <c r="AG23" s="624"/>
      <c r="AH23" s="624"/>
      <c r="AI23" s="624"/>
      <c r="AJ23" s="624"/>
      <c r="AK23" s="624"/>
      <c r="AL23" s="624"/>
      <c r="AM23" s="624"/>
      <c r="AN23" s="624"/>
    </row>
    <row r="24" spans="1:40" ht="27" customHeight="1" thickBot="1" x14ac:dyDescent="0.65">
      <c r="A24" s="513" t="s">
        <v>1846</v>
      </c>
      <c r="B24" s="514"/>
      <c r="C24" s="514"/>
      <c r="D24" s="514"/>
      <c r="E24" s="514"/>
      <c r="F24" s="514"/>
      <c r="G24" s="514"/>
      <c r="H24" s="514"/>
      <c r="I24" s="514"/>
      <c r="J24" s="514"/>
      <c r="K24" s="514"/>
      <c r="L24" s="514"/>
      <c r="M24" s="514"/>
      <c r="N24" s="515"/>
      <c r="O24" s="303"/>
      <c r="P24" s="303"/>
      <c r="Q24" s="303"/>
      <c r="R24" s="303"/>
      <c r="S24" s="303"/>
      <c r="T24" s="303"/>
      <c r="U24" s="303"/>
      <c r="V24" s="303"/>
      <c r="W24" s="303"/>
      <c r="X24" s="303"/>
      <c r="Y24" s="303"/>
      <c r="Z24" s="303"/>
      <c r="AA24" s="303"/>
      <c r="AB24" s="303"/>
      <c r="AC24" s="303"/>
      <c r="AD24" s="624"/>
      <c r="AE24" s="624"/>
      <c r="AF24" s="624"/>
      <c r="AG24" s="624"/>
      <c r="AH24" s="624"/>
      <c r="AI24" s="624"/>
      <c r="AJ24" s="624"/>
      <c r="AK24" s="624"/>
      <c r="AL24" s="624"/>
      <c r="AM24" s="624"/>
      <c r="AN24" s="624"/>
    </row>
    <row r="25" spans="1:40" ht="27" customHeight="1" x14ac:dyDescent="0.6">
      <c r="A25" s="522" t="s">
        <v>102</v>
      </c>
      <c r="B25" s="523"/>
      <c r="C25" s="523"/>
      <c r="D25" s="523"/>
      <c r="E25" s="523"/>
      <c r="F25" s="523"/>
      <c r="G25" s="523"/>
      <c r="H25" s="524"/>
      <c r="I25" s="518">
        <f>SUMIFS(Input[T. W. - Stat (R AFR) E&amp;G], Input[System],$P$2)+SUMIFS(Input[T. W. - Stat (R AFR) Desg], Input[System],$P$2)+SUMIFS(Input[T. W. - Stat (R AFR) Aux], Input[System],$P$2)+SUMIFS(Input[T. W. - Stat (R AFR) R Exp], Input[System],$P$2)+SUMIFS(Input[T. W. - Stat (R AFR) Loan], Input[System],$P$2)+SUMIFS(Input[T. W. - Stat (R AFR) Annuity], Input[System],$P$2)+SUMIFS(Input[T. W. - Stat (R AFR) Unexp], Input[System],$P$2)+SUMIFS(Input[T. W. - Stat (R AFR) R of Ind], Input[System],$P$2)+SUMIFS(Input[T. W. - Stat (R AFR) Inv in P], Input[System],$P$2)</f>
        <v>0</v>
      </c>
      <c r="J25" s="518"/>
      <c r="K25" s="518"/>
      <c r="L25" s="529">
        <f t="shared" ref="L25:L30" si="3">IFERROR(ROUND(I25/P$1,0),0)</f>
        <v>0</v>
      </c>
      <c r="M25" s="529"/>
      <c r="N25" s="530"/>
      <c r="O25" s="303"/>
      <c r="P25" s="303"/>
      <c r="Q25" s="303"/>
      <c r="R25" s="303"/>
      <c r="S25" s="303"/>
      <c r="T25" s="303"/>
      <c r="U25" s="303"/>
      <c r="V25" s="303"/>
      <c r="W25" s="303"/>
      <c r="X25" s="303"/>
      <c r="Y25" s="303"/>
      <c r="Z25" s="304"/>
      <c r="AA25" s="304"/>
      <c r="AB25" s="304"/>
      <c r="AC25" s="303"/>
      <c r="AD25" s="624"/>
      <c r="AE25" s="624"/>
      <c r="AF25" s="624"/>
      <c r="AG25" s="624"/>
      <c r="AH25" s="624"/>
      <c r="AI25" s="624"/>
      <c r="AJ25" s="624"/>
      <c r="AK25" s="624"/>
      <c r="AL25" s="624"/>
      <c r="AM25" s="624"/>
      <c r="AN25" s="624"/>
    </row>
    <row r="26" spans="1:40" ht="27" customHeight="1" x14ac:dyDescent="0.6">
      <c r="A26" s="525" t="s">
        <v>103</v>
      </c>
      <c r="B26" s="434"/>
      <c r="C26" s="434"/>
      <c r="D26" s="434"/>
      <c r="E26" s="434"/>
      <c r="F26" s="434"/>
      <c r="G26" s="434"/>
      <c r="H26" s="435"/>
      <c r="I26" s="519">
        <f>SUMIFS(Input[T. W. - Inst. (R AFR) E&amp;G], Input[System],$P$2)+SUMIFS(Input[T. W. - Inst. (R AFR) Desg], Input[System],$P$2)+SUMIFS(Input[T. W. - Inst. (R AFR) Aux], Input[System],$P$2)+SUMIFS(Input[T. W. - Inst. (R AFR) R Exp], Input[System],$P$2)+SUMIFS(Input[T. W. - Inst. (R AFR) Loan], Input[System],$P$2)+SUMIFS(Input[T. W. - Inst. (R AFR) Annuity], Input[System],$P$2)+SUMIFS(Input[T. W. - Inst. (R AFR) Unexp], Input[System],$P$2)+SUMIFS(Input[T. W. - Inst. (R AFR) R of Ind], Input[System],$P$2)+SUMIFS(Input[T. W. - Inst. (R AFR) Inv in P], Input[System],$P$2)</f>
        <v>0</v>
      </c>
      <c r="J26" s="519"/>
      <c r="K26" s="519"/>
      <c r="L26" s="432">
        <f t="shared" si="3"/>
        <v>0</v>
      </c>
      <c r="M26" s="432"/>
      <c r="N26" s="536"/>
      <c r="O26" s="303"/>
      <c r="P26" s="598" t="str">
        <f>IF(ISBLANK(A1),"","Figure 1: Total Revenue by Operating Source Category")</f>
        <v/>
      </c>
      <c r="Q26" s="598"/>
      <c r="R26" s="598"/>
      <c r="S26" s="598"/>
      <c r="T26" s="598"/>
      <c r="U26" s="598"/>
      <c r="V26" s="598"/>
      <c r="W26" s="598"/>
      <c r="X26" s="598"/>
      <c r="Y26" s="598"/>
      <c r="Z26" s="304"/>
      <c r="AA26" s="304"/>
      <c r="AB26" s="304"/>
      <c r="AC26" s="303"/>
      <c r="AD26" s="624"/>
      <c r="AE26" s="624"/>
      <c r="AF26" s="624"/>
      <c r="AG26" s="624"/>
      <c r="AH26" s="624"/>
      <c r="AI26" s="624"/>
      <c r="AJ26" s="624"/>
      <c r="AK26" s="624"/>
      <c r="AL26" s="624"/>
      <c r="AM26" s="624"/>
      <c r="AN26" s="624"/>
    </row>
    <row r="27" spans="1:40" ht="27" customHeight="1" x14ac:dyDescent="0.6">
      <c r="A27" s="525" t="s">
        <v>104</v>
      </c>
      <c r="B27" s="434"/>
      <c r="C27" s="434"/>
      <c r="D27" s="434"/>
      <c r="E27" s="434"/>
      <c r="F27" s="434"/>
      <c r="G27" s="434"/>
      <c r="H27" s="435"/>
      <c r="I27" s="519">
        <f>SUMIFS(Input[T. Exp. - Stat (R AFR) E&amp;G], Input[System],$P$2)+SUMIFS(Input[T. Exp. - Stat (R AFR) Desg], Input[System],$P$2)+SUMIFS(Input[T. Exp. - Stat (R AFR) Aux], Input[System],$P$2)+SUMIFS(Input[T. Exp. - Stat (R AFR) R Exp], Input[System],$P$2)+SUMIFS(Input[T. Exp. - Stat (R AFR) Loan], Input[System],$P$2)+SUMIFS(Input[T. Exp. - Stat (R AFR) Annuity], Input[System],$P$2)+SUMIFS(Input[T. Exp. - Stat (R AFR) Unexp], Input[System],$P$2)+SUMIFS(Input[T. Exp. - Stat (R AFR) R of Ind], Input[System],$P$2)+SUMIFS(Input[T. Exp. - Stat (R AFR) Inv in P], Input[System],$P$2)</f>
        <v>0</v>
      </c>
      <c r="J27" s="519"/>
      <c r="K27" s="519"/>
      <c r="L27" s="432">
        <f t="shared" si="3"/>
        <v>0</v>
      </c>
      <c r="M27" s="432"/>
      <c r="N27" s="536"/>
      <c r="O27" s="303"/>
      <c r="P27" s="7"/>
      <c r="Q27" s="7"/>
      <c r="R27" s="7"/>
      <c r="S27" s="7"/>
      <c r="T27" s="7"/>
      <c r="U27" s="7"/>
      <c r="V27" s="7"/>
      <c r="W27" s="7"/>
      <c r="X27" s="7"/>
      <c r="Y27" s="7"/>
      <c r="Z27" s="7"/>
      <c r="AA27" s="7"/>
      <c r="AB27" s="7"/>
      <c r="AC27" s="181"/>
      <c r="AD27" s="624"/>
      <c r="AE27" s="624"/>
      <c r="AF27" s="624"/>
      <c r="AG27" s="624"/>
      <c r="AH27" s="624"/>
      <c r="AI27" s="624"/>
      <c r="AJ27" s="624"/>
      <c r="AK27" s="624"/>
      <c r="AL27" s="624"/>
      <c r="AM27" s="624"/>
      <c r="AN27" s="624"/>
    </row>
    <row r="28" spans="1:40" ht="27" customHeight="1" x14ac:dyDescent="0.6">
      <c r="A28" s="525" t="s">
        <v>105</v>
      </c>
      <c r="B28" s="434"/>
      <c r="C28" s="434"/>
      <c r="D28" s="434"/>
      <c r="E28" s="434"/>
      <c r="F28" s="434"/>
      <c r="G28" s="434"/>
      <c r="H28" s="435"/>
      <c r="I28" s="519">
        <f>SUMIFS(Input[T. Exp. - Inst. (R AFR) E&amp;G], Input[System],$P$2)+SUMIFS(Input[T. Exp. - Inst. (R AFR) Desg], Input[System],$P$2)+SUMIFS(Input[T. Exp. - Inst. (R AFR) Aux], Input[System],$P$2)+SUMIFS(Input[T. Exp. - Inst. (R AFR) R Exp], Input[System],$P$2)+SUMIFS(Input[T. Exp. - Inst. (R AFR) Loan], Input[System],$P$2)+SUMIFS(Input[T. Exp. - Inst. (R AFR) Annuity], Input[System],$P$2)+SUMIFS(Input[T. Exp. - Inst. (R AFR) Unexp], Input[System],$P$2)+SUMIFS(Input[T. Exp. - Inst. (R AFR) R of Ind], Input[System],$P$2)+SUMIFS(Input[T. Exp. - Inst. (R AFR) Inv in P], Input[System],$P$2)</f>
        <v>0</v>
      </c>
      <c r="J28" s="519"/>
      <c r="K28" s="519"/>
      <c r="L28" s="432">
        <f t="shared" si="3"/>
        <v>0</v>
      </c>
      <c r="M28" s="432"/>
      <c r="N28" s="536"/>
      <c r="O28" s="303"/>
      <c r="P28" s="7"/>
      <c r="Q28" s="7"/>
      <c r="R28" s="7"/>
      <c r="S28" s="7"/>
      <c r="T28" s="7"/>
      <c r="U28" s="7"/>
      <c r="V28" s="7"/>
      <c r="W28" s="7"/>
      <c r="X28" s="7"/>
      <c r="Y28" s="7"/>
      <c r="Z28" s="7"/>
      <c r="AA28" s="7"/>
      <c r="AB28" s="7"/>
      <c r="AC28" s="305"/>
      <c r="AD28" s="624"/>
      <c r="AE28" s="624"/>
      <c r="AF28" s="624"/>
      <c r="AG28" s="624"/>
      <c r="AH28" s="624"/>
      <c r="AI28" s="624"/>
      <c r="AJ28" s="624"/>
      <c r="AK28" s="624"/>
      <c r="AL28" s="624"/>
      <c r="AM28" s="624"/>
      <c r="AN28" s="624"/>
    </row>
    <row r="29" spans="1:40" ht="27" customHeight="1" thickBot="1" x14ac:dyDescent="0.65">
      <c r="A29" s="525" t="s">
        <v>141</v>
      </c>
      <c r="B29" s="434"/>
      <c r="C29" s="434"/>
      <c r="D29" s="434"/>
      <c r="E29" s="434"/>
      <c r="F29" s="434"/>
      <c r="G29" s="434"/>
      <c r="H29" s="435"/>
      <c r="I29" s="520">
        <f>SUMIFS(Input[T. Schlr E&amp;G], Input[System],$P$2)+SUMIFS(Input[T. Schlr Desg], Input[System],$P$2)+SUMIFS(Input[T. Schlr Aux], Input[System],$P$2)+SUMIFS(Input[T. Schlr R Exp], Input[System],$P$2)+SUMIFS(Input[T. Schlr Loan], Input[System],$P$2)+SUMIFS(Input[T. Schlr Annuity], Input[System],$P$2)+SUMIFS(Input[T. Schlr Unexp], Input[System],$P$2)+SUMIFS(Input[T. Schlr R of Ind], Input[System],$P$2)+SUMIFS(Input[T. Schlr Inv in P], Input[System],$P$2)</f>
        <v>0</v>
      </c>
      <c r="J29" s="520"/>
      <c r="K29" s="520"/>
      <c r="L29" s="534">
        <f t="shared" si="3"/>
        <v>0</v>
      </c>
      <c r="M29" s="534"/>
      <c r="N29" s="535"/>
      <c r="O29" s="303"/>
      <c r="P29" s="7"/>
      <c r="Q29" s="7"/>
      <c r="R29" s="7"/>
      <c r="S29" s="7"/>
      <c r="T29" s="7"/>
      <c r="U29" s="7"/>
      <c r="V29" s="7"/>
      <c r="W29" s="7"/>
      <c r="X29" s="7"/>
      <c r="Y29" s="7"/>
      <c r="Z29" s="7"/>
      <c r="AA29" s="7"/>
      <c r="AB29" s="7"/>
      <c r="AC29" s="305"/>
      <c r="AD29" s="624"/>
      <c r="AE29" s="624"/>
      <c r="AF29" s="624"/>
      <c r="AG29" s="624"/>
      <c r="AH29" s="624"/>
      <c r="AI29" s="624"/>
      <c r="AJ29" s="624"/>
      <c r="AK29" s="624"/>
      <c r="AL29" s="624"/>
      <c r="AM29" s="624"/>
      <c r="AN29" s="624"/>
    </row>
    <row r="30" spans="1:40" ht="27" customHeight="1" thickBot="1" x14ac:dyDescent="0.65">
      <c r="A30" s="509" t="s">
        <v>106</v>
      </c>
      <c r="B30" s="510"/>
      <c r="C30" s="510"/>
      <c r="D30" s="510"/>
      <c r="E30" s="510"/>
      <c r="F30" s="510"/>
      <c r="G30" s="510"/>
      <c r="H30" s="510"/>
      <c r="I30" s="516">
        <f>SUM(I23,I25:I29)</f>
        <v>0</v>
      </c>
      <c r="J30" s="516"/>
      <c r="K30" s="516"/>
      <c r="L30" s="516">
        <f t="shared" si="3"/>
        <v>0</v>
      </c>
      <c r="M30" s="516"/>
      <c r="N30" s="517"/>
      <c r="O30" s="303"/>
      <c r="P30" s="7"/>
      <c r="Q30" s="7"/>
      <c r="R30" s="7"/>
      <c r="S30" s="7"/>
      <c r="T30" s="7"/>
      <c r="U30" s="7"/>
      <c r="V30" s="7"/>
      <c r="W30" s="7"/>
      <c r="X30" s="7"/>
      <c r="Y30" s="7"/>
      <c r="Z30" s="7"/>
      <c r="AA30" s="7"/>
      <c r="AB30" s="7"/>
      <c r="AC30" s="305"/>
      <c r="AD30" s="624"/>
      <c r="AE30" s="624"/>
      <c r="AF30" s="624"/>
      <c r="AG30" s="624"/>
      <c r="AH30" s="624"/>
      <c r="AI30" s="624"/>
      <c r="AJ30" s="624"/>
      <c r="AK30" s="624"/>
      <c r="AL30" s="624"/>
      <c r="AM30" s="624"/>
      <c r="AN30" s="624"/>
    </row>
    <row r="31" spans="1:40" ht="27" customHeight="1" thickBot="1" x14ac:dyDescent="0.65">
      <c r="A31" s="274"/>
      <c r="B31" s="275"/>
      <c r="C31" s="275"/>
      <c r="D31" s="275"/>
      <c r="E31" s="275"/>
      <c r="F31" s="275"/>
      <c r="G31" s="275"/>
      <c r="H31" s="275"/>
      <c r="I31" s="283"/>
      <c r="J31" s="283"/>
      <c r="K31" s="283"/>
      <c r="L31" s="284"/>
      <c r="M31" s="22"/>
      <c r="N31" s="22"/>
      <c r="O31" s="303"/>
      <c r="P31" s="7"/>
      <c r="Q31" s="7"/>
      <c r="R31" s="7"/>
      <c r="S31" s="7"/>
      <c r="T31" s="7"/>
      <c r="U31" s="7"/>
      <c r="V31" s="7"/>
      <c r="W31" s="7"/>
      <c r="X31" s="7"/>
      <c r="Y31" s="7"/>
      <c r="Z31" s="7"/>
      <c r="AA31" s="7"/>
      <c r="AB31" s="7"/>
      <c r="AC31" s="305"/>
      <c r="AD31" s="624"/>
      <c r="AE31" s="624"/>
      <c r="AF31" s="624"/>
      <c r="AG31" s="624"/>
      <c r="AH31" s="624"/>
      <c r="AI31" s="624"/>
      <c r="AJ31" s="624"/>
      <c r="AK31" s="624"/>
      <c r="AL31" s="624"/>
      <c r="AM31" s="624"/>
      <c r="AN31" s="624"/>
    </row>
    <row r="32" spans="1:40" ht="27" customHeight="1" thickBot="1" x14ac:dyDescent="0.65">
      <c r="A32" s="511" t="s">
        <v>107</v>
      </c>
      <c r="B32" s="512"/>
      <c r="C32" s="512"/>
      <c r="D32" s="512"/>
      <c r="E32" s="512"/>
      <c r="F32" s="512"/>
      <c r="G32" s="512"/>
      <c r="H32" s="512"/>
      <c r="I32" s="516" cm="1">
        <f t="array" ref="I32">SUM(I38,-I34:J37)</f>
        <v>0</v>
      </c>
      <c r="J32" s="516"/>
      <c r="K32" s="516"/>
      <c r="L32" s="516">
        <f t="shared" ref="L32" si="4">IFERROR(ROUND(I32/P$1,0),0)</f>
        <v>0</v>
      </c>
      <c r="M32" s="516"/>
      <c r="N32" s="517"/>
      <c r="O32" s="303"/>
      <c r="P32" s="580" t="s">
        <v>1787</v>
      </c>
      <c r="Q32" s="581"/>
      <c r="R32" s="581"/>
      <c r="S32" s="581"/>
      <c r="T32" s="581"/>
      <c r="U32" s="581"/>
      <c r="V32" s="581"/>
      <c r="W32" s="581"/>
      <c r="X32" s="581"/>
      <c r="Y32" s="582"/>
      <c r="Z32" s="7"/>
      <c r="AA32" s="7"/>
      <c r="AB32" s="7"/>
      <c r="AC32" s="182"/>
      <c r="AD32" s="624"/>
      <c r="AE32" s="624"/>
      <c r="AF32" s="624"/>
      <c r="AG32" s="624"/>
      <c r="AH32" s="624"/>
      <c r="AI32" s="624"/>
      <c r="AJ32" s="624"/>
      <c r="AK32" s="624"/>
      <c r="AL32" s="624"/>
      <c r="AM32" s="624"/>
      <c r="AN32" s="624"/>
    </row>
    <row r="33" spans="1:40" ht="27" customHeight="1" thickBot="1" x14ac:dyDescent="0.65">
      <c r="A33" s="513" t="s">
        <v>1847</v>
      </c>
      <c r="B33" s="514"/>
      <c r="C33" s="514"/>
      <c r="D33" s="514"/>
      <c r="E33" s="514"/>
      <c r="F33" s="514"/>
      <c r="G33" s="514"/>
      <c r="H33" s="514"/>
      <c r="I33" s="514"/>
      <c r="J33" s="514"/>
      <c r="K33" s="514"/>
      <c r="L33" s="514"/>
      <c r="M33" s="514"/>
      <c r="N33" s="515"/>
      <c r="O33" s="303"/>
      <c r="P33" s="579" t="s">
        <v>1783</v>
      </c>
      <c r="Q33" s="446"/>
      <c r="R33" s="446"/>
      <c r="S33" s="446"/>
      <c r="T33" s="446"/>
      <c r="U33" s="446"/>
      <c r="V33" s="447"/>
      <c r="W33" s="448">
        <f>SUM(I23,I38)</f>
        <v>0</v>
      </c>
      <c r="X33" s="448"/>
      <c r="Y33" s="612"/>
      <c r="Z33" s="7"/>
      <c r="AA33" s="7"/>
      <c r="AB33" s="7"/>
      <c r="AC33" s="182"/>
      <c r="AD33" s="624"/>
      <c r="AE33" s="624"/>
      <c r="AF33" s="624"/>
      <c r="AG33" s="624"/>
      <c r="AH33" s="624"/>
      <c r="AI33" s="624"/>
      <c r="AJ33" s="624"/>
      <c r="AK33" s="624"/>
      <c r="AL33" s="624"/>
      <c r="AM33" s="624"/>
      <c r="AN33" s="624"/>
    </row>
    <row r="34" spans="1:40" ht="27" customHeight="1" x14ac:dyDescent="0.6">
      <c r="A34" s="522" t="s">
        <v>102</v>
      </c>
      <c r="B34" s="523"/>
      <c r="C34" s="523"/>
      <c r="D34" s="523"/>
      <c r="E34" s="523"/>
      <c r="F34" s="523"/>
      <c r="G34" s="523"/>
      <c r="H34" s="524"/>
      <c r="I34" s="518">
        <f>SUMIFS(Input[F. W. - Stat (NR AFR) E&amp;G], Input[System],$P$2)+SUMIFS(Input[F. W. - Stat (NR AFR) Desg], Input[System],$P$2)+SUMIFS(Input[F. W. - Stat (NR AFR) Aux], Input[System],$P$2)+SUMIFS(Input[F. W. - Stat (NR AFR) R Exp], Input[System],$P$2)+SUMIFS(Input[F. W. - Stat (NR AFR) Loan], Input[System],$P$2)+SUMIFS(Input[F. W. - Stat (NR AFR) Annuity], Input[System],$P$2)+SUMIFS(Input[F. W. - Stat (NR AFR) Unexp], Input[System],$P$2)+SUMIFS(Input[F. W. - Stat (NR AFR) R of Ind], Input[System],$P$2)+SUMIFS(Input[F. W. - Stat (NR AFR) Inv in P], Input[System],$P$2)</f>
        <v>0</v>
      </c>
      <c r="J34" s="518"/>
      <c r="K34" s="518"/>
      <c r="L34" s="529">
        <f t="shared" ref="L34:L38" si="5">IFERROR(ROUND(I34/P$1,0),0)</f>
        <v>0</v>
      </c>
      <c r="M34" s="529"/>
      <c r="N34" s="530"/>
      <c r="O34" s="303"/>
      <c r="P34" s="525" t="s">
        <v>1784</v>
      </c>
      <c r="Q34" s="434"/>
      <c r="R34" s="434"/>
      <c r="S34" s="434"/>
      <c r="T34" s="434"/>
      <c r="U34" s="434"/>
      <c r="V34" s="435"/>
      <c r="W34" s="431">
        <f>SUM(I25:K29,I40:K44)</f>
        <v>0</v>
      </c>
      <c r="X34" s="431"/>
      <c r="Y34" s="613"/>
      <c r="Z34" s="7"/>
      <c r="AA34" s="7"/>
      <c r="AB34" s="7"/>
      <c r="AC34" s="182"/>
      <c r="AD34" s="7"/>
      <c r="AE34" s="7"/>
      <c r="AF34" s="7"/>
      <c r="AG34" s="7"/>
      <c r="AH34" s="7"/>
      <c r="AI34" s="7"/>
      <c r="AJ34" s="7"/>
      <c r="AK34" s="7"/>
      <c r="AL34" s="206"/>
      <c r="AM34" s="7"/>
      <c r="AN34" s="7"/>
    </row>
    <row r="35" spans="1:40" ht="27" customHeight="1" thickBot="1" x14ac:dyDescent="0.65">
      <c r="A35" s="525" t="s">
        <v>103</v>
      </c>
      <c r="B35" s="434"/>
      <c r="C35" s="434"/>
      <c r="D35" s="434"/>
      <c r="E35" s="434"/>
      <c r="F35" s="434"/>
      <c r="G35" s="434"/>
      <c r="H35" s="435"/>
      <c r="I35" s="519">
        <f>SUMIFS(Input[F. W. - Inst. (NR AFR) E&amp;G], Input[System],$P$2)+SUMIFS(Input[F. W. - Inst. (NR AFR) Desg], Input[System],$P$2)+SUMIFS(Input[F. W. - Inst. (NR AFR) Aux], Input[System],$P$2)+SUMIFS(Input[F. W. - Inst. (NR AFR) R Exp], Input[System],$P$2)+SUMIFS(Input[F. W. - Inst. (NR AFR) Loan], Input[System],$P$2)+SUMIFS(Input[F. W. - Inst. (NR AFR) Annuity], Input[System],$P$2)+SUMIFS(Input[F. W. - Inst. (NR AFR) Unexp], Input[System],$P$2)+SUMIFS(Input[F. W. - Inst. (NR AFR) R of Ind], Input[System],$P$2)+SUMIFS(Input[F. W. - Inst. (NR AFR) Inv in P], Input[System],$P$2)</f>
        <v>0</v>
      </c>
      <c r="J35" s="519"/>
      <c r="K35" s="519"/>
      <c r="L35" s="432">
        <f t="shared" si="5"/>
        <v>0</v>
      </c>
      <c r="M35" s="432"/>
      <c r="N35" s="536"/>
      <c r="O35" s="303"/>
      <c r="P35" s="552" t="s">
        <v>1785</v>
      </c>
      <c r="Q35" s="553"/>
      <c r="R35" s="553"/>
      <c r="S35" s="553"/>
      <c r="T35" s="553"/>
      <c r="U35" s="553"/>
      <c r="V35" s="553"/>
      <c r="W35" s="554">
        <f>SUM(W33:Y34)</f>
        <v>0</v>
      </c>
      <c r="X35" s="554"/>
      <c r="Y35" s="603"/>
      <c r="Z35" s="7"/>
      <c r="AA35" s="7"/>
      <c r="AB35" s="7"/>
      <c r="AC35" s="182"/>
      <c r="AD35" s="7"/>
      <c r="AE35" s="7"/>
      <c r="AF35" s="7"/>
      <c r="AG35" s="7"/>
      <c r="AH35" s="7"/>
      <c r="AI35" s="7"/>
      <c r="AJ35" s="7"/>
      <c r="AK35" s="7"/>
      <c r="AL35" s="206"/>
      <c r="AM35" s="7"/>
      <c r="AN35" s="7"/>
    </row>
    <row r="36" spans="1:40" ht="27" customHeight="1" x14ac:dyDescent="0.6">
      <c r="A36" s="525" t="s">
        <v>104</v>
      </c>
      <c r="B36" s="434"/>
      <c r="C36" s="434"/>
      <c r="D36" s="434"/>
      <c r="E36" s="434"/>
      <c r="F36" s="434"/>
      <c r="G36" s="434"/>
      <c r="H36" s="435"/>
      <c r="I36" s="519">
        <f>SUMIFS(Input[F. Exp. - Stat (NR AFR) E&amp;G], Input[System],$P$2)+SUMIFS(Input[F. Exp. - Stat (NR AFR) Desg], Input[System],$P$2)+SUMIFS(Input[F. Exp. - Stat (NR AFR) Aux], Input[System],$P$2)+SUMIFS(Input[F. Exp. - Stat (NR AFR) R Exp], Input[System],$P$2)+SUMIFS(Input[F. Exp. - Stat (NR AFR) Loan], Input[System],$P$2)+SUMIFS(Input[F. Exp. - Stat (NR AFR) Annuity], Input[System],$P$2)+SUMIFS(Input[F. Exp. - Stat (NR AFR) Unexp], Input[System],$P$2)+SUMIFS(Input[F. Exp. - Stat (NR AFR) R of Ind], Input[System],$P$2)+SUMIFS(Input[F. Exp. - Stat (NR AFR) Inv in P], Input[System],$P$2)</f>
        <v>0</v>
      </c>
      <c r="J36" s="519"/>
      <c r="K36" s="519"/>
      <c r="L36" s="432">
        <f t="shared" si="5"/>
        <v>0</v>
      </c>
      <c r="M36" s="432"/>
      <c r="N36" s="536"/>
      <c r="O36" s="303"/>
      <c r="P36" s="7"/>
      <c r="Q36" s="7"/>
      <c r="R36" s="7"/>
      <c r="S36" s="7"/>
      <c r="T36" s="7"/>
      <c r="U36" s="7"/>
      <c r="V36" s="7"/>
      <c r="W36" s="7"/>
      <c r="X36" s="7"/>
      <c r="Y36" s="7"/>
      <c r="Z36" s="7"/>
      <c r="AA36" s="7"/>
      <c r="AB36" s="7"/>
      <c r="AC36" s="183"/>
      <c r="AD36" s="7"/>
      <c r="AE36" s="7"/>
      <c r="AF36" s="7"/>
      <c r="AG36" s="7"/>
      <c r="AH36" s="7"/>
      <c r="AI36" s="7"/>
      <c r="AJ36" s="7"/>
      <c r="AK36" s="7"/>
      <c r="AL36" s="206"/>
      <c r="AM36" s="7"/>
      <c r="AN36" s="7"/>
    </row>
    <row r="37" spans="1:40" ht="27" customHeight="1" thickBot="1" x14ac:dyDescent="0.65">
      <c r="A37" s="531" t="s">
        <v>105</v>
      </c>
      <c r="B37" s="532"/>
      <c r="C37" s="532"/>
      <c r="D37" s="532"/>
      <c r="E37" s="532"/>
      <c r="F37" s="532"/>
      <c r="G37" s="532"/>
      <c r="H37" s="533"/>
      <c r="I37" s="520">
        <f>SUMIFS(Input[F. Exp. - Inst. (NR AFR) E&amp;G], Input[System],$P$2)+SUMIFS(Input[F. Exp. - Inst. (NR AFR) Desg], Input[System],$P$2)+SUMIFS(Input[F. Exp. - Inst. (NR AFR) Aux], Input[System],$P$2)+SUMIFS(Input[F. Exp. - Inst. (NR AFR) R Exp], Input[System],$P$2)+SUMIFS(Input[F. Exp. - Inst. (NR AFR) Loan], Input[System],$P$2)+SUMIFS(Input[F. Exp. - Inst. (NR AFR) Annuity], Input[System],$P$2)+SUMIFS(Input[F. Exp. - Inst. (NR AFR) Unexp], Input[System],$P$2)+SUMIFS(Input[F. Exp. - Inst. (NR AFR) R of Ind], Input[System],$P$2)+SUMIFS(Input[F. Exp. - Inst. (NR AFR) Inv in P], Input[System],$P$2)</f>
        <v>0</v>
      </c>
      <c r="J37" s="520"/>
      <c r="K37" s="520"/>
      <c r="L37" s="534">
        <f t="shared" si="5"/>
        <v>0</v>
      </c>
      <c r="M37" s="534"/>
      <c r="N37" s="535"/>
      <c r="O37" s="303"/>
      <c r="P37" s="7"/>
      <c r="Q37" s="7"/>
      <c r="R37" s="7"/>
      <c r="S37" s="7"/>
      <c r="T37" s="7"/>
      <c r="U37" s="7"/>
      <c r="V37" s="7"/>
      <c r="W37" s="7"/>
      <c r="X37" s="7"/>
      <c r="Y37" s="7"/>
      <c r="Z37" s="7"/>
      <c r="AA37" s="7"/>
      <c r="AB37" s="7"/>
      <c r="AC37" s="7"/>
      <c r="AD37" s="7"/>
      <c r="AE37" s="7"/>
      <c r="AF37" s="7"/>
      <c r="AG37" s="7"/>
      <c r="AH37" s="7"/>
      <c r="AI37" s="7"/>
      <c r="AJ37" s="7"/>
      <c r="AK37" s="7"/>
      <c r="AL37" s="206"/>
      <c r="AM37" s="7"/>
      <c r="AN37" s="7"/>
    </row>
    <row r="38" spans="1:40" ht="27" customHeight="1" thickBot="1" x14ac:dyDescent="0.65">
      <c r="A38" s="526" t="s">
        <v>108</v>
      </c>
      <c r="B38" s="527"/>
      <c r="C38" s="527"/>
      <c r="D38" s="527"/>
      <c r="E38" s="527"/>
      <c r="F38" s="527"/>
      <c r="G38" s="527"/>
      <c r="H38" s="528"/>
      <c r="I38" s="521">
        <f>SUMIFS(Input[Fees - Gross E&amp;G], Input[System],$P$2)+SUMIFS(Input[Fees - Gross Desg], Input[System],$P$2)+SUMIFS(Input[Fees - Gross Aux], Input[System],$P$2)+SUMIFS(Input[Fees - Gross R Exp], Input[System],$P$2)+SUMIFS(Input[Fees - Gross Loan], Input[System],$P$2)+SUMIFS(Input[Fees - Gross Annuity], Input[System],$P$2)+SUMIFS(Input[Fees - Gross Unexp], Input[System],$P$2)+SUMIFS(Input[Fees - Gross R of Ind], Input[System],$P$2)+SUMIFS(Input[Fees - Gross Inv in P], Input[System],$P$2)</f>
        <v>0</v>
      </c>
      <c r="J38" s="521"/>
      <c r="K38" s="521"/>
      <c r="L38" s="516">
        <f t="shared" si="5"/>
        <v>0</v>
      </c>
      <c r="M38" s="516"/>
      <c r="N38" s="517"/>
      <c r="O38" s="303"/>
      <c r="P38" s="7"/>
      <c r="Q38" s="7"/>
      <c r="R38" s="7"/>
      <c r="S38" s="7"/>
      <c r="T38" s="7"/>
      <c r="U38" s="7"/>
      <c r="V38" s="7"/>
      <c r="W38" s="7"/>
      <c r="X38" s="7"/>
      <c r="Y38" s="7"/>
      <c r="Z38" s="7"/>
      <c r="AA38" s="7"/>
      <c r="AB38" s="7"/>
      <c r="AC38" s="7"/>
      <c r="AD38" s="7"/>
      <c r="AE38" s="7"/>
      <c r="AF38" s="7"/>
      <c r="AG38" s="7"/>
      <c r="AH38" s="7"/>
      <c r="AI38" s="7"/>
      <c r="AJ38" s="7"/>
      <c r="AK38" s="184"/>
      <c r="AL38" s="182"/>
      <c r="AM38" s="7"/>
      <c r="AN38" s="7"/>
    </row>
    <row r="39" spans="1:40" ht="27" customHeight="1" thickBot="1" x14ac:dyDescent="0.65">
      <c r="A39" s="513" t="s">
        <v>1846</v>
      </c>
      <c r="B39" s="514"/>
      <c r="C39" s="514"/>
      <c r="D39" s="514"/>
      <c r="E39" s="514"/>
      <c r="F39" s="514"/>
      <c r="G39" s="514"/>
      <c r="H39" s="514"/>
      <c r="I39" s="514"/>
      <c r="J39" s="514"/>
      <c r="K39" s="514"/>
      <c r="L39" s="514"/>
      <c r="M39" s="514"/>
      <c r="N39" s="515"/>
      <c r="O39" s="303"/>
      <c r="P39" s="549" t="s">
        <v>1786</v>
      </c>
      <c r="Q39" s="550"/>
      <c r="R39" s="550"/>
      <c r="S39" s="550"/>
      <c r="T39" s="550"/>
      <c r="U39" s="550"/>
      <c r="V39" s="550"/>
      <c r="W39" s="550"/>
      <c r="X39" s="550"/>
      <c r="Y39" s="550"/>
      <c r="Z39" s="550"/>
      <c r="AA39" s="550"/>
      <c r="AB39" s="551"/>
      <c r="AC39" s="181"/>
      <c r="AD39" s="619" t="s">
        <v>729</v>
      </c>
      <c r="AE39" s="620"/>
      <c r="AF39" s="620"/>
      <c r="AG39" s="620"/>
      <c r="AH39" s="620"/>
      <c r="AI39" s="620"/>
      <c r="AJ39" s="620"/>
      <c r="AK39" s="621"/>
      <c r="AL39" s="622"/>
      <c r="AM39" s="623"/>
      <c r="AN39" s="7"/>
    </row>
    <row r="40" spans="1:40" ht="27" customHeight="1" thickBot="1" x14ac:dyDescent="0.65">
      <c r="A40" s="522" t="s">
        <v>102</v>
      </c>
      <c r="B40" s="523"/>
      <c r="C40" s="523"/>
      <c r="D40" s="523"/>
      <c r="E40" s="523"/>
      <c r="F40" s="523"/>
      <c r="G40" s="523"/>
      <c r="H40" s="524"/>
      <c r="I40" s="518">
        <f>SUMIFS(Input[F. W. - Stat (R AFR) E&amp;G], Input[System],$P$2)+SUMIFS(Input[F. W. - Stat (R AFR) Desg], Input[System],$P$2)+SUMIFS(Input[F. W. - Stat (R AFR) Aux], Input[System],$P$2)+SUMIFS(Input[F. W. - Stat (R AFR) R Exp], Input[System],$P$2)+SUMIFS(Input[F. W. - Stat (R AFR) Loan], Input[System],$P$2)+SUMIFS(Input[F. W. - Stat (R AFR) Annuity], Input[System],$P$2)+SUMIFS(Input[F. W. - Stat (R AFR) Unexp], Input[System],$P$2)+SUMIFS(Input[F. W. - Stat (R AFR) R of Ind], Input[System],$P$2)+SUMIFS(Input[F. W. - Stat (R AFR) Inv in P], Input[System],$P$2)</f>
        <v>0</v>
      </c>
      <c r="J40" s="518"/>
      <c r="K40" s="518"/>
      <c r="L40" s="529">
        <f t="shared" ref="L40:L45" si="6">IFERROR(ROUND(I40/P$1,0),0)</f>
        <v>0</v>
      </c>
      <c r="M40" s="529"/>
      <c r="N40" s="530"/>
      <c r="O40" s="303"/>
      <c r="P40" s="614" t="s">
        <v>93</v>
      </c>
      <c r="Q40" s="615"/>
      <c r="R40" s="615"/>
      <c r="S40" s="615"/>
      <c r="T40" s="615"/>
      <c r="U40" s="615"/>
      <c r="V40" s="615"/>
      <c r="W40" s="616" t="s">
        <v>137</v>
      </c>
      <c r="X40" s="617"/>
      <c r="Y40" s="617"/>
      <c r="Z40" s="616" t="s">
        <v>138</v>
      </c>
      <c r="AA40" s="617"/>
      <c r="AB40" s="618"/>
      <c r="AC40" s="305"/>
      <c r="AD40" s="614" t="s">
        <v>140</v>
      </c>
      <c r="AE40" s="615"/>
      <c r="AF40" s="615"/>
      <c r="AG40" s="615"/>
      <c r="AH40" s="615"/>
      <c r="AI40" s="615"/>
      <c r="AJ40" s="615"/>
      <c r="AK40" s="616" t="s">
        <v>137</v>
      </c>
      <c r="AL40" s="617"/>
      <c r="AM40" s="618"/>
      <c r="AN40" s="7"/>
    </row>
    <row r="41" spans="1:40" ht="27" customHeight="1" x14ac:dyDescent="0.6">
      <c r="A41" s="525" t="s">
        <v>103</v>
      </c>
      <c r="B41" s="434"/>
      <c r="C41" s="434"/>
      <c r="D41" s="434"/>
      <c r="E41" s="434"/>
      <c r="F41" s="434"/>
      <c r="G41" s="434"/>
      <c r="H41" s="435"/>
      <c r="I41" s="519">
        <f>SUMIFS(Input[F. W. - Inst. (R AFR) E&amp;G], Input[System],$P$2)+SUMIFS(Input[F. W. - Inst. (R AFR) Desg], Input[System],$P$2)+SUMIFS(Input[F. W. - Inst. (R AFR) Aux], Input[System],$P$2)+SUMIFS(Input[F. W. - Inst. (R AFR) R Exp], Input[System],$P$2)+SUMIFS(Input[F. W. - Inst. (R AFR) Loan], Input[System],$P$2)+SUMIFS(Input[F. W. - Inst. (R AFR) Annuity], Input[System],$P$2)+SUMIFS(Input[F. W. - Inst. (R AFR) Unexp], Input[System],$P$2)+SUMIFS(Input[F. W. - Inst. (R AFR) R of Ind], Input[System],$P$2)+SUMIFS(Input[F. W. - Inst. (R AFR) Inv in P], Input[System],$P$2)</f>
        <v>0</v>
      </c>
      <c r="J41" s="519"/>
      <c r="K41" s="519"/>
      <c r="L41" s="432">
        <f t="shared" si="6"/>
        <v>0</v>
      </c>
      <c r="M41" s="432"/>
      <c r="N41" s="536"/>
      <c r="O41" s="303"/>
      <c r="P41" s="604" t="s">
        <v>97</v>
      </c>
      <c r="Q41" s="605"/>
      <c r="R41" s="605"/>
      <c r="S41" s="605"/>
      <c r="T41" s="605"/>
      <c r="U41" s="605"/>
      <c r="V41" s="606"/>
      <c r="W41" s="518">
        <f>I10</f>
        <v>0</v>
      </c>
      <c r="X41" s="518"/>
      <c r="Y41" s="518"/>
      <c r="Z41" s="607">
        <f t="shared" ref="Z41:Z46" si="7">IFERROR(W41/$W$14,0)</f>
        <v>0</v>
      </c>
      <c r="AA41" s="607"/>
      <c r="AB41" s="608"/>
      <c r="AC41" s="182"/>
      <c r="AD41" s="277"/>
      <c r="AE41" s="278" t="str" cm="1">
        <f t="array" ref="AE41">IF(ISBLANK(A1),"",INDEX(P41:P54,MATCH(LARGE(W41:W54,ROW(1:5)),W41:W54,0)))</f>
        <v/>
      </c>
      <c r="AF41" s="278"/>
      <c r="AG41" s="278"/>
      <c r="AH41" s="278"/>
      <c r="AI41" s="278"/>
      <c r="AJ41" s="279"/>
      <c r="AK41" s="426" t="str">
        <f>IFERROR(VLOOKUP(AE41,$P$41:$Y$54,8,FALSE),"")</f>
        <v/>
      </c>
      <c r="AL41" s="426"/>
      <c r="AM41" s="597"/>
      <c r="AN41" s="7"/>
    </row>
    <row r="42" spans="1:40" ht="27" customHeight="1" x14ac:dyDescent="0.6">
      <c r="A42" s="525" t="s">
        <v>104</v>
      </c>
      <c r="B42" s="434"/>
      <c r="C42" s="434"/>
      <c r="D42" s="434"/>
      <c r="E42" s="434"/>
      <c r="F42" s="434"/>
      <c r="G42" s="434"/>
      <c r="H42" s="435"/>
      <c r="I42" s="519">
        <f>SUMIFS(Input[F. Exp. - Stat (R AFR) E&amp;G], Input[System],$P$2)+SUMIFS(Input[F. Exp. - Stat (R AFR) Desg], Input[System],$P$2)+SUMIFS(Input[F. Exp. - Stat (R AFR) Aux], Input[System],$P$2)+SUMIFS(Input[F. Exp. - Stat (R AFR) R Exp], Input[System],$P$2)+SUMIFS(Input[F. Exp. - Stat (R AFR) Loan], Input[System],$P$2)+SUMIFS(Input[F. Exp. - Stat (R AFR) Annuity], Input[System],$P$2)+SUMIFS(Input[F. Exp. - Stat (R AFR) Unexp], Input[System],$P$2)+SUMIFS(Input[F. Exp. - Stat (R AFR) R of Ind], Input[System],$P$2)+SUMIFS(Input[F. Exp. - Stat (R AFR) Inv in P], Input[System],$P$2)</f>
        <v>0</v>
      </c>
      <c r="J42" s="519"/>
      <c r="K42" s="519"/>
      <c r="L42" s="432">
        <f t="shared" si="6"/>
        <v>0</v>
      </c>
      <c r="M42" s="432"/>
      <c r="N42" s="536"/>
      <c r="O42" s="303"/>
      <c r="P42" s="579" t="s">
        <v>142</v>
      </c>
      <c r="Q42" s="446"/>
      <c r="R42" s="446"/>
      <c r="S42" s="446"/>
      <c r="T42" s="446"/>
      <c r="U42" s="446"/>
      <c r="V42" s="447"/>
      <c r="W42" s="519">
        <f>I11</f>
        <v>0</v>
      </c>
      <c r="X42" s="519"/>
      <c r="Y42" s="519"/>
      <c r="Z42" s="572">
        <f t="shared" si="7"/>
        <v>0</v>
      </c>
      <c r="AA42" s="572"/>
      <c r="AB42" s="573"/>
      <c r="AC42" s="182"/>
      <c r="AD42" s="280"/>
      <c r="AE42" s="281"/>
      <c r="AF42" s="281"/>
      <c r="AG42" s="281"/>
      <c r="AH42" s="281"/>
      <c r="AI42" s="281"/>
      <c r="AJ42" s="282"/>
      <c r="AK42" s="591" t="str">
        <f t="shared" ref="AK42:AK45" si="8">IFERROR(VLOOKUP(AE42,$P$41:$Y$54,8,FALSE),"")</f>
        <v/>
      </c>
      <c r="AL42" s="592"/>
      <c r="AM42" s="593"/>
      <c r="AN42" s="7"/>
    </row>
    <row r="43" spans="1:40" ht="27" customHeight="1" x14ac:dyDescent="0.6">
      <c r="A43" s="525" t="s">
        <v>105</v>
      </c>
      <c r="B43" s="434"/>
      <c r="C43" s="434"/>
      <c r="D43" s="434"/>
      <c r="E43" s="434"/>
      <c r="F43" s="434"/>
      <c r="G43" s="434"/>
      <c r="H43" s="435"/>
      <c r="I43" s="519">
        <f>SUMIFS(Input[F. Exp. - Inst. (R AFR) E&amp;G], Input[System],$P$2)+SUMIFS(Input[F. Exp. - Inst. (R AFR) Desg], Input[System],$P$2)+SUMIFS(Input[F. Exp. - Inst. (R AFR) Aux], Input[System],$P$2)+SUMIFS(Input[F. Exp. - Inst. (R AFR) R Exp], Input[System],$P$2)+SUMIFS(Input[F. Exp. - Inst. (R AFR) Loan], Input[System],$P$2)+SUMIFS(Input[F. Exp. - Inst. (R AFR) Annuity], Input[System],$P$2)+SUMIFS(Input[F. Exp. - Inst. (R AFR) Unexp], Input[System],$P$2)+SUMIFS(Input[F. Exp. - Inst. (R AFR) R of Ind], Input[System],$P$2)+SUMIFS(Input[F. Exp. - Inst. (R AFR) Inv in P], Input[System],$P$2)</f>
        <v>0</v>
      </c>
      <c r="J43" s="519"/>
      <c r="K43" s="519"/>
      <c r="L43" s="432">
        <f t="shared" si="6"/>
        <v>0</v>
      </c>
      <c r="M43" s="432"/>
      <c r="N43" s="536"/>
      <c r="O43" s="303"/>
      <c r="P43" s="579" t="s">
        <v>98</v>
      </c>
      <c r="Q43" s="446"/>
      <c r="R43" s="446"/>
      <c r="S43" s="446"/>
      <c r="T43" s="446"/>
      <c r="U43" s="446"/>
      <c r="V43" s="447"/>
      <c r="W43" s="519">
        <f>I12</f>
        <v>0</v>
      </c>
      <c r="X43" s="519"/>
      <c r="Y43" s="519"/>
      <c r="Z43" s="572">
        <f t="shared" si="7"/>
        <v>0</v>
      </c>
      <c r="AA43" s="572"/>
      <c r="AB43" s="573"/>
      <c r="AC43" s="182"/>
      <c r="AD43" s="280"/>
      <c r="AE43" s="281"/>
      <c r="AF43" s="281"/>
      <c r="AG43" s="281"/>
      <c r="AH43" s="281"/>
      <c r="AI43" s="281"/>
      <c r="AJ43" s="282"/>
      <c r="AK43" s="591" t="str">
        <f t="shared" si="8"/>
        <v/>
      </c>
      <c r="AL43" s="592"/>
      <c r="AM43" s="593"/>
      <c r="AN43" s="7"/>
    </row>
    <row r="44" spans="1:40" ht="27" customHeight="1" thickBot="1" x14ac:dyDescent="0.65">
      <c r="A44" s="525" t="s">
        <v>141</v>
      </c>
      <c r="B44" s="434"/>
      <c r="C44" s="434"/>
      <c r="D44" s="434"/>
      <c r="E44" s="434"/>
      <c r="F44" s="434"/>
      <c r="G44" s="434"/>
      <c r="H44" s="435"/>
      <c r="I44" s="520">
        <f>SUMIFS(Input[Fee Schlr E&amp;G], Input[System],$P$2)+SUMIFS(Input[Fee Schlr Desg], Input[System],$P$2)+SUMIFS(Input[Fee Schlr Aux], Input[System],$P$2)+SUMIFS(Input[Fee Schlr R Exp], Input[System],$P$2)+SUMIFS(Input[Fee Schlr Loan], Input[System],$P$2)+SUMIFS(Input[Fee Schlr Annuity], Input[System],$P$2)+SUMIFS(Input[Fee Schlr Unexp], Input[System],$P$2)+SUMIFS(Input[Fee Schlr R of Ind], Input[System],$P$2)+SUMIFS(Input[Fee Schlr Inv in P], Input[System],$P$2)</f>
        <v>0</v>
      </c>
      <c r="J44" s="520"/>
      <c r="K44" s="520"/>
      <c r="L44" s="534">
        <f t="shared" si="6"/>
        <v>0</v>
      </c>
      <c r="M44" s="534"/>
      <c r="N44" s="535"/>
      <c r="O44" s="303"/>
      <c r="P44" s="579" t="s">
        <v>139</v>
      </c>
      <c r="Q44" s="446"/>
      <c r="R44" s="446"/>
      <c r="S44" s="446"/>
      <c r="T44" s="446"/>
      <c r="U44" s="446"/>
      <c r="V44" s="447"/>
      <c r="W44" s="519">
        <f>I13</f>
        <v>0</v>
      </c>
      <c r="X44" s="519"/>
      <c r="Y44" s="519"/>
      <c r="Z44" s="572">
        <f t="shared" si="7"/>
        <v>0</v>
      </c>
      <c r="AA44" s="572"/>
      <c r="AB44" s="573"/>
      <c r="AC44" s="182"/>
      <c r="AD44" s="280"/>
      <c r="AE44" s="281"/>
      <c r="AF44" s="281"/>
      <c r="AG44" s="281"/>
      <c r="AH44" s="281"/>
      <c r="AI44" s="281"/>
      <c r="AJ44" s="282"/>
      <c r="AK44" s="591" t="str">
        <f t="shared" si="8"/>
        <v/>
      </c>
      <c r="AL44" s="592"/>
      <c r="AM44" s="593"/>
      <c r="AN44" s="7"/>
    </row>
    <row r="45" spans="1:40" ht="27" customHeight="1" thickBot="1" x14ac:dyDescent="0.65">
      <c r="A45" s="509" t="s">
        <v>109</v>
      </c>
      <c r="B45" s="510"/>
      <c r="C45" s="510"/>
      <c r="D45" s="510"/>
      <c r="E45" s="510"/>
      <c r="F45" s="510"/>
      <c r="G45" s="510"/>
      <c r="H45" s="510"/>
      <c r="I45" s="516">
        <f>SUM(I38,I40:I44)</f>
        <v>0</v>
      </c>
      <c r="J45" s="516"/>
      <c r="K45" s="516"/>
      <c r="L45" s="516">
        <f t="shared" si="6"/>
        <v>0</v>
      </c>
      <c r="M45" s="516"/>
      <c r="N45" s="517"/>
      <c r="O45" s="303"/>
      <c r="P45" s="579" t="s">
        <v>143</v>
      </c>
      <c r="Q45" s="446"/>
      <c r="R45" s="446"/>
      <c r="S45" s="446"/>
      <c r="T45" s="446"/>
      <c r="U45" s="446"/>
      <c r="V45" s="447"/>
      <c r="W45" s="519">
        <f>I30+I45</f>
        <v>0</v>
      </c>
      <c r="X45" s="519"/>
      <c r="Y45" s="519"/>
      <c r="Z45" s="572">
        <f t="shared" si="7"/>
        <v>0</v>
      </c>
      <c r="AA45" s="572"/>
      <c r="AB45" s="573"/>
      <c r="AC45" s="182"/>
      <c r="AD45" s="285"/>
      <c r="AE45" s="286"/>
      <c r="AF45" s="286"/>
      <c r="AG45" s="286"/>
      <c r="AH45" s="286"/>
      <c r="AI45" s="286"/>
      <c r="AJ45" s="287"/>
      <c r="AK45" s="594" t="str">
        <f t="shared" si="8"/>
        <v/>
      </c>
      <c r="AL45" s="595"/>
      <c r="AM45" s="596"/>
      <c r="AN45" s="7"/>
    </row>
    <row r="46" spans="1:40" ht="27" customHeight="1" thickBot="1" x14ac:dyDescent="0.65">
      <c r="A46" s="274"/>
      <c r="B46" s="275"/>
      <c r="C46" s="275"/>
      <c r="D46" s="275"/>
      <c r="E46" s="275"/>
      <c r="F46" s="275"/>
      <c r="G46" s="275"/>
      <c r="H46" s="275"/>
      <c r="I46" s="275"/>
      <c r="J46" s="275"/>
      <c r="K46" s="275"/>
      <c r="L46" s="276"/>
      <c r="M46" s="22"/>
      <c r="N46" s="22"/>
      <c r="O46" s="303"/>
      <c r="P46" s="579" t="s">
        <v>144</v>
      </c>
      <c r="Q46" s="446"/>
      <c r="R46" s="446"/>
      <c r="S46" s="446"/>
      <c r="T46" s="446"/>
      <c r="U46" s="446"/>
      <c r="V46" s="447"/>
      <c r="W46" s="519">
        <f>I50</f>
        <v>0</v>
      </c>
      <c r="X46" s="519"/>
      <c r="Y46" s="519"/>
      <c r="Z46" s="572">
        <f t="shared" si="7"/>
        <v>0</v>
      </c>
      <c r="AA46" s="572"/>
      <c r="AB46" s="573"/>
      <c r="AC46" s="182"/>
      <c r="AD46" s="7"/>
      <c r="AE46" s="7"/>
      <c r="AF46" s="7"/>
      <c r="AG46" s="7"/>
      <c r="AH46" s="7"/>
      <c r="AI46" s="7"/>
      <c r="AJ46" s="7"/>
      <c r="AK46" s="306" t="str">
        <f t="shared" ref="AK46" si="9">IFERROR(VLOOKUP(AD46,$P$41:$Z$54,2,FALSE),"")</f>
        <v/>
      </c>
      <c r="AL46" s="7"/>
      <c r="AM46" s="8"/>
      <c r="AN46" s="7"/>
    </row>
    <row r="47" spans="1:40" ht="27" customHeight="1" thickBot="1" x14ac:dyDescent="0.65">
      <c r="A47" s="509" t="s">
        <v>110</v>
      </c>
      <c r="B47" s="510"/>
      <c r="C47" s="510"/>
      <c r="D47" s="510"/>
      <c r="E47" s="510"/>
      <c r="F47" s="510"/>
      <c r="G47" s="510"/>
      <c r="H47" s="510"/>
      <c r="I47" s="521">
        <f>I30+I45</f>
        <v>0</v>
      </c>
      <c r="J47" s="521"/>
      <c r="K47" s="521"/>
      <c r="L47" s="521">
        <f t="shared" ref="L47" si="10">IFERROR(ROUND(I47/P$1,0),0)</f>
        <v>0</v>
      </c>
      <c r="M47" s="521"/>
      <c r="N47" s="631"/>
      <c r="O47" s="303"/>
      <c r="P47" s="579" t="s">
        <v>112</v>
      </c>
      <c r="Q47" s="446"/>
      <c r="R47" s="446"/>
      <c r="S47" s="446"/>
      <c r="T47" s="446"/>
      <c r="U47" s="446"/>
      <c r="V47" s="447"/>
      <c r="W47" s="519">
        <f>I53</f>
        <v>0</v>
      </c>
      <c r="X47" s="519"/>
      <c r="Y47" s="519"/>
      <c r="Z47" s="572">
        <f t="shared" ref="Z47:Z54" si="11">IFERROR(W47/SUM($W$41:$W$54),0)</f>
        <v>0</v>
      </c>
      <c r="AA47" s="572"/>
      <c r="AB47" s="573"/>
      <c r="AC47" s="182"/>
      <c r="AD47" s="307"/>
      <c r="AE47" s="307"/>
      <c r="AF47" s="307"/>
      <c r="AG47" s="307"/>
      <c r="AH47" s="307"/>
      <c r="AI47" s="307"/>
      <c r="AJ47" s="307"/>
      <c r="AK47" s="307"/>
      <c r="AL47" s="307"/>
      <c r="AM47" s="307"/>
      <c r="AN47" s="7"/>
    </row>
    <row r="48" spans="1:40" ht="27" customHeight="1" thickBot="1" x14ac:dyDescent="0.8">
      <c r="A48" s="251"/>
      <c r="B48" s="251"/>
      <c r="C48" s="251"/>
      <c r="D48" s="251"/>
      <c r="E48" s="251"/>
      <c r="F48" s="251"/>
      <c r="G48" s="251"/>
      <c r="H48" s="251"/>
      <c r="I48" s="252"/>
      <c r="J48" s="252"/>
      <c r="K48" s="252"/>
      <c r="L48" s="252"/>
      <c r="M48" s="22"/>
      <c r="N48" s="22"/>
      <c r="O48" s="303"/>
      <c r="P48" s="579" t="s">
        <v>113</v>
      </c>
      <c r="Q48" s="446"/>
      <c r="R48" s="446"/>
      <c r="S48" s="446"/>
      <c r="T48" s="446"/>
      <c r="U48" s="446"/>
      <c r="V48" s="447"/>
      <c r="W48" s="519">
        <f>I56</f>
        <v>0</v>
      </c>
      <c r="X48" s="519"/>
      <c r="Y48" s="519"/>
      <c r="Z48" s="572">
        <f t="shared" si="11"/>
        <v>0</v>
      </c>
      <c r="AA48" s="572"/>
      <c r="AB48" s="573"/>
      <c r="AC48" s="182"/>
      <c r="AD48" s="185"/>
      <c r="AE48" s="185"/>
      <c r="AF48" s="185"/>
      <c r="AG48" s="185"/>
      <c r="AH48" s="185"/>
      <c r="AI48" s="185"/>
      <c r="AJ48" s="185"/>
      <c r="AK48" s="185"/>
      <c r="AL48" s="185"/>
      <c r="AM48" s="185"/>
      <c r="AN48" s="7"/>
    </row>
    <row r="49" spans="1:40" ht="27" customHeight="1" thickBot="1" x14ac:dyDescent="0.65">
      <c r="A49" s="543" t="s">
        <v>111</v>
      </c>
      <c r="B49" s="544"/>
      <c r="C49" s="544"/>
      <c r="D49" s="544"/>
      <c r="E49" s="544"/>
      <c r="F49" s="544"/>
      <c r="G49" s="544"/>
      <c r="H49" s="544"/>
      <c r="I49" s="545" t="s">
        <v>135</v>
      </c>
      <c r="J49" s="546"/>
      <c r="K49" s="546"/>
      <c r="L49" s="545" t="s">
        <v>136</v>
      </c>
      <c r="M49" s="546"/>
      <c r="N49" s="547"/>
      <c r="O49" s="303"/>
      <c r="P49" s="579" t="s">
        <v>145</v>
      </c>
      <c r="Q49" s="446"/>
      <c r="R49" s="446"/>
      <c r="S49" s="446"/>
      <c r="T49" s="446"/>
      <c r="U49" s="446"/>
      <c r="V49" s="447"/>
      <c r="W49" s="519">
        <f t="shared" ref="W49:W54" si="12">I59</f>
        <v>0</v>
      </c>
      <c r="X49" s="519"/>
      <c r="Y49" s="519"/>
      <c r="Z49" s="572">
        <f t="shared" si="11"/>
        <v>0</v>
      </c>
      <c r="AA49" s="572"/>
      <c r="AB49" s="573"/>
      <c r="AC49" s="182"/>
      <c r="AD49" s="185"/>
      <c r="AE49" s="185"/>
      <c r="AF49" s="185"/>
      <c r="AG49" s="185"/>
      <c r="AH49" s="185"/>
      <c r="AI49" s="185"/>
      <c r="AJ49" s="185"/>
      <c r="AK49" s="185"/>
      <c r="AL49" s="185"/>
      <c r="AM49" s="185"/>
      <c r="AN49" s="7"/>
    </row>
    <row r="50" spans="1:40" ht="27" customHeight="1" thickBot="1" x14ac:dyDescent="0.65">
      <c r="A50" s="537" t="s">
        <v>1645</v>
      </c>
      <c r="B50" s="538"/>
      <c r="C50" s="538"/>
      <c r="D50" s="538"/>
      <c r="E50" s="538"/>
      <c r="F50" s="538"/>
      <c r="G50" s="538"/>
      <c r="H50" s="539"/>
      <c r="I50" s="540">
        <f>SUMIFS(Input[Fed G&amp;C E&amp;G], Input[System],$P$2)+SUMIFS(Input[Fed G&amp;C Desg], Input[System],$P$2)+SUMIFS(Input[Fed G&amp;C Aux], Input[System],$P$2)+SUMIFS(Input[Fed G&amp;C R Exp], Input[System],$P$2)+SUMIFS(Input[Fed G&amp;C Loan], Input[System],$P$2)+SUMIFS(Input[Fed G&amp;C Annuity], Input[System],$P$2)+SUMIFS(Input[Fed G&amp;C Unexp], Input[System],$P$2)+SUMIFS(Input[Fed G&amp;C R of Ind], Input[System],$P$2)+SUMIFS(Input[Fed G&amp;C Inv in P], Input[System],$P$2)</f>
        <v>0</v>
      </c>
      <c r="J50" s="540"/>
      <c r="K50" s="540"/>
      <c r="L50" s="541">
        <f t="shared" ref="L50" si="13">IFERROR(ROUND(I50/P$1,0),0)</f>
        <v>0</v>
      </c>
      <c r="M50" s="541"/>
      <c r="N50" s="542"/>
      <c r="O50" s="303"/>
      <c r="P50" s="579" t="s">
        <v>146</v>
      </c>
      <c r="Q50" s="446"/>
      <c r="R50" s="446"/>
      <c r="S50" s="446"/>
      <c r="T50" s="446"/>
      <c r="U50" s="446"/>
      <c r="V50" s="447"/>
      <c r="W50" s="519">
        <f t="shared" si="12"/>
        <v>0</v>
      </c>
      <c r="X50" s="519"/>
      <c r="Y50" s="519"/>
      <c r="Z50" s="572">
        <f t="shared" si="11"/>
        <v>0</v>
      </c>
      <c r="AA50" s="572"/>
      <c r="AB50" s="573"/>
      <c r="AC50" s="182"/>
      <c r="AD50" s="185"/>
      <c r="AE50" s="185"/>
      <c r="AF50" s="185"/>
      <c r="AG50" s="185"/>
      <c r="AH50" s="185"/>
      <c r="AI50" s="185"/>
      <c r="AJ50" s="185"/>
      <c r="AK50" s="185"/>
      <c r="AL50" s="185"/>
      <c r="AM50" s="185"/>
      <c r="AN50" s="7"/>
    </row>
    <row r="51" spans="1:40" ht="27" customHeight="1" thickBot="1" x14ac:dyDescent="0.8">
      <c r="A51" s="251"/>
      <c r="B51" s="251"/>
      <c r="C51" s="251"/>
      <c r="D51" s="251"/>
      <c r="E51" s="251"/>
      <c r="F51" s="251"/>
      <c r="G51" s="251"/>
      <c r="H51" s="251"/>
      <c r="I51" s="252"/>
      <c r="J51" s="252"/>
      <c r="K51" s="252"/>
      <c r="L51" s="252"/>
      <c r="M51" s="22"/>
      <c r="N51" s="22"/>
      <c r="O51" s="303"/>
      <c r="P51" s="579" t="s">
        <v>147</v>
      </c>
      <c r="Q51" s="446"/>
      <c r="R51" s="446"/>
      <c r="S51" s="446"/>
      <c r="T51" s="446"/>
      <c r="U51" s="446"/>
      <c r="V51" s="447"/>
      <c r="W51" s="519">
        <f t="shared" si="12"/>
        <v>0</v>
      </c>
      <c r="X51" s="519"/>
      <c r="Y51" s="519"/>
      <c r="Z51" s="572">
        <f t="shared" si="11"/>
        <v>0</v>
      </c>
      <c r="AA51" s="572"/>
      <c r="AB51" s="573"/>
      <c r="AC51" s="182"/>
      <c r="AD51" s="185"/>
      <c r="AE51" s="185"/>
      <c r="AF51" s="185"/>
      <c r="AG51" s="185"/>
      <c r="AH51" s="185"/>
      <c r="AI51" s="185"/>
      <c r="AJ51" s="185"/>
      <c r="AK51" s="185"/>
      <c r="AL51" s="185"/>
      <c r="AM51" s="185"/>
      <c r="AN51" s="7"/>
    </row>
    <row r="52" spans="1:40" ht="27" customHeight="1" thickBot="1" x14ac:dyDescent="0.65">
      <c r="A52" s="543" t="s">
        <v>112</v>
      </c>
      <c r="B52" s="544"/>
      <c r="C52" s="544"/>
      <c r="D52" s="544"/>
      <c r="E52" s="544"/>
      <c r="F52" s="544"/>
      <c r="G52" s="544"/>
      <c r="H52" s="544"/>
      <c r="I52" s="545" t="s">
        <v>135</v>
      </c>
      <c r="J52" s="546"/>
      <c r="K52" s="546"/>
      <c r="L52" s="545" t="s">
        <v>136</v>
      </c>
      <c r="M52" s="546"/>
      <c r="N52" s="547"/>
      <c r="O52" s="303"/>
      <c r="P52" s="579" t="s">
        <v>148</v>
      </c>
      <c r="Q52" s="446"/>
      <c r="R52" s="446"/>
      <c r="S52" s="446"/>
      <c r="T52" s="446"/>
      <c r="U52" s="446"/>
      <c r="V52" s="447"/>
      <c r="W52" s="519">
        <f t="shared" si="12"/>
        <v>0</v>
      </c>
      <c r="X52" s="519"/>
      <c r="Y52" s="519"/>
      <c r="Z52" s="572">
        <f t="shared" si="11"/>
        <v>0</v>
      </c>
      <c r="AA52" s="572"/>
      <c r="AB52" s="573"/>
      <c r="AC52" s="182"/>
      <c r="AD52" s="185"/>
      <c r="AE52" s="185"/>
      <c r="AF52" s="185"/>
      <c r="AG52" s="185"/>
      <c r="AH52" s="185"/>
      <c r="AI52" s="185"/>
      <c r="AJ52" s="185"/>
      <c r="AK52" s="185"/>
      <c r="AL52" s="185"/>
      <c r="AM52" s="185"/>
      <c r="AN52" s="7"/>
    </row>
    <row r="53" spans="1:40" ht="27" customHeight="1" thickBot="1" x14ac:dyDescent="0.65">
      <c r="A53" s="537" t="s">
        <v>836</v>
      </c>
      <c r="B53" s="538"/>
      <c r="C53" s="538"/>
      <c r="D53" s="538"/>
      <c r="E53" s="538"/>
      <c r="F53" s="538"/>
      <c r="G53" s="538"/>
      <c r="H53" s="539"/>
      <c r="I53" s="590">
        <f>SUMIFS(Input[Prof Fees E&amp;G], Input[System],$P$2)
+SUMIFS(Input[Prof Fees Desg], Input[System],$P$2)
+SUMIFS(Input[Prof Fees Aux], Input[System],$P$2)
+SUMIFS(Input[Prof Fees R Exp], Input[System],$P$2)
+SUMIFS(Input[Prof Fees Loan], Input[System],$P$2)
+SUMIFS(Input[Prof Fees Annuity], Input[System],$P$2)
+SUMIFS(Input[Prof Fees Unexp], Input[System],$P$2)
+SUMIFS(Input[Prof Fees R of Ind], Input[System],$P$2)
+SUMIFS(Input[Prof Fees Inv in P], Input[System],$P$2)</f>
        <v>0</v>
      </c>
      <c r="J53" s="590"/>
      <c r="K53" s="590"/>
      <c r="L53" s="541">
        <f t="shared" ref="L53" si="14">IFERROR(ROUND(I53/P$1,0),0)</f>
        <v>0</v>
      </c>
      <c r="M53" s="541"/>
      <c r="N53" s="542"/>
      <c r="O53" s="303"/>
      <c r="P53" s="579" t="s">
        <v>116</v>
      </c>
      <c r="Q53" s="446"/>
      <c r="R53" s="446"/>
      <c r="S53" s="446"/>
      <c r="T53" s="446"/>
      <c r="U53" s="446"/>
      <c r="V53" s="447"/>
      <c r="W53" s="519">
        <f t="shared" si="12"/>
        <v>0</v>
      </c>
      <c r="X53" s="519"/>
      <c r="Y53" s="519"/>
      <c r="Z53" s="572">
        <f t="shared" si="11"/>
        <v>0</v>
      </c>
      <c r="AA53" s="572"/>
      <c r="AB53" s="573"/>
      <c r="AC53" s="182"/>
      <c r="AD53" s="185"/>
      <c r="AE53" s="185"/>
      <c r="AF53" s="185"/>
      <c r="AG53" s="185"/>
      <c r="AH53" s="185"/>
      <c r="AI53" s="185"/>
      <c r="AJ53" s="185"/>
      <c r="AK53" s="185"/>
      <c r="AL53" s="185"/>
      <c r="AM53" s="185"/>
      <c r="AN53" s="7"/>
    </row>
    <row r="54" spans="1:40" ht="27" customHeight="1" thickBot="1" x14ac:dyDescent="0.8">
      <c r="A54" s="251"/>
      <c r="B54" s="251"/>
      <c r="C54" s="251"/>
      <c r="D54" s="251"/>
      <c r="E54" s="251"/>
      <c r="F54" s="251"/>
      <c r="G54" s="251"/>
      <c r="H54" s="251"/>
      <c r="I54" s="252"/>
      <c r="J54" s="252"/>
      <c r="K54" s="252"/>
      <c r="L54" s="252"/>
      <c r="M54" s="22"/>
      <c r="N54" s="22"/>
      <c r="O54" s="303"/>
      <c r="P54" s="574" t="s">
        <v>149</v>
      </c>
      <c r="Q54" s="575"/>
      <c r="R54" s="575"/>
      <c r="S54" s="575"/>
      <c r="T54" s="575"/>
      <c r="U54" s="575"/>
      <c r="V54" s="576"/>
      <c r="W54" s="520">
        <f t="shared" si="12"/>
        <v>0</v>
      </c>
      <c r="X54" s="520"/>
      <c r="Y54" s="520"/>
      <c r="Z54" s="577">
        <f t="shared" si="11"/>
        <v>0</v>
      </c>
      <c r="AA54" s="577"/>
      <c r="AB54" s="578"/>
      <c r="AC54" s="182"/>
      <c r="AD54" s="185"/>
      <c r="AE54" s="185"/>
      <c r="AF54" s="185"/>
      <c r="AG54" s="185"/>
      <c r="AH54" s="185"/>
      <c r="AI54" s="185"/>
      <c r="AJ54" s="185"/>
      <c r="AK54" s="185"/>
      <c r="AL54" s="185"/>
      <c r="AM54" s="185"/>
      <c r="AN54" s="7"/>
    </row>
    <row r="55" spans="1:40" ht="27" customHeight="1" thickBot="1" x14ac:dyDescent="0.65">
      <c r="A55" s="543" t="s">
        <v>113</v>
      </c>
      <c r="B55" s="544"/>
      <c r="C55" s="544"/>
      <c r="D55" s="544"/>
      <c r="E55" s="544"/>
      <c r="F55" s="544"/>
      <c r="G55" s="544"/>
      <c r="H55" s="544"/>
      <c r="I55" s="545" t="s">
        <v>135</v>
      </c>
      <c r="J55" s="546"/>
      <c r="K55" s="546"/>
      <c r="L55" s="545" t="s">
        <v>136</v>
      </c>
      <c r="M55" s="546"/>
      <c r="N55" s="547"/>
      <c r="O55" s="303"/>
      <c r="P55" s="7"/>
      <c r="Q55" s="7"/>
      <c r="R55" s="7"/>
      <c r="S55" s="7"/>
      <c r="T55" s="7"/>
      <c r="U55" s="7"/>
      <c r="V55" s="7"/>
      <c r="W55" s="7"/>
      <c r="X55" s="7"/>
      <c r="Y55" s="7"/>
      <c r="Z55" s="7"/>
      <c r="AA55" s="7"/>
      <c r="AB55" s="7"/>
      <c r="AC55" s="7"/>
      <c r="AD55" s="185"/>
      <c r="AE55" s="185"/>
      <c r="AF55" s="185"/>
      <c r="AG55" s="185"/>
      <c r="AH55" s="185"/>
      <c r="AI55" s="185"/>
      <c r="AJ55" s="185"/>
      <c r="AK55" s="185"/>
      <c r="AL55" s="185"/>
      <c r="AM55" s="185"/>
      <c r="AN55" s="7"/>
    </row>
    <row r="56" spans="1:40" ht="27" customHeight="1" thickBot="1" x14ac:dyDescent="0.65">
      <c r="A56" s="537" t="s">
        <v>836</v>
      </c>
      <c r="B56" s="538"/>
      <c r="C56" s="538"/>
      <c r="D56" s="538"/>
      <c r="E56" s="538"/>
      <c r="F56" s="538"/>
      <c r="G56" s="538"/>
      <c r="H56" s="539"/>
      <c r="I56" s="540">
        <f>SUMIFS(Input[H&amp;C (OS) E&amp;G], Input[System],$P$2)
+SUMIFS(Input[H&amp;C (OS) Desg], Input[System],$P$2)
+SUMIFS(Input[H&amp;C (OS) Aux], Input[System],$P$2)
+SUMIFS(Input[H&amp;C (OS) R Exp], Input[System],$P$2)
+SUMIFS(Input[H&amp;C (OS) Loan], Input[System],$P$2)
+SUMIFS(Input[H&amp;C (OS) Annuity], Input[System],$P$2)
+SUMIFS(Input[H&amp;C (OS) Unexp], Input[System],$P$2)
+SUMIFS(Input[H&amp;C (OS) R of Ind], Input[System],$P$2)
+SUMIFS(Input[H&amp;C (OS) Inv in P], Input[System],$P$2)</f>
        <v>0</v>
      </c>
      <c r="J56" s="540"/>
      <c r="K56" s="540"/>
      <c r="L56" s="541">
        <f t="shared" ref="L56" si="15">IFERROR(ROUND(I56/P$1,0),0)</f>
        <v>0</v>
      </c>
      <c r="M56" s="541"/>
      <c r="N56" s="542"/>
      <c r="O56" s="303"/>
      <c r="P56" s="7"/>
      <c r="Q56" s="7"/>
      <c r="R56" s="7"/>
      <c r="S56" s="7"/>
      <c r="T56" s="7"/>
      <c r="U56" s="7"/>
      <c r="V56" s="7"/>
      <c r="W56" s="7"/>
      <c r="X56" s="7"/>
      <c r="Y56" s="7"/>
      <c r="Z56" s="7"/>
      <c r="AA56" s="7"/>
      <c r="AB56" s="7"/>
      <c r="AC56" s="7"/>
      <c r="AD56" s="308"/>
      <c r="AE56" s="308"/>
      <c r="AF56" s="308"/>
      <c r="AG56" s="308"/>
      <c r="AH56" s="308"/>
      <c r="AI56" s="308"/>
      <c r="AJ56" s="308"/>
      <c r="AK56" s="306" t="str">
        <f>IFERROR(VLOOKUP(AD56,$P$41:$Z$54,2,FALSE),"")</f>
        <v/>
      </c>
      <c r="AL56" s="7"/>
      <c r="AM56" s="7"/>
      <c r="AN56" s="7"/>
    </row>
    <row r="57" spans="1:40" ht="27" customHeight="1" thickBot="1" x14ac:dyDescent="0.65">
      <c r="A57" s="274"/>
      <c r="B57" s="275"/>
      <c r="C57" s="275"/>
      <c r="D57" s="275"/>
      <c r="E57" s="275"/>
      <c r="F57" s="275"/>
      <c r="G57" s="275"/>
      <c r="H57" s="275"/>
      <c r="I57" s="275"/>
      <c r="J57" s="275"/>
      <c r="K57" s="275"/>
      <c r="L57" s="276"/>
      <c r="M57" s="22"/>
      <c r="N57" s="22"/>
      <c r="O57" s="303"/>
      <c r="P57" s="7"/>
      <c r="Q57" s="7"/>
      <c r="R57" s="7"/>
      <c r="S57" s="7"/>
      <c r="T57" s="7"/>
      <c r="U57" s="7"/>
      <c r="V57" s="7"/>
      <c r="W57" s="7"/>
      <c r="X57" s="7"/>
      <c r="Y57" s="7"/>
      <c r="Z57" s="7"/>
      <c r="AA57" s="7"/>
      <c r="AB57" s="7"/>
      <c r="AC57" s="7"/>
      <c r="AD57" s="308"/>
      <c r="AE57" s="308"/>
      <c r="AF57" s="308"/>
      <c r="AG57" s="308"/>
      <c r="AH57" s="308"/>
      <c r="AI57" s="308"/>
      <c r="AJ57" s="308"/>
      <c r="AK57" s="306"/>
      <c r="AL57" s="7"/>
      <c r="AM57" s="7"/>
      <c r="AN57" s="7"/>
    </row>
    <row r="58" spans="1:40" ht="27" customHeight="1" thickBot="1" x14ac:dyDescent="0.65">
      <c r="A58" s="543" t="s">
        <v>114</v>
      </c>
      <c r="B58" s="544"/>
      <c r="C58" s="544"/>
      <c r="D58" s="544"/>
      <c r="E58" s="544"/>
      <c r="F58" s="544"/>
      <c r="G58" s="544"/>
      <c r="H58" s="589"/>
      <c r="I58" s="545" t="s">
        <v>135</v>
      </c>
      <c r="J58" s="546"/>
      <c r="K58" s="546"/>
      <c r="L58" s="545" t="s">
        <v>136</v>
      </c>
      <c r="M58" s="546"/>
      <c r="N58" s="547"/>
      <c r="O58" s="303"/>
      <c r="P58" s="7"/>
      <c r="Q58" s="7"/>
      <c r="R58" s="7"/>
      <c r="S58" s="7"/>
      <c r="T58" s="7"/>
      <c r="U58" s="7"/>
      <c r="V58" s="7"/>
      <c r="W58" s="7"/>
      <c r="X58" s="7"/>
      <c r="Y58" s="7"/>
      <c r="Z58" s="7"/>
      <c r="AA58" s="7"/>
      <c r="AB58" s="7"/>
      <c r="AC58" s="7"/>
      <c r="AD58" s="308"/>
      <c r="AE58" s="308"/>
      <c r="AF58" s="308"/>
      <c r="AG58" s="308"/>
      <c r="AH58" s="308"/>
      <c r="AI58" s="308"/>
      <c r="AJ58" s="308"/>
      <c r="AK58" s="306"/>
      <c r="AL58" s="7"/>
      <c r="AM58" s="7"/>
      <c r="AN58" s="7"/>
    </row>
    <row r="59" spans="1:40" ht="27" customHeight="1" x14ac:dyDescent="0.6">
      <c r="A59" s="522" t="s">
        <v>151</v>
      </c>
      <c r="B59" s="523"/>
      <c r="C59" s="523"/>
      <c r="D59" s="523"/>
      <c r="E59" s="523"/>
      <c r="F59" s="523"/>
      <c r="G59" s="523"/>
      <c r="H59" s="524"/>
      <c r="I59" s="518">
        <f>SUMIFS(Input[End &amp; Int Inc E&amp;G], Input[System],$P$2)+SUMIFS(Input[End &amp; Int Inc Desg], Input[System],$P$2)+SUMIFS(Input[End &amp; Int Inc Aux], Input[System],$P$2)+SUMIFS(Input[End &amp; Int Inc R Exp], Input[System],$P$2)+SUMIFS(Input[End &amp; Int Inc Loan], Input[System],$P$2)+SUMIFS(Input[End &amp; Int Inc Annuity], Input[System],$P$2)+SUMIFS(Input[End &amp; Int Inc Unexp], Input[System],$P$2)+SUMIFS(Input[End &amp; Int Inc R of Ind], Input[System],$P$2)+SUMIFS(Input[End &amp; Int Inc Inv in P], Input[System],$P$2)</f>
        <v>0</v>
      </c>
      <c r="J59" s="518"/>
      <c r="K59" s="518"/>
      <c r="L59" s="529">
        <f t="shared" ref="L59:L65" si="16">IFERROR(ROUND(I59/P$1,0),0)</f>
        <v>0</v>
      </c>
      <c r="M59" s="529"/>
      <c r="N59" s="530"/>
      <c r="O59" s="303"/>
      <c r="P59" s="7"/>
      <c r="Q59" s="7"/>
      <c r="R59" s="7"/>
      <c r="S59" s="7"/>
      <c r="T59" s="7"/>
      <c r="U59" s="7"/>
      <c r="V59" s="7"/>
      <c r="W59" s="7"/>
      <c r="X59" s="7"/>
      <c r="Y59" s="7"/>
      <c r="Z59" s="7"/>
      <c r="AA59" s="7"/>
      <c r="AB59" s="7"/>
      <c r="AC59" s="7"/>
      <c r="AD59" s="308"/>
      <c r="AE59" s="308"/>
      <c r="AF59" s="308"/>
      <c r="AG59" s="308"/>
      <c r="AH59" s="308"/>
      <c r="AI59" s="308"/>
      <c r="AJ59" s="308"/>
      <c r="AK59" s="306"/>
      <c r="AL59" s="7"/>
      <c r="AM59" s="7"/>
      <c r="AN59" s="7"/>
    </row>
    <row r="60" spans="1:40" ht="27" customHeight="1" x14ac:dyDescent="0.6">
      <c r="A60" s="525" t="s">
        <v>146</v>
      </c>
      <c r="B60" s="434"/>
      <c r="C60" s="434"/>
      <c r="D60" s="434"/>
      <c r="E60" s="434"/>
      <c r="F60" s="434"/>
      <c r="G60" s="434"/>
      <c r="H60" s="435"/>
      <c r="I60" s="519">
        <f>SUMIFS(Input[Loc Gov G E&amp;G], Input[System],$P$2)+SUMIFS(Input[Loc Gov G Desg], Input[System],$P$2)+SUMIFS(Input[Loc Gov G Aux], Input[System],$P$2)+SUMIFS(Input[Loc Gov G R Exp], Input[System],$P$2)+SUMIFS(Input[Loc Gov G Loan], Input[System],$P$2)+SUMIFS(Input[Loc Gov G Annuity], Input[System],$P$2)+SUMIFS(Input[Loc Gov G Unexp], Input[System],$P$2)+SUMIFS(Input[Loc Gov G R of Ind], Input[System],$P$2)+SUMIFS(Input[Loc Gov G Inv in P], Input[System],$P$2)</f>
        <v>0</v>
      </c>
      <c r="J60" s="519"/>
      <c r="K60" s="519"/>
      <c r="L60" s="432">
        <f t="shared" si="16"/>
        <v>0</v>
      </c>
      <c r="M60" s="432"/>
      <c r="N60" s="536"/>
      <c r="O60" s="303"/>
      <c r="P60" s="7"/>
      <c r="Q60" s="7"/>
      <c r="R60" s="7"/>
      <c r="S60" s="7"/>
      <c r="T60" s="7"/>
      <c r="U60" s="7"/>
      <c r="V60" s="7"/>
      <c r="W60" s="7"/>
      <c r="X60" s="7"/>
      <c r="Y60" s="7"/>
      <c r="Z60" s="7"/>
      <c r="AA60" s="7"/>
      <c r="AB60" s="7"/>
      <c r="AC60" s="7"/>
      <c r="AD60" s="308"/>
      <c r="AE60" s="308"/>
      <c r="AF60" s="308"/>
      <c r="AG60" s="308"/>
      <c r="AH60" s="308"/>
      <c r="AI60" s="308"/>
      <c r="AJ60" s="308"/>
      <c r="AK60" s="306"/>
      <c r="AL60" s="7"/>
      <c r="AM60" s="7"/>
      <c r="AN60" s="7"/>
    </row>
    <row r="61" spans="1:40" ht="27" customHeight="1" x14ac:dyDescent="0.6">
      <c r="A61" s="525" t="s">
        <v>851</v>
      </c>
      <c r="B61" s="434"/>
      <c r="C61" s="434"/>
      <c r="D61" s="434"/>
      <c r="E61" s="434"/>
      <c r="F61" s="434"/>
      <c r="G61" s="434"/>
      <c r="H61" s="435"/>
      <c r="I61" s="519">
        <f>SUMIFS(Input[Pvt G&amp;G E&amp;G], Input[System],$P$2)+SUMIFS(Input[Pvt G&amp;G Desg], Input[System],$P$2)+SUMIFS(Input[Pvt G&amp;G Aux], Input[System],$P$2)+SUMIFS(Input[Pvt G&amp;G R Exp], Input[System],$P$2)+SUMIFS(Input[Pvt G&amp;G Loan], Input[System],$P$2)+SUMIFS(Input[Pvt G&amp;G Annuity], Input[System],$P$2)+SUMIFS(Input[Pvt G&amp;G Unexp], Input[System],$P$2)+SUMIFS(Input[Pvt G&amp;G R of Ind], Input[System],$P$2)+SUMIFS(Input[Pvt G&amp;G Inv in P], Input[System],$P$2)</f>
        <v>0</v>
      </c>
      <c r="J61" s="519"/>
      <c r="K61" s="519"/>
      <c r="L61" s="432">
        <f t="shared" si="16"/>
        <v>0</v>
      </c>
      <c r="M61" s="432"/>
      <c r="N61" s="536"/>
      <c r="O61" s="303"/>
      <c r="P61" s="7"/>
      <c r="Q61" s="7"/>
      <c r="R61" s="7"/>
      <c r="S61" s="7"/>
      <c r="T61" s="7"/>
      <c r="U61" s="7"/>
      <c r="V61" s="7"/>
      <c r="W61" s="7"/>
      <c r="X61" s="7"/>
      <c r="Y61" s="7"/>
      <c r="Z61" s="7"/>
      <c r="AA61" s="7"/>
      <c r="AB61" s="7"/>
      <c r="AC61" s="7"/>
      <c r="AD61" s="308"/>
      <c r="AE61" s="308"/>
      <c r="AF61" s="308"/>
      <c r="AG61" s="308"/>
      <c r="AH61" s="308"/>
      <c r="AI61" s="308"/>
      <c r="AJ61" s="308"/>
      <c r="AK61" s="306"/>
      <c r="AL61" s="7"/>
      <c r="AM61" s="7"/>
      <c r="AN61" s="7"/>
    </row>
    <row r="62" spans="1:40" ht="27" customHeight="1" x14ac:dyDescent="0.6">
      <c r="A62" s="525" t="s">
        <v>115</v>
      </c>
      <c r="B62" s="434"/>
      <c r="C62" s="434"/>
      <c r="D62" s="434"/>
      <c r="E62" s="434"/>
      <c r="F62" s="434"/>
      <c r="G62" s="434"/>
      <c r="H62" s="435"/>
      <c r="I62" s="519">
        <f>SUMIFS(Input[S&amp;S E&amp;G], Input[System],$P$2)+SUMIFS(Input[S&amp;S Desg], Input[System],$P$2)+SUMIFS(Input[S&amp;S Aux], Input[System],$P$2)+SUMIFS(Input[S&amp;S R Exp], Input[System],$P$2)+SUMIFS(Input[S&amp;S Loan], Input[System],$P$2)+SUMIFS(Input[S&amp;S Annuity], Input[System],$P$2)+SUMIFS(Input[S&amp;S Unexp], Input[System],$P$2)+SUMIFS(Input[S&amp;S R of Ind], Input[System],$P$2)+SUMIFS(Input[S&amp;S Inv in P], Input[System],$P$2)</f>
        <v>0</v>
      </c>
      <c r="J62" s="519"/>
      <c r="K62" s="519"/>
      <c r="L62" s="432">
        <f t="shared" si="16"/>
        <v>0</v>
      </c>
      <c r="M62" s="432"/>
      <c r="N62" s="536"/>
      <c r="O62" s="303"/>
      <c r="P62" s="7"/>
      <c r="Q62" s="7"/>
      <c r="R62" s="7"/>
      <c r="S62" s="7"/>
      <c r="T62" s="7"/>
      <c r="U62" s="7"/>
      <c r="V62" s="7"/>
      <c r="W62" s="7"/>
      <c r="X62" s="7"/>
      <c r="Y62" s="7"/>
      <c r="Z62" s="7"/>
      <c r="AA62" s="7"/>
      <c r="AB62" s="7"/>
      <c r="AC62" s="7"/>
      <c r="AD62" s="308"/>
      <c r="AE62" s="308"/>
      <c r="AF62" s="308"/>
      <c r="AG62" s="308"/>
      <c r="AH62" s="308"/>
      <c r="AI62" s="308"/>
      <c r="AJ62" s="308"/>
      <c r="AK62" s="306"/>
      <c r="AL62" s="7"/>
      <c r="AM62" s="7"/>
      <c r="AN62" s="7"/>
    </row>
    <row r="63" spans="1:40" ht="27" customHeight="1" x14ac:dyDescent="0.6">
      <c r="A63" s="525" t="s">
        <v>116</v>
      </c>
      <c r="B63" s="434"/>
      <c r="C63" s="434"/>
      <c r="D63" s="434"/>
      <c r="E63" s="434"/>
      <c r="F63" s="434"/>
      <c r="G63" s="434"/>
      <c r="H63" s="435"/>
      <c r="I63" s="519">
        <f>SUMIFS(Input[Net Aux Ent E&amp;G], Input[System],$P$2)+SUMIFS(Input[Net Aux Ent Desg], Input[System],$P$2)+SUMIFS(Input[Net Aux Ent Aux], Input[System],$P$2)+SUMIFS(Input[Net Aux Ent R Exp], Input[System],$P$2)+SUMIFS(Input[Net Aux Ent Loan], Input[System],$P$2)+SUMIFS(Input[Net Aux Ent Annuity], Input[System],$P$2)+SUMIFS(Input[Net Aux Ent Unexp], Input[System],$P$2)+SUMIFS(Input[Net Aux Ent R of Ind], Input[System],$P$2)+SUMIFS(Input[Net Aux Ent Inv in P], Input[System],$P$2)</f>
        <v>0</v>
      </c>
      <c r="J63" s="519"/>
      <c r="K63" s="519"/>
      <c r="L63" s="432">
        <f t="shared" si="16"/>
        <v>0</v>
      </c>
      <c r="M63" s="432"/>
      <c r="N63" s="536"/>
      <c r="O63" s="303"/>
      <c r="P63" s="7"/>
      <c r="Q63" s="7"/>
      <c r="R63" s="7"/>
      <c r="S63" s="7"/>
      <c r="T63" s="7"/>
      <c r="U63" s="7"/>
      <c r="V63" s="7"/>
      <c r="W63" s="7"/>
      <c r="X63" s="7"/>
      <c r="Y63" s="7"/>
      <c r="Z63" s="7"/>
      <c r="AA63" s="7"/>
      <c r="AB63" s="7"/>
      <c r="AC63" s="7"/>
      <c r="AD63" s="308"/>
      <c r="AE63" s="308"/>
      <c r="AF63" s="308"/>
      <c r="AG63" s="308"/>
      <c r="AH63" s="308"/>
      <c r="AI63" s="308"/>
      <c r="AJ63" s="308"/>
      <c r="AK63" s="306"/>
      <c r="AL63" s="7"/>
      <c r="AM63" s="7"/>
      <c r="AN63" s="7"/>
    </row>
    <row r="64" spans="1:40" ht="27" customHeight="1" thickBot="1" x14ac:dyDescent="0.65">
      <c r="A64" s="525" t="s">
        <v>149</v>
      </c>
      <c r="B64" s="434"/>
      <c r="C64" s="434"/>
      <c r="D64" s="434"/>
      <c r="E64" s="434"/>
      <c r="F64" s="434"/>
      <c r="G64" s="434"/>
      <c r="H64" s="435"/>
      <c r="I64" s="520">
        <f>SUMIFS(Input[Oth Inc E&amp;G], Input[System],$P$2)+SUMIFS(Input[Oth Inc Desg], Input[System],$P$2)+SUMIFS(Input[Oth Inc Aux], Input[System],$P$2)+SUMIFS(Input[Oth Inc R Exp], Input[System],$P$2)+SUMIFS(Input[Oth Inc Loan], Input[System],$P$2)+SUMIFS(Input[Oth Inc Annuity], Input[System],$P$2)+SUMIFS(Input[Oth Inc Unexp], Input[System],$P$2)+SUMIFS(Input[Oth Inc R of Ind], Input[System],$P$2)+SUMIFS(Input[Oth Inc Inv in P], Input[System],$P$2)</f>
        <v>0</v>
      </c>
      <c r="J64" s="520"/>
      <c r="K64" s="520"/>
      <c r="L64" s="534">
        <f t="shared" si="16"/>
        <v>0</v>
      </c>
      <c r="M64" s="534"/>
      <c r="N64" s="535"/>
      <c r="O64" s="303"/>
      <c r="P64" s="7"/>
      <c r="Q64" s="7"/>
      <c r="R64" s="7"/>
      <c r="S64" s="7"/>
      <c r="T64" s="7"/>
      <c r="U64" s="7"/>
      <c r="V64" s="7"/>
      <c r="W64" s="7"/>
      <c r="X64" s="7"/>
      <c r="Y64" s="7"/>
      <c r="Z64" s="7"/>
      <c r="AA64" s="7"/>
      <c r="AB64" s="7"/>
      <c r="AC64" s="7"/>
      <c r="AD64" s="308"/>
      <c r="AE64" s="308"/>
      <c r="AF64" s="308"/>
      <c r="AG64" s="308"/>
      <c r="AH64" s="308"/>
      <c r="AI64" s="308"/>
      <c r="AJ64" s="308"/>
      <c r="AK64" s="306"/>
      <c r="AL64" s="7"/>
      <c r="AM64" s="7"/>
      <c r="AN64" s="7"/>
    </row>
    <row r="65" spans="1:40" ht="27" customHeight="1" thickBot="1" x14ac:dyDescent="0.65">
      <c r="A65" s="509" t="s">
        <v>99</v>
      </c>
      <c r="B65" s="510"/>
      <c r="C65" s="510"/>
      <c r="D65" s="510"/>
      <c r="E65" s="510"/>
      <c r="F65" s="510"/>
      <c r="G65" s="510"/>
      <c r="H65" s="510"/>
      <c r="I65" s="516">
        <f>SUM(I59:I64)</f>
        <v>0</v>
      </c>
      <c r="J65" s="516"/>
      <c r="K65" s="516"/>
      <c r="L65" s="516">
        <f t="shared" si="16"/>
        <v>0</v>
      </c>
      <c r="M65" s="516"/>
      <c r="N65" s="517"/>
      <c r="O65" s="303"/>
      <c r="P65" s="7"/>
      <c r="Q65" s="7"/>
      <c r="R65" s="7"/>
      <c r="S65" s="7"/>
      <c r="T65" s="7"/>
      <c r="U65" s="7"/>
      <c r="V65" s="7"/>
      <c r="W65" s="7"/>
      <c r="X65" s="7"/>
      <c r="Y65" s="7"/>
      <c r="Z65" s="7"/>
      <c r="AA65" s="7"/>
      <c r="AB65" s="7"/>
      <c r="AC65" s="7"/>
      <c r="AD65" s="308"/>
      <c r="AE65" s="308"/>
      <c r="AF65" s="308"/>
      <c r="AG65" s="308"/>
      <c r="AH65" s="308"/>
      <c r="AI65" s="308"/>
      <c r="AJ65" s="308"/>
      <c r="AK65" s="306" t="str">
        <f>IFERROR(VLOOKUP(AD65,$P$41:$Z$54,2,FALSE),"")</f>
        <v/>
      </c>
      <c r="AL65" s="7"/>
      <c r="AM65" s="7"/>
      <c r="AN65" s="7"/>
    </row>
    <row r="66" spans="1:40" ht="27" customHeight="1" thickBot="1" x14ac:dyDescent="0.65">
      <c r="A66" s="274"/>
      <c r="B66" s="275"/>
      <c r="C66" s="275"/>
      <c r="D66" s="275"/>
      <c r="E66" s="275"/>
      <c r="F66" s="275"/>
      <c r="G66" s="275"/>
      <c r="H66" s="275"/>
      <c r="I66" s="275"/>
      <c r="J66" s="275"/>
      <c r="K66" s="275"/>
      <c r="L66" s="276"/>
      <c r="M66" s="22"/>
      <c r="N66" s="22"/>
      <c r="O66" s="303"/>
      <c r="P66" s="7"/>
      <c r="Q66" s="7"/>
      <c r="R66" s="7"/>
      <c r="S66" s="7"/>
      <c r="T66" s="7"/>
      <c r="U66" s="7"/>
      <c r="V66" s="7"/>
      <c r="W66" s="7"/>
      <c r="X66" s="7"/>
      <c r="Y66" s="7"/>
      <c r="Z66" s="7"/>
      <c r="AA66" s="7"/>
      <c r="AB66" s="7"/>
      <c r="AC66" s="7"/>
      <c r="AD66" s="7"/>
      <c r="AE66" s="7"/>
      <c r="AF66" s="7"/>
      <c r="AG66" s="7"/>
      <c r="AH66" s="7"/>
      <c r="AI66" s="7"/>
      <c r="AJ66" s="7"/>
      <c r="AK66" s="7"/>
      <c r="AL66" s="7"/>
      <c r="AM66" s="7"/>
      <c r="AN66" s="7"/>
    </row>
    <row r="67" spans="1:40" ht="27" customHeight="1" thickBot="1" x14ac:dyDescent="0.65">
      <c r="A67" s="509" t="s">
        <v>117</v>
      </c>
      <c r="B67" s="510"/>
      <c r="C67" s="510"/>
      <c r="D67" s="510"/>
      <c r="E67" s="510"/>
      <c r="F67" s="510"/>
      <c r="G67" s="510"/>
      <c r="H67" s="510"/>
      <c r="I67" s="516">
        <f>SUM(I14,I30,I45,I50,I53,I56,I65)</f>
        <v>0</v>
      </c>
      <c r="J67" s="516"/>
      <c r="K67" s="516"/>
      <c r="L67" s="516">
        <f t="shared" ref="L67" si="17">IFERROR(ROUND(I67/P$1,0),0)</f>
        <v>0</v>
      </c>
      <c r="M67" s="516"/>
      <c r="N67" s="517"/>
      <c r="O67" s="303"/>
      <c r="P67" s="7"/>
      <c r="Q67" s="7"/>
      <c r="R67" s="7"/>
      <c r="S67" s="7"/>
      <c r="T67" s="7"/>
      <c r="U67" s="7"/>
      <c r="V67" s="7"/>
      <c r="W67" s="7"/>
      <c r="X67" s="7"/>
      <c r="Y67" s="7"/>
      <c r="Z67" s="7"/>
      <c r="AA67" s="7"/>
      <c r="AB67" s="7"/>
      <c r="AC67" s="7"/>
      <c r="AD67" s="7"/>
      <c r="AE67" s="7"/>
      <c r="AF67" s="7"/>
      <c r="AG67" s="7"/>
      <c r="AH67" s="7"/>
      <c r="AI67" s="7"/>
      <c r="AJ67" s="7"/>
      <c r="AK67" s="7"/>
      <c r="AL67" s="7"/>
      <c r="AM67" s="7"/>
      <c r="AN67" s="7"/>
    </row>
    <row r="68" spans="1:40" ht="27" customHeight="1" thickBot="1" x14ac:dyDescent="0.65">
      <c r="A68" s="274"/>
      <c r="B68" s="275"/>
      <c r="C68" s="275"/>
      <c r="D68" s="275"/>
      <c r="E68" s="275"/>
      <c r="F68" s="275"/>
      <c r="G68" s="275"/>
      <c r="H68" s="275"/>
      <c r="I68" s="275"/>
      <c r="J68" s="275"/>
      <c r="K68" s="275"/>
      <c r="L68" s="276"/>
      <c r="M68" s="22"/>
      <c r="N68" s="22"/>
      <c r="O68" s="303"/>
      <c r="P68" s="7"/>
      <c r="Q68" s="7"/>
      <c r="R68" s="7"/>
      <c r="S68" s="7"/>
      <c r="T68" s="7"/>
      <c r="U68" s="7"/>
      <c r="V68" s="7"/>
      <c r="W68" s="7"/>
      <c r="X68" s="7"/>
      <c r="Y68" s="7"/>
      <c r="Z68" s="7"/>
      <c r="AA68" s="7"/>
      <c r="AB68" s="7"/>
      <c r="AC68" s="7"/>
      <c r="AD68" s="7"/>
      <c r="AE68" s="7"/>
      <c r="AF68" s="7"/>
      <c r="AG68" s="7"/>
      <c r="AH68" s="7"/>
      <c r="AI68" s="7"/>
      <c r="AJ68" s="7"/>
      <c r="AK68" s="7"/>
      <c r="AL68" s="7"/>
      <c r="AM68" s="7"/>
      <c r="AN68" s="7"/>
    </row>
    <row r="69" spans="1:40" ht="31.95" customHeight="1" thickBot="1" x14ac:dyDescent="0.65">
      <c r="A69" s="565" t="s">
        <v>118</v>
      </c>
      <c r="B69" s="566"/>
      <c r="C69" s="566"/>
      <c r="D69" s="566"/>
      <c r="E69" s="566"/>
      <c r="F69" s="566"/>
      <c r="G69" s="566"/>
      <c r="H69" s="566"/>
      <c r="I69" s="566"/>
      <c r="J69" s="566"/>
      <c r="K69" s="566"/>
      <c r="L69" s="566"/>
      <c r="M69" s="566"/>
      <c r="N69" s="567"/>
      <c r="O69" s="303"/>
      <c r="P69" s="549" t="s">
        <v>150</v>
      </c>
      <c r="Q69" s="550"/>
      <c r="R69" s="550"/>
      <c r="S69" s="550"/>
      <c r="T69" s="550"/>
      <c r="U69" s="550"/>
      <c r="V69" s="550"/>
      <c r="W69" s="550"/>
      <c r="X69" s="550"/>
      <c r="Y69" s="550"/>
      <c r="Z69" s="550"/>
      <c r="AA69" s="186"/>
      <c r="AB69" s="187"/>
      <c r="AC69" s="7"/>
      <c r="AD69" s="619" t="s">
        <v>1807</v>
      </c>
      <c r="AE69" s="620"/>
      <c r="AF69" s="620"/>
      <c r="AG69" s="620"/>
      <c r="AH69" s="620"/>
      <c r="AI69" s="620"/>
      <c r="AJ69" s="620"/>
      <c r="AK69" s="621"/>
      <c r="AL69" s="622"/>
      <c r="AM69" s="623"/>
      <c r="AN69" s="7"/>
    </row>
    <row r="70" spans="1:40" ht="27" customHeight="1" thickBot="1" x14ac:dyDescent="0.65">
      <c r="A70" s="543" t="s">
        <v>119</v>
      </c>
      <c r="B70" s="544"/>
      <c r="C70" s="544"/>
      <c r="D70" s="544"/>
      <c r="E70" s="544"/>
      <c r="F70" s="544"/>
      <c r="G70" s="544"/>
      <c r="H70" s="544"/>
      <c r="I70" s="545" t="s">
        <v>135</v>
      </c>
      <c r="J70" s="546"/>
      <c r="K70" s="546"/>
      <c r="L70" s="545" t="s">
        <v>136</v>
      </c>
      <c r="M70" s="546"/>
      <c r="N70" s="547"/>
      <c r="O70" s="303"/>
      <c r="P70" s="614" t="s">
        <v>119</v>
      </c>
      <c r="Q70" s="615"/>
      <c r="R70" s="615"/>
      <c r="S70" s="615"/>
      <c r="T70" s="615"/>
      <c r="U70" s="615"/>
      <c r="V70" s="615"/>
      <c r="W70" s="616" t="s">
        <v>1642</v>
      </c>
      <c r="X70" s="617"/>
      <c r="Y70" s="617"/>
      <c r="Z70" s="616" t="s">
        <v>1643</v>
      </c>
      <c r="AA70" s="617"/>
      <c r="AB70" s="618"/>
      <c r="AC70" s="7"/>
      <c r="AD70" s="614" t="s">
        <v>119</v>
      </c>
      <c r="AE70" s="615"/>
      <c r="AF70" s="615"/>
      <c r="AG70" s="615"/>
      <c r="AH70" s="615"/>
      <c r="AI70" s="615"/>
      <c r="AJ70" s="615"/>
      <c r="AK70" s="616" t="s">
        <v>137</v>
      </c>
      <c r="AL70" s="617"/>
      <c r="AM70" s="618"/>
      <c r="AN70" s="7"/>
    </row>
    <row r="71" spans="1:40" ht="27" customHeight="1" x14ac:dyDescent="0.6">
      <c r="A71" s="522" t="s">
        <v>34</v>
      </c>
      <c r="B71" s="523"/>
      <c r="C71" s="523"/>
      <c r="D71" s="523"/>
      <c r="E71" s="523"/>
      <c r="F71" s="523"/>
      <c r="G71" s="523"/>
      <c r="H71" s="524"/>
      <c r="I71" s="518">
        <f>SUMIFS(Input[Instr E&amp;G], Input[System],$P$2)+SUMIFS(Input[Instr Desg], Input[System],$P$2)+SUMIFS(Input[Instr Aux], Input[System],$P$2)+SUMIFS(Input[Instr R Exp], Input[System],$P$2)+SUMIFS(Input[Instr Loan], Input[System],$P$2)+SUMIFS(Input[Instr Annuity], Input[System],$P$2)+SUMIFS(Input[Instr Unexp], Input[System],$P$2)+SUMIFS(Input[Instr R of Ind], Input[System],$P$2)+SUMIFS(Input[Instr Inv in P], Input[System],$P$2)</f>
        <v>0</v>
      </c>
      <c r="J71" s="518"/>
      <c r="K71" s="518"/>
      <c r="L71" s="529">
        <f t="shared" ref="L71:L83" si="18">IFERROR(ROUND(I71/P$1,0),0)</f>
        <v>0</v>
      </c>
      <c r="M71" s="529"/>
      <c r="N71" s="530"/>
      <c r="O71" s="303"/>
      <c r="P71" s="604" t="s">
        <v>34</v>
      </c>
      <c r="Q71" s="605"/>
      <c r="R71" s="605"/>
      <c r="S71" s="605"/>
      <c r="T71" s="605"/>
      <c r="U71" s="605"/>
      <c r="V71" s="606"/>
      <c r="W71" s="611">
        <f>SUMIFS(Input[SRECNA Inst.],Input[System],$P$2)</f>
        <v>0</v>
      </c>
      <c r="X71" s="611"/>
      <c r="Y71" s="611"/>
      <c r="Z71" s="529">
        <f t="shared" ref="Z71:Z80" si="19">SUM(W71,-I71)</f>
        <v>0</v>
      </c>
      <c r="AA71" s="529"/>
      <c r="AB71" s="530"/>
      <c r="AC71" s="7"/>
      <c r="AD71" s="292"/>
      <c r="AE71" s="293" t="str" cm="1">
        <f t="array" ref="AE71">IF(ISBLANK(A1),"",INDEX(P71:P80,MATCH(LARGE(W71:W80,ROW(1:5)),W71:W80,0)))</f>
        <v/>
      </c>
      <c r="AF71" s="293"/>
      <c r="AG71" s="293"/>
      <c r="AH71" s="293"/>
      <c r="AI71" s="293"/>
      <c r="AJ71" s="294"/>
      <c r="AK71" s="426" t="str">
        <f>IFERROR(VLOOKUP(AE71,$P$71:$Y$80,8,FALSE),"")</f>
        <v/>
      </c>
      <c r="AL71" s="426"/>
      <c r="AM71" s="597"/>
      <c r="AN71" s="7"/>
    </row>
    <row r="72" spans="1:40" ht="27" customHeight="1" x14ac:dyDescent="0.6">
      <c r="A72" s="525" t="s">
        <v>35</v>
      </c>
      <c r="B72" s="434"/>
      <c r="C72" s="434"/>
      <c r="D72" s="434"/>
      <c r="E72" s="434"/>
      <c r="F72" s="434"/>
      <c r="G72" s="434"/>
      <c r="H72" s="435"/>
      <c r="I72" s="519">
        <f>SUMIFS(Input[Res E&amp;G], Input[System],$P$2)+SUMIFS(Input[Res Desg], Input[System],$P$2)+SUMIFS(Input[Res Aux], Input[System],$P$2)+SUMIFS(Input[Res R Exp], Input[System],$P$2)+SUMIFS(Input[Res Loan], Input[System],$P$2)+SUMIFS(Input[Res Annuity], Input[System],$P$2)+SUMIFS(Input[Res Unexp], Input[System],$P$2)+SUMIFS(Input[Res R of Ind], Input[System],$P$2)+SUMIFS(Input[Res Inv in P], Input[System],$P$2)</f>
        <v>0</v>
      </c>
      <c r="J72" s="519"/>
      <c r="K72" s="519"/>
      <c r="L72" s="432">
        <f t="shared" si="18"/>
        <v>0</v>
      </c>
      <c r="M72" s="432"/>
      <c r="N72" s="536"/>
      <c r="O72" s="303"/>
      <c r="P72" s="525" t="s">
        <v>35</v>
      </c>
      <c r="Q72" s="434"/>
      <c r="R72" s="434"/>
      <c r="S72" s="434"/>
      <c r="T72" s="434"/>
      <c r="U72" s="434"/>
      <c r="V72" s="435"/>
      <c r="W72" s="431">
        <f>SUMIFS(Input[SRECNA Resh],Input[System],$P$2)</f>
        <v>0</v>
      </c>
      <c r="X72" s="431"/>
      <c r="Y72" s="431"/>
      <c r="Z72" s="432">
        <f t="shared" si="19"/>
        <v>0</v>
      </c>
      <c r="AA72" s="432"/>
      <c r="AB72" s="536"/>
      <c r="AC72" s="309"/>
      <c r="AD72" s="280"/>
      <c r="AE72" s="281"/>
      <c r="AF72" s="281"/>
      <c r="AG72" s="281"/>
      <c r="AH72" s="281"/>
      <c r="AI72" s="281"/>
      <c r="AJ72" s="282"/>
      <c r="AK72" s="591" t="str">
        <f t="shared" ref="AK72:AK75" si="20">IFERROR(VLOOKUP(AE72,$P$71:$Y$80,8,FALSE),"")</f>
        <v/>
      </c>
      <c r="AL72" s="592"/>
      <c r="AM72" s="593"/>
      <c r="AN72" s="7"/>
    </row>
    <row r="73" spans="1:40" ht="27" customHeight="1" x14ac:dyDescent="0.6">
      <c r="A73" s="525" t="s">
        <v>120</v>
      </c>
      <c r="B73" s="434"/>
      <c r="C73" s="434"/>
      <c r="D73" s="434"/>
      <c r="E73" s="434"/>
      <c r="F73" s="434"/>
      <c r="G73" s="434"/>
      <c r="H73" s="435"/>
      <c r="I73" s="519">
        <f>SUMIFS(Input[Pub Srv E&amp;G], Input[System],$P$2)+SUMIFS(Input[Pub Srv Desg], Input[System],$P$2)+SUMIFS(Input[Pub Srv Aux], Input[System],$P$2)+SUMIFS(Input[Pub Srv R Exp], Input[System],$P$2)+SUMIFS(Input[Pub Srv Loan], Input[System],$P$2)+SUMIFS(Input[Pub Srv Annuity], Input[System],$P$2)+SUMIFS(Input[Pub Srv Unexp], Input[System],$P$2)+SUMIFS(Input[Pub Srv R of Ind], Input[System],$P$2)+SUMIFS(Input[Pub Srv Inv in P], Input[System],$P$2)</f>
        <v>0</v>
      </c>
      <c r="J73" s="519"/>
      <c r="K73" s="519"/>
      <c r="L73" s="432">
        <f t="shared" si="18"/>
        <v>0</v>
      </c>
      <c r="M73" s="432"/>
      <c r="N73" s="536"/>
      <c r="O73" s="303"/>
      <c r="P73" s="525" t="s">
        <v>120</v>
      </c>
      <c r="Q73" s="434"/>
      <c r="R73" s="434"/>
      <c r="S73" s="434"/>
      <c r="T73" s="434"/>
      <c r="U73" s="434"/>
      <c r="V73" s="435"/>
      <c r="W73" s="431">
        <f>SUMIFS(Input[SRECNA Pub Svc],Input[System],$P$2)</f>
        <v>0</v>
      </c>
      <c r="X73" s="431"/>
      <c r="Y73" s="431"/>
      <c r="Z73" s="432">
        <f t="shared" si="19"/>
        <v>0</v>
      </c>
      <c r="AA73" s="432"/>
      <c r="AB73" s="536"/>
      <c r="AC73" s="188"/>
      <c r="AD73" s="280"/>
      <c r="AE73" s="281"/>
      <c r="AF73" s="281"/>
      <c r="AG73" s="281"/>
      <c r="AH73" s="281"/>
      <c r="AI73" s="281"/>
      <c r="AJ73" s="282"/>
      <c r="AK73" s="591" t="str">
        <f t="shared" si="20"/>
        <v/>
      </c>
      <c r="AL73" s="592"/>
      <c r="AM73" s="593"/>
      <c r="AN73" s="7"/>
    </row>
    <row r="74" spans="1:40" ht="27" customHeight="1" x14ac:dyDescent="0.6">
      <c r="A74" s="525" t="s">
        <v>113</v>
      </c>
      <c r="B74" s="434"/>
      <c r="C74" s="434"/>
      <c r="D74" s="434"/>
      <c r="E74" s="434"/>
      <c r="F74" s="434"/>
      <c r="G74" s="434"/>
      <c r="H74" s="435"/>
      <c r="I74" s="519">
        <f>SUMIFS(Input[H&amp;C (OU) E&amp;G], Input[System],$P$2)+SUMIFS(Input[H&amp;C (OU) Desg], Input[System],$P$2)+SUMIFS(Input[H&amp;C (OU) Aux], Input[System],$P$2)+SUMIFS(Input[H&amp;C (OU) R Exp], Input[System],$P$2)+SUMIFS(Input[H&amp;C (OU) Loan], Input[System],$P$2)+SUMIFS(Input[H&amp;C (OU) Annuity], Input[System],$P$2)+SUMIFS(Input[H&amp;C (OU) Unexp], Input[System],$P$2)+SUMIFS(Input[H&amp;C (OU) R of Ind], Input[System],$P$2)+SUMIFS(Input[H&amp;C (OU) Inv in P], Input[System],$P$2)</f>
        <v>0</v>
      </c>
      <c r="J74" s="519"/>
      <c r="K74" s="519"/>
      <c r="L74" s="432">
        <f t="shared" si="18"/>
        <v>0</v>
      </c>
      <c r="M74" s="432"/>
      <c r="N74" s="536"/>
      <c r="O74" s="303"/>
      <c r="P74" s="525" t="s">
        <v>113</v>
      </c>
      <c r="Q74" s="434"/>
      <c r="R74" s="434"/>
      <c r="S74" s="434"/>
      <c r="T74" s="434"/>
      <c r="U74" s="434"/>
      <c r="V74" s="435"/>
      <c r="W74" s="431">
        <f>SUMIFS(Input[SRECNA H&amp;C],Input[System],$P$2)</f>
        <v>0</v>
      </c>
      <c r="X74" s="431"/>
      <c r="Y74" s="431"/>
      <c r="Z74" s="432">
        <f t="shared" si="19"/>
        <v>0</v>
      </c>
      <c r="AA74" s="432"/>
      <c r="AB74" s="536"/>
      <c r="AC74" s="188"/>
      <c r="AD74" s="280"/>
      <c r="AE74" s="281"/>
      <c r="AF74" s="281"/>
      <c r="AG74" s="281"/>
      <c r="AH74" s="281"/>
      <c r="AI74" s="281"/>
      <c r="AJ74" s="282"/>
      <c r="AK74" s="591" t="str">
        <f t="shared" si="20"/>
        <v/>
      </c>
      <c r="AL74" s="592"/>
      <c r="AM74" s="593"/>
      <c r="AN74" s="7"/>
    </row>
    <row r="75" spans="1:40" ht="27" customHeight="1" thickBot="1" x14ac:dyDescent="0.65">
      <c r="A75" s="525" t="s">
        <v>36</v>
      </c>
      <c r="B75" s="434"/>
      <c r="C75" s="434"/>
      <c r="D75" s="434"/>
      <c r="E75" s="434"/>
      <c r="F75" s="434"/>
      <c r="G75" s="434"/>
      <c r="H75" s="435"/>
      <c r="I75" s="519">
        <f>SUMIFS(Input[Acad Sup E&amp;G], Input[System],$P$2)+SUMIFS(Input[Acad Sup Desg], Input[System],$P$2)+SUMIFS(Input[Acad Sup Aux], Input[System],$P$2)+SUMIFS(Input[Acad Sup R Exp], Input[System],$P$2)+SUMIFS(Input[Acad Sup Loan], Input[System],$P$2)+SUMIFS(Input[Acad Sup Annuity], Input[System],$P$2)+SUMIFS(Input[Acad Sup Unexp], Input[System],$P$2)+SUMIFS(Input[Acad Sup R of Ind], Input[System],$P$2)+SUMIFS(Input[Acad Sup Inv in P], Input[System],$P$2)</f>
        <v>0</v>
      </c>
      <c r="J75" s="519"/>
      <c r="K75" s="519"/>
      <c r="L75" s="432">
        <f t="shared" si="18"/>
        <v>0</v>
      </c>
      <c r="M75" s="432"/>
      <c r="N75" s="536"/>
      <c r="O75" s="303"/>
      <c r="P75" s="525" t="s">
        <v>36</v>
      </c>
      <c r="Q75" s="434"/>
      <c r="R75" s="434"/>
      <c r="S75" s="434"/>
      <c r="T75" s="434"/>
      <c r="U75" s="434"/>
      <c r="V75" s="435"/>
      <c r="W75" s="431">
        <f>SUMIFS(Input[SRECNA Aca Sppt],Input[System],$P$2)</f>
        <v>0</v>
      </c>
      <c r="X75" s="431"/>
      <c r="Y75" s="431"/>
      <c r="Z75" s="432">
        <f t="shared" si="19"/>
        <v>0</v>
      </c>
      <c r="AA75" s="432"/>
      <c r="AB75" s="536"/>
      <c r="AC75" s="188"/>
      <c r="AD75" s="285"/>
      <c r="AE75" s="286"/>
      <c r="AF75" s="286"/>
      <c r="AG75" s="286"/>
      <c r="AH75" s="286"/>
      <c r="AI75" s="286"/>
      <c r="AJ75" s="287"/>
      <c r="AK75" s="594" t="str">
        <f t="shared" si="20"/>
        <v/>
      </c>
      <c r="AL75" s="595"/>
      <c r="AM75" s="596"/>
      <c r="AN75" s="7"/>
    </row>
    <row r="76" spans="1:40" ht="27" customHeight="1" x14ac:dyDescent="0.6">
      <c r="A76" s="525" t="s">
        <v>37</v>
      </c>
      <c r="B76" s="434"/>
      <c r="C76" s="434"/>
      <c r="D76" s="434"/>
      <c r="E76" s="434"/>
      <c r="F76" s="434"/>
      <c r="G76" s="434"/>
      <c r="H76" s="435"/>
      <c r="I76" s="519">
        <f>SUMIFS(Input[Stu Svc E&amp;G], Input[System],$P$2)+SUMIFS(Input[Stu Svc Desg], Input[System],$P$2)+SUMIFS(Input[Stu Svc Aux], Input[System],$P$2)+SUMIFS(Input[Stu Svc R Exp], Input[System],$P$2)+SUMIFS(Input[Stu Svc Loan], Input[System],$P$2)+SUMIFS(Input[Stu Svc Annuity], Input[System],$P$2)+SUMIFS(Input[Stu Svc Unexp], Input[System],$P$2)+SUMIFS(Input[Stu Svc R of Ind], Input[System],$P$2)+SUMIFS(Input[Stu Svc Inv in P], Input[System],$P$2)</f>
        <v>0</v>
      </c>
      <c r="J76" s="519"/>
      <c r="K76" s="519"/>
      <c r="L76" s="432">
        <f t="shared" si="18"/>
        <v>0</v>
      </c>
      <c r="M76" s="432"/>
      <c r="N76" s="536"/>
      <c r="O76" s="303"/>
      <c r="P76" s="525" t="s">
        <v>37</v>
      </c>
      <c r="Q76" s="434"/>
      <c r="R76" s="434"/>
      <c r="S76" s="434"/>
      <c r="T76" s="434"/>
      <c r="U76" s="434"/>
      <c r="V76" s="435"/>
      <c r="W76" s="431">
        <f>SUMIFS(Input[SRECNA Stu Svcs],Input[System],$P$2)</f>
        <v>0</v>
      </c>
      <c r="X76" s="431"/>
      <c r="Y76" s="431"/>
      <c r="Z76" s="432">
        <f t="shared" si="19"/>
        <v>0</v>
      </c>
      <c r="AA76" s="432"/>
      <c r="AB76" s="536"/>
      <c r="AC76" s="189"/>
      <c r="AD76" s="7"/>
      <c r="AE76" s="7"/>
      <c r="AF76" s="7"/>
      <c r="AG76" s="7"/>
      <c r="AH76" s="7"/>
      <c r="AI76" s="7"/>
      <c r="AJ76" s="7"/>
      <c r="AK76" s="306" t="str">
        <f>IFERROR(VLOOKUP(AD76,$P$41:$Z$54,2,FALSE),"")</f>
        <v/>
      </c>
      <c r="AL76" s="311"/>
      <c r="AM76" s="8"/>
      <c r="AN76" s="7"/>
    </row>
    <row r="77" spans="1:40" ht="27" customHeight="1" x14ac:dyDescent="0.6">
      <c r="A77" s="525" t="s">
        <v>38</v>
      </c>
      <c r="B77" s="434"/>
      <c r="C77" s="434"/>
      <c r="D77" s="434"/>
      <c r="E77" s="434"/>
      <c r="F77" s="434"/>
      <c r="G77" s="434"/>
      <c r="H77" s="435"/>
      <c r="I77" s="519">
        <f>SUMIFS(Input[Inst. Spt E&amp;G], Input[System],$P$2)+SUMIFS(Input[Inst. Spt Desg], Input[System],$P$2)+SUMIFS(Input[Inst. Spt Aux], Input[System],$P$2)+SUMIFS(Input[Inst. Spt R Exp], Input[System],$P$2)+SUMIFS(Input[Inst. Spt Loan], Input[System],$P$2)+SUMIFS(Input[Inst. Spt Annuity], Input[System],$P$2)+SUMIFS(Input[Inst. Spt Unexp], Input[System],$P$2)+SUMIFS(Input[Inst. Spt R of Ind], Input[System],$P$2)+SUMIFS(Input[Inst. Spt Inv in P], Input[System],$P$2)</f>
        <v>0</v>
      </c>
      <c r="J77" s="519"/>
      <c r="K77" s="519"/>
      <c r="L77" s="432">
        <f t="shared" si="18"/>
        <v>0</v>
      </c>
      <c r="M77" s="432"/>
      <c r="N77" s="536"/>
      <c r="O77" s="303"/>
      <c r="P77" s="525" t="s">
        <v>38</v>
      </c>
      <c r="Q77" s="434"/>
      <c r="R77" s="434"/>
      <c r="S77" s="434"/>
      <c r="T77" s="434"/>
      <c r="U77" s="434"/>
      <c r="V77" s="435"/>
      <c r="W77" s="431">
        <f>SUMIFS(Input[SRECNA Inst. Sppt],Input[System],$P$2)</f>
        <v>0</v>
      </c>
      <c r="X77" s="431"/>
      <c r="Y77" s="431"/>
      <c r="Z77" s="432">
        <f t="shared" si="19"/>
        <v>0</v>
      </c>
      <c r="AA77" s="432"/>
      <c r="AB77" s="536"/>
      <c r="AC77" s="188"/>
      <c r="AD77" s="307"/>
      <c r="AE77" s="307"/>
      <c r="AF77" s="307"/>
      <c r="AG77" s="307"/>
      <c r="AH77" s="307"/>
      <c r="AI77" s="307"/>
      <c r="AJ77" s="307"/>
      <c r="AK77" s="307"/>
      <c r="AL77" s="307"/>
      <c r="AM77" s="307"/>
      <c r="AN77" s="7"/>
    </row>
    <row r="78" spans="1:40" ht="27" customHeight="1" x14ac:dyDescent="0.6">
      <c r="A78" s="525" t="s">
        <v>121</v>
      </c>
      <c r="B78" s="434"/>
      <c r="C78" s="434"/>
      <c r="D78" s="434"/>
      <c r="E78" s="434"/>
      <c r="F78" s="434"/>
      <c r="G78" s="434"/>
      <c r="H78" s="435"/>
      <c r="I78" s="519">
        <f>SUMIFS(Input[M&amp;O Plnt E&amp;G], Input[System],$P$2)+SUMIFS(Input[M&amp;O Plnt Desg], Input[System],$P$2)+SUMIFS(Input[M&amp;O Plnt Aux], Input[System],$P$2)+SUMIFS(Input[M&amp;O Plnt R Exp], Input[System],$P$2)+SUMIFS(Input[M&amp;O Plnt Loan], Input[System],$P$2)+SUMIFS(Input[M&amp;O Plnt Annuity], Input[System],$P$2)+SUMIFS(Input[M&amp;O Plnt Unexp], Input[System],$P$2)+SUMIFS(Input[M&amp;O Plnt R of Ind], Input[System],$P$2)+SUMIFS(Input[M&amp;O Plnt Inv in P], Input[System],$P$2)</f>
        <v>0</v>
      </c>
      <c r="J78" s="519"/>
      <c r="K78" s="519"/>
      <c r="L78" s="432">
        <f t="shared" si="18"/>
        <v>0</v>
      </c>
      <c r="M78" s="432"/>
      <c r="N78" s="536"/>
      <c r="O78" s="303"/>
      <c r="P78" s="525" t="s">
        <v>121</v>
      </c>
      <c r="Q78" s="434"/>
      <c r="R78" s="434"/>
      <c r="S78" s="434"/>
      <c r="T78" s="434"/>
      <c r="U78" s="434"/>
      <c r="V78" s="435"/>
      <c r="W78" s="431">
        <f>SUMIFS(Input[SRECNA Op &amp; Maint],Input[System],$P$2)</f>
        <v>0</v>
      </c>
      <c r="X78" s="431"/>
      <c r="Y78" s="431"/>
      <c r="Z78" s="432">
        <f t="shared" si="19"/>
        <v>0</v>
      </c>
      <c r="AA78" s="432"/>
      <c r="AB78" s="536"/>
      <c r="AC78" s="188"/>
      <c r="AD78" s="307"/>
      <c r="AE78" s="307"/>
      <c r="AF78" s="307"/>
      <c r="AG78" s="307"/>
      <c r="AH78" s="307"/>
      <c r="AI78" s="307"/>
      <c r="AJ78" s="307"/>
      <c r="AK78" s="307"/>
      <c r="AL78" s="307"/>
      <c r="AM78" s="307"/>
      <c r="AN78" s="7"/>
    </row>
    <row r="79" spans="1:40" ht="27" customHeight="1" x14ac:dyDescent="0.6">
      <c r="A79" s="525" t="s">
        <v>122</v>
      </c>
      <c r="B79" s="434"/>
      <c r="C79" s="434"/>
      <c r="D79" s="434"/>
      <c r="E79" s="434"/>
      <c r="F79" s="434"/>
      <c r="G79" s="434"/>
      <c r="H79" s="435"/>
      <c r="I79" s="519">
        <f>SUMIFS(Input[Schl &amp; Fell E&amp;G], Input[System],$P$2)+SUMIFS(Input[Schl &amp; Fell Desg], Input[System],$P$2)+SUMIFS(Input[Schl &amp; Fell Aux], Input[System],$P$2)+SUMIFS(Input[Schl &amp; Fell R Exp], Input[System],$P$2)+SUMIFS(Input[Schl &amp; Fell Loan], Input[System],$P$2)+SUMIFS(Input[Schl &amp; Fell Annuity], Input[System],$P$2)+SUMIFS(Input[Schl &amp; Fell Unexp], Input[System],$P$2)+SUMIFS(Input[Schl &amp; Fell R of Ind], Input[System],$P$2)+SUMIFS(Input[Schl &amp; Fell Inv in P], Input[System],$P$2)</f>
        <v>0</v>
      </c>
      <c r="J79" s="519"/>
      <c r="K79" s="519"/>
      <c r="L79" s="432">
        <f t="shared" si="18"/>
        <v>0</v>
      </c>
      <c r="M79" s="432"/>
      <c r="N79" s="536"/>
      <c r="O79" s="303"/>
      <c r="P79" s="525" t="s">
        <v>122</v>
      </c>
      <c r="Q79" s="434"/>
      <c r="R79" s="434"/>
      <c r="S79" s="434"/>
      <c r="T79" s="434"/>
      <c r="U79" s="434"/>
      <c r="V79" s="435"/>
      <c r="W79" s="431">
        <f>SUMIFS(Input[SRECNA Schl &amp; Fell],Input[System],$P$2)</f>
        <v>0</v>
      </c>
      <c r="X79" s="431"/>
      <c r="Y79" s="431"/>
      <c r="Z79" s="432">
        <f t="shared" si="19"/>
        <v>0</v>
      </c>
      <c r="AA79" s="432"/>
      <c r="AB79" s="536"/>
      <c r="AC79" s="188"/>
      <c r="AD79" s="307"/>
      <c r="AE79" s="307"/>
      <c r="AF79" s="307"/>
      <c r="AG79" s="307"/>
      <c r="AH79" s="307"/>
      <c r="AI79" s="307"/>
      <c r="AJ79" s="307"/>
      <c r="AK79" s="307"/>
      <c r="AL79" s="307"/>
      <c r="AM79" s="307"/>
      <c r="AN79" s="7"/>
    </row>
    <row r="80" spans="1:40" ht="27" customHeight="1" x14ac:dyDescent="0.6">
      <c r="A80" s="525" t="s">
        <v>152</v>
      </c>
      <c r="B80" s="434"/>
      <c r="C80" s="434"/>
      <c r="D80" s="434"/>
      <c r="E80" s="434"/>
      <c r="F80" s="434"/>
      <c r="G80" s="434"/>
      <c r="H80" s="435"/>
      <c r="I80" s="519">
        <f>SUMIFS(Input[Aux Ent E&amp;G], Input[System],$P$2)+SUMIFS(Input[Aux Ent Desg], Input[System],$P$2)+SUMIFS(Input[Aux Ent Aux], Input[System],$P$2)+SUMIFS(Input[Aux Ent R Exp], Input[System],$P$2)+SUMIFS(Input[Aux Ent Loan], Input[System],$P$2)+SUMIFS(Input[Aux Ent Annuity], Input[System],$P$2)+SUMIFS(Input[Aux Ent Unexp], Input[System],$P$2)+SUMIFS(Input[Aux Ent R of Ind], Input[System],$P$2)+SUMIFS(Input[Aux Ent Inv in P], Input[System],$P$2)</f>
        <v>0</v>
      </c>
      <c r="J80" s="519"/>
      <c r="K80" s="519"/>
      <c r="L80" s="432">
        <f t="shared" si="18"/>
        <v>0</v>
      </c>
      <c r="M80" s="432"/>
      <c r="N80" s="536"/>
      <c r="O80" s="303"/>
      <c r="P80" s="525" t="s">
        <v>152</v>
      </c>
      <c r="Q80" s="434"/>
      <c r="R80" s="434"/>
      <c r="S80" s="434"/>
      <c r="T80" s="434"/>
      <c r="U80" s="434"/>
      <c r="V80" s="435"/>
      <c r="W80" s="431">
        <f>SUMIFS(Input[SRECNA Aux],Input[System],$P$2)</f>
        <v>0</v>
      </c>
      <c r="X80" s="431"/>
      <c r="Y80" s="431"/>
      <c r="Z80" s="432">
        <f t="shared" si="19"/>
        <v>0</v>
      </c>
      <c r="AA80" s="432"/>
      <c r="AB80" s="536"/>
      <c r="AC80" s="188"/>
      <c r="AD80" s="307"/>
      <c r="AE80" s="307"/>
      <c r="AF80" s="307"/>
      <c r="AG80" s="307"/>
      <c r="AH80" s="307"/>
      <c r="AI80" s="307"/>
      <c r="AJ80" s="307"/>
      <c r="AK80" s="307"/>
      <c r="AL80" s="307"/>
      <c r="AM80" s="307"/>
      <c r="AN80" s="7"/>
    </row>
    <row r="81" spans="1:40" ht="27" customHeight="1" thickBot="1" x14ac:dyDescent="0.65">
      <c r="A81" s="525" t="s">
        <v>123</v>
      </c>
      <c r="B81" s="434"/>
      <c r="C81" s="434"/>
      <c r="D81" s="434"/>
      <c r="E81" s="434"/>
      <c r="F81" s="434"/>
      <c r="G81" s="434"/>
      <c r="H81" s="435"/>
      <c r="I81" s="519">
        <f>SUMIFS(Input[Cap Out fund E&amp;G], Input[System],$P$2)+SUMIFS(Input[Cap Out fund Desg], Input[System],$P$2)+SUMIFS(Input[Cap Out fund Aux], Input[System],$P$2)+SUMIFS(Input[Cap Out fund R Exp], Input[System],$P$2)+SUMIFS(Input[Cap Out fund Loan], Input[System],$P$2)+SUMIFS(Input[Cap Out fund Annuity], Input[System],$P$2)+SUMIFS(Input[Cap Out fund Unexp], Input[System],$P$2)+SUMIFS(Input[Cap Out fund R of Ind], Input[System],$P$2)+SUMIFS(Input[Cap Out fund Inv in P], Input[System],$P$2)</f>
        <v>0</v>
      </c>
      <c r="J81" s="519"/>
      <c r="K81" s="519"/>
      <c r="L81" s="432">
        <f t="shared" si="18"/>
        <v>0</v>
      </c>
      <c r="M81" s="432"/>
      <c r="N81" s="536"/>
      <c r="O81" s="303"/>
      <c r="P81" s="531" t="s">
        <v>1641</v>
      </c>
      <c r="Q81" s="532"/>
      <c r="R81" s="532"/>
      <c r="S81" s="532"/>
      <c r="T81" s="532"/>
      <c r="U81" s="532"/>
      <c r="V81" s="533"/>
      <c r="W81" s="540">
        <f>I101*-1</f>
        <v>0</v>
      </c>
      <c r="X81" s="540"/>
      <c r="Y81" s="540"/>
      <c r="Z81" s="534">
        <f>SUM(W81,I101)</f>
        <v>0</v>
      </c>
      <c r="AA81" s="534"/>
      <c r="AB81" s="535"/>
      <c r="AC81" s="188"/>
      <c r="AD81" s="307"/>
      <c r="AE81" s="307"/>
      <c r="AF81" s="307"/>
      <c r="AG81" s="307"/>
      <c r="AH81" s="307"/>
      <c r="AI81" s="307"/>
      <c r="AJ81" s="307"/>
      <c r="AK81" s="307"/>
      <c r="AL81" s="307"/>
      <c r="AM81" s="307"/>
      <c r="AN81" s="7"/>
    </row>
    <row r="82" spans="1:40" ht="27" customHeight="1" thickBot="1" x14ac:dyDescent="0.65">
      <c r="A82" s="525" t="s">
        <v>155</v>
      </c>
      <c r="B82" s="434"/>
      <c r="C82" s="434"/>
      <c r="D82" s="434"/>
      <c r="E82" s="434"/>
      <c r="F82" s="434"/>
      <c r="G82" s="434"/>
      <c r="H82" s="435"/>
      <c r="I82" s="520">
        <f>SUMIFS(Input[Oth Exp E&amp;G], Input[System],$P$2)+SUMIFS(Input[Oth Exp Desg], Input[System],$P$2)+SUMIFS(Input[Oth Exp Aux], Input[System],$P$2)+SUMIFS(Input[Oth Exp R Exp], Input[System],$P$2)+SUMIFS(Input[Oth Exp Loan], Input[System],$P$2)+SUMIFS(Input[Oth Exp Annuity], Input[System],$P$2)+SUMIFS(Input[Oth Exp Unexp], Input[System],$P$2)+SUMIFS(Input[Oth Exp R of Ind], Input[System],$P$2)+SUMIFS(Input[Oth Exp Inv in P], Input[System],$P$2)</f>
        <v>0</v>
      </c>
      <c r="J82" s="520"/>
      <c r="K82" s="520"/>
      <c r="L82" s="534">
        <f t="shared" si="18"/>
        <v>0</v>
      </c>
      <c r="M82" s="534"/>
      <c r="N82" s="535"/>
      <c r="O82" s="303"/>
      <c r="P82" s="7"/>
      <c r="Q82" s="7"/>
      <c r="R82" s="7"/>
      <c r="S82" s="7"/>
      <c r="T82" s="7"/>
      <c r="U82" s="7"/>
      <c r="V82" s="7"/>
      <c r="W82" s="310"/>
      <c r="X82" s="310"/>
      <c r="Y82" s="310"/>
      <c r="Z82" s="310"/>
      <c r="AA82" s="310"/>
      <c r="AB82" s="310"/>
      <c r="AC82" s="188"/>
      <c r="AD82" s="307"/>
      <c r="AE82" s="307"/>
      <c r="AF82" s="307"/>
      <c r="AG82" s="307"/>
      <c r="AH82" s="307"/>
      <c r="AI82" s="307"/>
      <c r="AJ82" s="307"/>
      <c r="AK82" s="307"/>
      <c r="AL82" s="307"/>
      <c r="AM82" s="307"/>
      <c r="AN82" s="7"/>
    </row>
    <row r="83" spans="1:40" ht="27" customHeight="1" thickBot="1" x14ac:dyDescent="0.65">
      <c r="A83" s="509" t="s">
        <v>99</v>
      </c>
      <c r="B83" s="510"/>
      <c r="C83" s="510"/>
      <c r="D83" s="510"/>
      <c r="E83" s="510"/>
      <c r="F83" s="510"/>
      <c r="G83" s="510"/>
      <c r="H83" s="510"/>
      <c r="I83" s="516">
        <f>SUM(I71:I82)</f>
        <v>0</v>
      </c>
      <c r="J83" s="516"/>
      <c r="K83" s="516"/>
      <c r="L83" s="516">
        <f t="shared" si="18"/>
        <v>0</v>
      </c>
      <c r="M83" s="516"/>
      <c r="N83" s="517"/>
      <c r="O83" s="303"/>
      <c r="P83" s="7"/>
      <c r="Q83" s="7"/>
      <c r="R83" s="7"/>
      <c r="S83" s="7"/>
      <c r="T83" s="7"/>
      <c r="U83" s="7"/>
      <c r="V83" s="7"/>
      <c r="W83" s="7"/>
      <c r="X83" s="7"/>
      <c r="Y83" s="7"/>
      <c r="Z83" s="7"/>
      <c r="AA83" s="7"/>
      <c r="AB83" s="7"/>
      <c r="AC83" s="312"/>
      <c r="AD83" s="307"/>
      <c r="AE83" s="307"/>
      <c r="AF83" s="307"/>
      <c r="AG83" s="307"/>
      <c r="AH83" s="307"/>
      <c r="AI83" s="307"/>
      <c r="AJ83" s="307"/>
      <c r="AK83" s="307"/>
      <c r="AL83" s="307"/>
      <c r="AM83" s="307"/>
      <c r="AN83" s="7"/>
    </row>
    <row r="84" spans="1:40" ht="27" customHeight="1" thickBot="1" x14ac:dyDescent="0.65">
      <c r="A84" s="274"/>
      <c r="B84" s="275"/>
      <c r="C84" s="275"/>
      <c r="D84" s="275"/>
      <c r="E84" s="275"/>
      <c r="F84" s="275"/>
      <c r="G84" s="275"/>
      <c r="H84" s="275"/>
      <c r="I84" s="275"/>
      <c r="J84" s="275"/>
      <c r="K84" s="275"/>
      <c r="L84" s="276"/>
      <c r="M84" s="22"/>
      <c r="N84" s="22"/>
      <c r="O84" s="303"/>
      <c r="P84" s="7"/>
      <c r="Q84" s="7"/>
      <c r="R84" s="7"/>
      <c r="S84" s="7"/>
      <c r="T84" s="7"/>
      <c r="U84" s="7"/>
      <c r="V84" s="7"/>
      <c r="W84" s="7"/>
      <c r="X84" s="7"/>
      <c r="Y84" s="7"/>
      <c r="Z84" s="7"/>
      <c r="AA84" s="7"/>
      <c r="AB84" s="7"/>
      <c r="AC84" s="190"/>
      <c r="AD84" s="307"/>
      <c r="AE84" s="307"/>
      <c r="AF84" s="307"/>
      <c r="AG84" s="307"/>
      <c r="AH84" s="307"/>
      <c r="AI84" s="307"/>
      <c r="AJ84" s="307"/>
      <c r="AK84" s="307"/>
      <c r="AL84" s="307"/>
      <c r="AM84" s="307"/>
      <c r="AN84" s="7"/>
    </row>
    <row r="85" spans="1:40" ht="27" customHeight="1" thickBot="1" x14ac:dyDescent="0.65">
      <c r="A85" s="543" t="s">
        <v>124</v>
      </c>
      <c r="B85" s="544"/>
      <c r="C85" s="544"/>
      <c r="D85" s="544"/>
      <c r="E85" s="544"/>
      <c r="F85" s="544"/>
      <c r="G85" s="544"/>
      <c r="H85" s="544"/>
      <c r="I85" s="545" t="s">
        <v>135</v>
      </c>
      <c r="J85" s="546"/>
      <c r="K85" s="546"/>
      <c r="L85" s="545" t="s">
        <v>136</v>
      </c>
      <c r="M85" s="546"/>
      <c r="N85" s="547"/>
      <c r="O85" s="303"/>
      <c r="P85" s="7"/>
      <c r="Q85" s="7"/>
      <c r="R85" s="7"/>
      <c r="S85" s="7"/>
      <c r="T85" s="7"/>
      <c r="U85" s="7"/>
      <c r="V85" s="7"/>
      <c r="W85" s="7"/>
      <c r="X85" s="7"/>
      <c r="Y85" s="7"/>
      <c r="Z85" s="7"/>
      <c r="AA85" s="7"/>
      <c r="AB85" s="7"/>
      <c r="AC85" s="7"/>
      <c r="AD85" s="7"/>
      <c r="AE85" s="7"/>
      <c r="AF85" s="7"/>
      <c r="AG85" s="7"/>
      <c r="AH85" s="7"/>
      <c r="AI85" s="7"/>
      <c r="AJ85" s="7"/>
      <c r="AK85" s="7"/>
      <c r="AL85" s="7"/>
      <c r="AM85" s="7"/>
      <c r="AN85" s="7"/>
    </row>
    <row r="86" spans="1:40" ht="27" customHeight="1" x14ac:dyDescent="0.6">
      <c r="A86" s="522" t="s">
        <v>125</v>
      </c>
      <c r="B86" s="523"/>
      <c r="C86" s="523"/>
      <c r="D86" s="523"/>
      <c r="E86" s="523"/>
      <c r="F86" s="523"/>
      <c r="G86" s="523"/>
      <c r="H86" s="524"/>
      <c r="I86" s="518">
        <f>SUMIFS(Input[Cap Out n-Fund E&amp;G], Input[System],$P$2)+SUMIFS(Input[Cap Out n-Fund Desg], Input[System],$P$2)+SUMIFS(Input[Cap Out n-Fund Aux], Input[System],$P$2)+SUMIFS(Input[Cap Out n-Fund R Exp], Input[System],$P$2)+SUMIFS(Input[Cap Out n-Fund Loan], Input[System],$P$2)+SUMIFS(Input[Cap Out n-Fund Annuity], Input[System],$P$2)+SUMIFS(Input[Cap Out n-Fund Unexp], Input[System],$P$2)+SUMIFS(Input[Cap Out n-Fund R of Ind], Input[System],$P$2)+SUMIFS(Input[Cap Out n-Fund Inv in P], Input[System],$P$2)</f>
        <v>0</v>
      </c>
      <c r="J86" s="518"/>
      <c r="K86" s="518"/>
      <c r="L86" s="529">
        <f t="shared" ref="L86:L90" si="21">IFERROR(ROUND(I86/P$1,0),0)</f>
        <v>0</v>
      </c>
      <c r="M86" s="529"/>
      <c r="N86" s="530"/>
      <c r="O86" s="303"/>
      <c r="P86" s="7"/>
      <c r="Q86" s="7"/>
      <c r="R86" s="7"/>
      <c r="S86" s="7"/>
      <c r="T86" s="7"/>
      <c r="U86" s="7"/>
      <c r="V86" s="7"/>
      <c r="W86" s="7"/>
      <c r="X86" s="7"/>
      <c r="Y86" s="7"/>
      <c r="Z86" s="7"/>
      <c r="AA86" s="7"/>
      <c r="AB86" s="7"/>
      <c r="AC86" s="7"/>
      <c r="AD86" s="7"/>
      <c r="AE86" s="7"/>
      <c r="AF86" s="7"/>
      <c r="AG86" s="7"/>
      <c r="AH86" s="7"/>
      <c r="AI86" s="7"/>
      <c r="AJ86" s="7"/>
      <c r="AK86" s="7"/>
      <c r="AL86" s="7"/>
      <c r="AM86" s="7"/>
      <c r="AN86" s="7"/>
    </row>
    <row r="87" spans="1:40" ht="27" customHeight="1" x14ac:dyDescent="0.6">
      <c r="A87" s="525" t="s">
        <v>156</v>
      </c>
      <c r="B87" s="434"/>
      <c r="C87" s="434"/>
      <c r="D87" s="434"/>
      <c r="E87" s="434"/>
      <c r="F87" s="434"/>
      <c r="G87" s="434"/>
      <c r="H87" s="435"/>
      <c r="I87" s="519">
        <f>SUMIFS(Input[M&amp;Nm Xfrs E&amp;G], Input[System],$P$2)+SUMIFS(Input[M&amp;Nm Xfrs Desg], Input[System],$P$2)+SUMIFS(Input[M&amp;Nm Xfrs Aux], Input[System],$P$2)+SUMIFS(Input[M&amp;Nm Xfrs R Exp], Input[System],$P$2)+SUMIFS(Input[M&amp;Nm Xfrs Loan], Input[System],$P$2)+SUMIFS(Input[M&amp;Nm Xfrs Annuity], Input[System],$P$2)+SUMIFS(Input[M&amp;Nm Xfrs Unexp], Input[System],$P$2)+SUMIFS(Input[M&amp;Nm Xfrs R of Ind], Input[System],$P$2)+SUMIFS(Input[M&amp;Nm Xfrs Inv in P], Input[System],$P$2)</f>
        <v>0</v>
      </c>
      <c r="J87" s="519"/>
      <c r="K87" s="519"/>
      <c r="L87" s="432">
        <f t="shared" si="21"/>
        <v>0</v>
      </c>
      <c r="M87" s="432"/>
      <c r="N87" s="536"/>
      <c r="O87" s="303"/>
      <c r="P87" s="7"/>
      <c r="Q87" s="7"/>
      <c r="R87" s="7"/>
      <c r="S87" s="7"/>
      <c r="T87" s="7"/>
      <c r="U87" s="7"/>
      <c r="V87" s="7"/>
      <c r="W87" s="7"/>
      <c r="X87" s="7"/>
      <c r="Y87" s="7"/>
      <c r="Z87" s="7"/>
      <c r="AA87" s="7"/>
      <c r="AB87" s="7"/>
      <c r="AC87" s="7"/>
      <c r="AD87" s="7"/>
      <c r="AE87" s="7"/>
      <c r="AF87" s="7"/>
      <c r="AG87" s="7"/>
      <c r="AH87" s="7"/>
      <c r="AI87" s="7"/>
      <c r="AJ87" s="7"/>
      <c r="AK87" s="7"/>
      <c r="AL87" s="7"/>
      <c r="AM87" s="7"/>
      <c r="AN87" s="7"/>
    </row>
    <row r="88" spans="1:40" ht="27" customHeight="1" x14ac:dyDescent="0.6">
      <c r="A88" s="525" t="s">
        <v>157</v>
      </c>
      <c r="B88" s="434"/>
      <c r="C88" s="434"/>
      <c r="D88" s="434"/>
      <c r="E88" s="434"/>
      <c r="F88" s="434"/>
      <c r="G88" s="434"/>
      <c r="H88" s="435"/>
      <c r="I88" s="519">
        <f>SUMIFS(Input[Bond Xfrs In E&amp;G], Input[System],$P$2)+SUMIFS(Input[Bond Xfrs In Desg], Input[System],$P$2)+SUMIFS(Input[Bond Xfrs In Aux], Input[System],$P$2)+SUMIFS(Input[Bond Xfrs In R Exp], Input[System],$P$2)+SUMIFS(Input[Bond Xfrs In Loan], Input[System],$P$2)+SUMIFS(Input[Bond Xfrs In Annuity], Input[System],$P$2)+SUMIFS(Input[Bond Xfrs In Unexp], Input[System],$P$2)+SUMIFS(Input[Bond Xfrs In R of Ind], Input[System],$P$2)+SUMIFS(Input[Bond Xfrs In Inv in P], Input[System],$P$2)</f>
        <v>0</v>
      </c>
      <c r="J88" s="519"/>
      <c r="K88" s="519"/>
      <c r="L88" s="432">
        <f t="shared" si="21"/>
        <v>0</v>
      </c>
      <c r="M88" s="432"/>
      <c r="N88" s="536"/>
      <c r="O88" s="303"/>
      <c r="P88" s="7"/>
      <c r="Q88" s="7"/>
      <c r="R88" s="7"/>
      <c r="S88" s="7"/>
      <c r="T88" s="7"/>
      <c r="U88" s="7"/>
      <c r="V88" s="7"/>
      <c r="W88" s="7"/>
      <c r="X88" s="7"/>
      <c r="Y88" s="7"/>
      <c r="Z88" s="7"/>
      <c r="AA88" s="7"/>
      <c r="AB88" s="7"/>
      <c r="AC88" s="7"/>
      <c r="AD88" s="7"/>
      <c r="AE88" s="7"/>
      <c r="AF88" s="7"/>
      <c r="AG88" s="7"/>
      <c r="AH88" s="7"/>
      <c r="AI88" s="7"/>
      <c r="AJ88" s="7"/>
      <c r="AK88" s="7"/>
      <c r="AL88" s="7"/>
      <c r="AM88" s="7"/>
      <c r="AN88" s="7"/>
    </row>
    <row r="89" spans="1:40" ht="27" customHeight="1" thickBot="1" x14ac:dyDescent="0.65">
      <c r="A89" s="525" t="s">
        <v>158</v>
      </c>
      <c r="B89" s="434"/>
      <c r="C89" s="434"/>
      <c r="D89" s="434"/>
      <c r="E89" s="434"/>
      <c r="F89" s="434"/>
      <c r="G89" s="434"/>
      <c r="H89" s="435"/>
      <c r="I89" s="520">
        <f>SUMIFS(Input[Debt Srv Pay E&amp;G], Input[System],$P$2)+SUMIFS(Input[Debt Srv Pay Desg], Input[System],$P$2)+SUMIFS(Input[Debt Srv Pay Aux], Input[System],$P$2)+SUMIFS(Input[Debt Srv Pay R Exp], Input[System],$P$2)+SUMIFS(Input[Debt Srv Pay Loan], Input[System],$P$2)+SUMIFS(Input[Debt Srv Pay Annuity], Input[System],$P$2)+SUMIFS(Input[Debt Srv Pay Unexp], Input[System],$P$2)+SUMIFS(Input[Debt Srv Pay R of Ind], Input[System],$P$2)+SUMIFS(Input[Debt Srv Pay Inv in P], Input[System],$P$2)</f>
        <v>0</v>
      </c>
      <c r="J89" s="520"/>
      <c r="K89" s="520"/>
      <c r="L89" s="534">
        <f t="shared" si="21"/>
        <v>0</v>
      </c>
      <c r="M89" s="534"/>
      <c r="N89" s="535"/>
      <c r="O89" s="303"/>
      <c r="P89" s="7"/>
      <c r="Q89" s="7"/>
      <c r="R89" s="7"/>
      <c r="S89" s="7"/>
      <c r="T89" s="7"/>
      <c r="U89" s="7"/>
      <c r="V89" s="7"/>
      <c r="W89" s="7"/>
      <c r="X89" s="7"/>
      <c r="Y89" s="7"/>
      <c r="Z89" s="7"/>
      <c r="AA89" s="7"/>
      <c r="AB89" s="7"/>
      <c r="AC89" s="7"/>
      <c r="AD89" s="7"/>
      <c r="AE89" s="7"/>
      <c r="AF89" s="7"/>
      <c r="AG89" s="7"/>
      <c r="AH89" s="7"/>
      <c r="AI89" s="7"/>
      <c r="AJ89" s="7"/>
      <c r="AK89" s="7"/>
      <c r="AL89" s="7"/>
      <c r="AM89" s="7"/>
      <c r="AN89" s="7"/>
    </row>
    <row r="90" spans="1:40" ht="27" customHeight="1" thickBot="1" x14ac:dyDescent="0.65">
      <c r="A90" s="509" t="s">
        <v>99</v>
      </c>
      <c r="B90" s="510"/>
      <c r="C90" s="510"/>
      <c r="D90" s="510"/>
      <c r="E90" s="510"/>
      <c r="F90" s="510"/>
      <c r="G90" s="510"/>
      <c r="H90" s="510"/>
      <c r="I90" s="516">
        <f>SUM(I86:I89)</f>
        <v>0</v>
      </c>
      <c r="J90" s="516"/>
      <c r="K90" s="516"/>
      <c r="L90" s="516">
        <f t="shared" si="21"/>
        <v>0</v>
      </c>
      <c r="M90" s="516"/>
      <c r="N90" s="517"/>
      <c r="O90" s="303"/>
      <c r="P90" s="7"/>
      <c r="Q90" s="7"/>
      <c r="R90" s="7"/>
      <c r="S90" s="7"/>
      <c r="T90" s="7"/>
      <c r="U90" s="7"/>
      <c r="V90" s="7"/>
      <c r="W90" s="7"/>
      <c r="X90" s="7"/>
      <c r="Y90" s="7"/>
      <c r="Z90" s="7"/>
      <c r="AA90" s="7"/>
      <c r="AB90" s="7"/>
      <c r="AC90" s="7"/>
      <c r="AD90" s="7"/>
      <c r="AE90" s="7"/>
      <c r="AF90" s="7"/>
      <c r="AG90" s="7"/>
      <c r="AH90" s="7"/>
      <c r="AI90" s="7"/>
      <c r="AJ90" s="7"/>
      <c r="AK90" s="7"/>
      <c r="AL90" s="7"/>
      <c r="AM90" s="7"/>
      <c r="AN90" s="7"/>
    </row>
    <row r="91" spans="1:40" ht="27" customHeight="1" thickBot="1" x14ac:dyDescent="0.8">
      <c r="A91" s="253"/>
      <c r="B91" s="253"/>
      <c r="C91" s="253"/>
      <c r="D91" s="253"/>
      <c r="E91" s="253"/>
      <c r="F91" s="253"/>
      <c r="G91" s="253"/>
      <c r="H91" s="253"/>
      <c r="I91" s="9"/>
      <c r="J91" s="9"/>
      <c r="K91" s="9"/>
      <c r="L91" s="9"/>
      <c r="M91" s="9"/>
      <c r="N91" s="9"/>
      <c r="O91" s="303"/>
      <c r="P91" s="7"/>
      <c r="Q91" s="7"/>
      <c r="R91" s="7"/>
      <c r="S91" s="7"/>
      <c r="T91" s="7"/>
      <c r="U91" s="7"/>
      <c r="V91" s="7"/>
      <c r="W91" s="7"/>
      <c r="X91" s="7"/>
      <c r="Y91" s="7"/>
      <c r="Z91" s="7"/>
      <c r="AA91" s="7"/>
      <c r="AB91" s="7"/>
      <c r="AC91" s="7"/>
      <c r="AD91" s="7"/>
      <c r="AE91" s="7"/>
      <c r="AF91" s="7"/>
      <c r="AG91" s="7"/>
      <c r="AH91" s="7"/>
      <c r="AI91" s="7"/>
      <c r="AJ91" s="7"/>
      <c r="AK91" s="7"/>
      <c r="AL91" s="7"/>
      <c r="AM91" s="7"/>
      <c r="AN91" s="7"/>
    </row>
    <row r="92" spans="1:40" ht="27" customHeight="1" thickBot="1" x14ac:dyDescent="0.65">
      <c r="A92" s="543" t="s">
        <v>126</v>
      </c>
      <c r="B92" s="544"/>
      <c r="C92" s="544"/>
      <c r="D92" s="544"/>
      <c r="E92" s="544"/>
      <c r="F92" s="544"/>
      <c r="G92" s="544"/>
      <c r="H92" s="544"/>
      <c r="I92" s="545" t="s">
        <v>135</v>
      </c>
      <c r="J92" s="546"/>
      <c r="K92" s="546"/>
      <c r="L92" s="545" t="s">
        <v>136</v>
      </c>
      <c r="M92" s="546"/>
      <c r="N92" s="547"/>
      <c r="O92" s="303"/>
      <c r="P92" s="7"/>
      <c r="Q92" s="7"/>
      <c r="R92" s="7"/>
      <c r="S92" s="7"/>
      <c r="T92" s="7"/>
      <c r="U92" s="7"/>
      <c r="V92" s="7"/>
      <c r="W92" s="7"/>
      <c r="X92" s="7"/>
      <c r="Y92" s="7"/>
      <c r="Z92" s="7"/>
      <c r="AA92" s="7"/>
      <c r="AB92" s="7"/>
      <c r="AC92" s="7"/>
      <c r="AD92" s="7"/>
      <c r="AE92" s="7"/>
      <c r="AF92" s="7"/>
      <c r="AG92" s="7"/>
      <c r="AH92" s="7"/>
      <c r="AI92" s="7"/>
      <c r="AJ92" s="7"/>
      <c r="AK92" s="7"/>
      <c r="AL92" s="7"/>
      <c r="AM92" s="7"/>
      <c r="AN92" s="7"/>
    </row>
    <row r="93" spans="1:40" ht="27" customHeight="1" x14ac:dyDescent="0.6">
      <c r="A93" s="522" t="s">
        <v>159</v>
      </c>
      <c r="B93" s="523"/>
      <c r="C93" s="523"/>
      <c r="D93" s="523"/>
      <c r="E93" s="523"/>
      <c r="F93" s="523"/>
      <c r="G93" s="523"/>
      <c r="H93" s="524"/>
      <c r="I93" s="518">
        <f>SUMIFS(Input[Unreal G/L E&amp;G], Input[System],$P$2)+SUMIFS(Input[Unreal G/L Desg], Input[System],$P$2)+SUMIFS(Input[Unreal G/L Aux], Input[System],$P$2)+SUMIFS(Input[Unreal G/L R Exp], Input[System],$P$2)+SUMIFS(Input[Unreal G/L Loan], Input[System],$P$2)+SUMIFS(Input[Unreal G/L Annuity], Input[System],$P$2)+SUMIFS(Input[Unreal G/L Unexp], Input[System],$P$2)+SUMIFS(Input[Unreal G/L R of Ind], Input[System],$P$2)+SUMIFS(Input[Unreal G/L Inv in P], Input[System],$P$2)</f>
        <v>0</v>
      </c>
      <c r="J93" s="518"/>
      <c r="K93" s="518"/>
      <c r="L93" s="529">
        <f t="shared" ref="L93:L95" si="22">IFERROR(ROUND(I93/P$1,0),0)</f>
        <v>0</v>
      </c>
      <c r="M93" s="529"/>
      <c r="N93" s="530"/>
      <c r="O93" s="303"/>
      <c r="P93" s="7"/>
      <c r="Q93" s="7"/>
      <c r="R93" s="7"/>
      <c r="S93" s="7"/>
      <c r="T93" s="7"/>
      <c r="U93" s="7"/>
      <c r="V93" s="7"/>
      <c r="W93" s="7"/>
      <c r="X93" s="7"/>
      <c r="Y93" s="7"/>
      <c r="Z93" s="7"/>
      <c r="AA93" s="7"/>
      <c r="AB93" s="7"/>
      <c r="AC93" s="7"/>
      <c r="AD93" s="7"/>
      <c r="AE93" s="7"/>
      <c r="AF93" s="7"/>
      <c r="AG93" s="7"/>
      <c r="AH93" s="7"/>
      <c r="AI93" s="7"/>
      <c r="AJ93" s="7"/>
      <c r="AK93" s="7"/>
      <c r="AL93" s="7"/>
      <c r="AM93" s="7"/>
      <c r="AN93" s="7"/>
    </row>
    <row r="94" spans="1:40" ht="27" customHeight="1" thickBot="1" x14ac:dyDescent="0.65">
      <c r="A94" s="525" t="s">
        <v>160</v>
      </c>
      <c r="B94" s="434"/>
      <c r="C94" s="434"/>
      <c r="D94" s="434"/>
      <c r="E94" s="434"/>
      <c r="F94" s="434"/>
      <c r="G94" s="434"/>
      <c r="H94" s="435"/>
      <c r="I94" s="520">
        <f>SUMIFS(Input[Add End E&amp;G], Input[System],$P$2)+SUMIFS(Input[Add End Desg], Input[System],$P$2)+SUMIFS(Input[Add End Aux], Input[System],$P$2)+SUMIFS(Input[Add End R Exp], Input[System],$P$2)+SUMIFS(Input[Add End Loan], Input[System],$P$2)+SUMIFS(Input[Add End Annuity], Input[System],$P$2)+SUMIFS(Input[Add End Unexp], Input[System],$P$2)+SUMIFS(Input[Add End R of Ind], Input[System],$P$2)+SUMIFS(Input[Add End Inv in P], Input[System],$P$2)</f>
        <v>0</v>
      </c>
      <c r="J94" s="520"/>
      <c r="K94" s="520"/>
      <c r="L94" s="534">
        <f t="shared" si="22"/>
        <v>0</v>
      </c>
      <c r="M94" s="534"/>
      <c r="N94" s="535"/>
      <c r="O94" s="303"/>
      <c r="P94" s="7"/>
      <c r="Q94" s="7"/>
      <c r="R94" s="7"/>
      <c r="S94" s="7"/>
      <c r="T94" s="7"/>
      <c r="U94" s="7"/>
      <c r="V94" s="7"/>
      <c r="W94" s="7"/>
      <c r="X94" s="7"/>
      <c r="Y94" s="7"/>
      <c r="Z94" s="7"/>
      <c r="AA94" s="7"/>
      <c r="AB94" s="7"/>
      <c r="AC94" s="7"/>
      <c r="AD94" s="7"/>
      <c r="AE94" s="7"/>
      <c r="AF94" s="7"/>
      <c r="AG94" s="7"/>
      <c r="AH94" s="7"/>
      <c r="AI94" s="7"/>
      <c r="AJ94" s="7"/>
      <c r="AK94" s="7"/>
      <c r="AL94" s="7"/>
      <c r="AM94" s="7"/>
      <c r="AN94" s="7"/>
    </row>
    <row r="95" spans="1:40" ht="27" customHeight="1" thickBot="1" x14ac:dyDescent="0.65">
      <c r="A95" s="509" t="s">
        <v>99</v>
      </c>
      <c r="B95" s="510"/>
      <c r="C95" s="510"/>
      <c r="D95" s="510"/>
      <c r="E95" s="510"/>
      <c r="F95" s="510"/>
      <c r="G95" s="510"/>
      <c r="H95" s="510"/>
      <c r="I95" s="516">
        <f>SUM(I93:I94)</f>
        <v>0</v>
      </c>
      <c r="J95" s="516"/>
      <c r="K95" s="516"/>
      <c r="L95" s="516">
        <f t="shared" si="22"/>
        <v>0</v>
      </c>
      <c r="M95" s="516"/>
      <c r="N95" s="517"/>
      <c r="O95" s="303"/>
      <c r="P95" s="7"/>
      <c r="Q95" s="7"/>
      <c r="R95" s="7"/>
      <c r="S95" s="7"/>
      <c r="T95" s="7"/>
      <c r="U95" s="7"/>
      <c r="V95" s="7"/>
      <c r="W95" s="7"/>
      <c r="X95" s="7"/>
      <c r="Y95" s="7"/>
      <c r="Z95" s="7"/>
      <c r="AA95" s="7"/>
      <c r="AB95" s="7"/>
      <c r="AC95" s="7"/>
      <c r="AD95" s="7"/>
      <c r="AE95" s="7"/>
      <c r="AF95" s="7"/>
      <c r="AG95" s="7"/>
      <c r="AH95" s="7"/>
      <c r="AI95" s="7"/>
      <c r="AJ95" s="7"/>
      <c r="AK95" s="7"/>
      <c r="AL95" s="7"/>
      <c r="AM95" s="7"/>
      <c r="AN95" s="7"/>
    </row>
    <row r="96" spans="1:40" ht="27" customHeight="1" thickBot="1" x14ac:dyDescent="0.65">
      <c r="A96" s="274"/>
      <c r="B96" s="275"/>
      <c r="C96" s="275"/>
      <c r="D96" s="275"/>
      <c r="E96" s="275"/>
      <c r="F96" s="275"/>
      <c r="G96" s="275"/>
      <c r="H96" s="275"/>
      <c r="I96" s="275"/>
      <c r="J96" s="275"/>
      <c r="K96" s="275"/>
      <c r="L96" s="276"/>
      <c r="M96" s="22"/>
      <c r="N96" s="22"/>
      <c r="O96" s="303"/>
      <c r="P96" s="7"/>
      <c r="Q96" s="7"/>
      <c r="R96" s="7"/>
      <c r="S96" s="7"/>
      <c r="T96" s="7"/>
      <c r="U96" s="7"/>
      <c r="V96" s="7"/>
      <c r="W96" s="7"/>
      <c r="X96" s="7"/>
      <c r="Y96" s="7"/>
      <c r="Z96" s="7"/>
      <c r="AA96" s="7"/>
      <c r="AB96" s="7"/>
      <c r="AC96" s="7"/>
      <c r="AD96" s="7"/>
      <c r="AE96" s="7"/>
      <c r="AF96" s="7"/>
      <c r="AG96" s="7"/>
      <c r="AH96" s="7"/>
      <c r="AI96" s="7"/>
      <c r="AJ96" s="7"/>
      <c r="AK96" s="7"/>
      <c r="AL96" s="7"/>
      <c r="AM96" s="7"/>
      <c r="AN96" s="7"/>
    </row>
    <row r="97" spans="1:40" ht="27" customHeight="1" thickBot="1" x14ac:dyDescent="0.65">
      <c r="A97" s="509" t="s">
        <v>1630</v>
      </c>
      <c r="B97" s="510"/>
      <c r="C97" s="510"/>
      <c r="D97" s="510"/>
      <c r="E97" s="510"/>
      <c r="F97" s="510"/>
      <c r="G97" s="510"/>
      <c r="H97" s="510"/>
      <c r="I97" s="516">
        <f>I67-I83+I90+I95</f>
        <v>0</v>
      </c>
      <c r="J97" s="516"/>
      <c r="K97" s="516"/>
      <c r="L97" s="516">
        <f t="shared" ref="L97" si="23">IFERROR(ROUND(I97/P$1,0),0)</f>
        <v>0</v>
      </c>
      <c r="M97" s="516"/>
      <c r="N97" s="517"/>
      <c r="O97" s="303"/>
      <c r="P97" s="311"/>
      <c r="Q97" s="311"/>
      <c r="R97" s="311"/>
      <c r="S97" s="311"/>
      <c r="T97" s="311"/>
      <c r="U97" s="311"/>
      <c r="V97" s="311"/>
      <c r="W97" s="311"/>
      <c r="X97" s="311"/>
      <c r="Y97" s="311"/>
      <c r="Z97" s="311"/>
      <c r="AA97" s="311"/>
      <c r="AB97" s="311"/>
      <c r="AC97" s="311"/>
      <c r="AD97" s="7"/>
      <c r="AE97" s="7"/>
      <c r="AF97" s="7"/>
      <c r="AG97" s="7"/>
      <c r="AH97" s="7"/>
      <c r="AI97" s="7"/>
      <c r="AJ97" s="7"/>
      <c r="AK97" s="7"/>
      <c r="AL97" s="7"/>
      <c r="AM97" s="7"/>
      <c r="AN97" s="7"/>
    </row>
    <row r="98" spans="1:40" ht="27" customHeight="1" thickBot="1" x14ac:dyDescent="0.65">
      <c r="A98" s="274"/>
      <c r="B98" s="275"/>
      <c r="C98" s="275"/>
      <c r="D98" s="275"/>
      <c r="E98" s="275"/>
      <c r="F98" s="275"/>
      <c r="G98" s="275"/>
      <c r="H98" s="275"/>
      <c r="I98" s="275"/>
      <c r="J98" s="275"/>
      <c r="K98" s="275"/>
      <c r="L98" s="276"/>
      <c r="M98" s="22"/>
      <c r="N98" s="22"/>
      <c r="O98" s="303"/>
      <c r="P98" s="311"/>
      <c r="Q98" s="311"/>
      <c r="R98" s="311"/>
      <c r="S98" s="311"/>
      <c r="T98" s="311"/>
      <c r="U98" s="311"/>
      <c r="V98" s="311"/>
      <c r="W98" s="311"/>
      <c r="X98" s="311"/>
      <c r="Y98" s="311"/>
      <c r="Z98" s="311"/>
      <c r="AA98" s="311"/>
      <c r="AB98" s="311"/>
      <c r="AC98" s="311"/>
      <c r="AD98" s="7"/>
      <c r="AE98" s="7"/>
      <c r="AF98" s="7"/>
      <c r="AG98" s="7"/>
      <c r="AH98" s="7"/>
      <c r="AI98" s="7"/>
      <c r="AJ98" s="7"/>
      <c r="AK98" s="7"/>
      <c r="AL98" s="7"/>
      <c r="AM98" s="7"/>
      <c r="AN98" s="7"/>
    </row>
    <row r="99" spans="1:40" ht="27" customHeight="1" thickBot="1" x14ac:dyDescent="0.65">
      <c r="A99" s="543"/>
      <c r="B99" s="544"/>
      <c r="C99" s="544"/>
      <c r="D99" s="544"/>
      <c r="E99" s="544"/>
      <c r="F99" s="544"/>
      <c r="G99" s="544"/>
      <c r="H99" s="544"/>
      <c r="I99" s="545" t="s">
        <v>135</v>
      </c>
      <c r="J99" s="546"/>
      <c r="K99" s="546"/>
      <c r="L99" s="545" t="s">
        <v>136</v>
      </c>
      <c r="M99" s="546"/>
      <c r="N99" s="547"/>
      <c r="O99" s="303"/>
      <c r="P99" s="206"/>
      <c r="Q99" s="206"/>
      <c r="R99" s="206"/>
      <c r="S99" s="206"/>
      <c r="T99" s="206"/>
      <c r="U99" s="206"/>
      <c r="V99" s="206"/>
      <c r="W99" s="206"/>
      <c r="X99" s="206"/>
      <c r="Y99" s="206"/>
      <c r="Z99" s="206"/>
      <c r="AA99" s="206"/>
      <c r="AB99" s="206"/>
      <c r="AC99" s="206"/>
      <c r="AD99" s="206"/>
      <c r="AE99" s="206"/>
      <c r="AF99" s="206"/>
      <c r="AG99" s="206"/>
      <c r="AH99" s="206"/>
      <c r="AI99" s="206"/>
      <c r="AJ99" s="206"/>
      <c r="AK99" s="206"/>
      <c r="AL99" s="206"/>
      <c r="AM99" s="7"/>
      <c r="AN99" s="7"/>
    </row>
    <row r="100" spans="1:40" ht="27" customHeight="1" x14ac:dyDescent="0.6">
      <c r="A100" s="522" t="s">
        <v>127</v>
      </c>
      <c r="B100" s="523"/>
      <c r="C100" s="523"/>
      <c r="D100" s="523"/>
      <c r="E100" s="523"/>
      <c r="F100" s="523"/>
      <c r="G100" s="523"/>
      <c r="H100" s="524"/>
      <c r="I100" s="518">
        <f>SUMIFS(Input[Bond Proceeds E&amp;G], Input[System],$P$2)+SUMIFS(Input[Bond Proceeds Desg], Input[System],$P$2)+SUMIFS(Input[Bond Proceeds Aux], Input[System],$P$2)+SUMIFS(Input[Bond Proceeds R Exp], Input[System],$P$2)+SUMIFS(Input[Bond Proceeds Loan], Input[System],$P$2)+SUMIFS(Input[Bond Proceeds Annuity], Input[System],$P$2)+SUMIFS(Input[Bond Proceeds Unexp], Input[System],$P$2)+SUMIFS(Input[Bond Proceeds R of Ind], Input[System],$P$2)+SUMIFS(Input[Bond Proceeds Inv in P], Input[System],$P$2)</f>
        <v>0</v>
      </c>
      <c r="J100" s="518"/>
      <c r="K100" s="518"/>
      <c r="L100" s="529">
        <f t="shared" ref="L100:L106" si="24">IFERROR(ROUND(I100/P$1,0),0)</f>
        <v>0</v>
      </c>
      <c r="M100" s="529"/>
      <c r="N100" s="530"/>
      <c r="O100" s="303"/>
      <c r="P100" s="206"/>
      <c r="Q100" s="206"/>
      <c r="R100" s="206"/>
      <c r="S100" s="206"/>
      <c r="T100" s="206"/>
      <c r="U100" s="206"/>
      <c r="V100" s="206"/>
      <c r="W100" s="206"/>
      <c r="X100" s="206"/>
      <c r="Y100" s="206"/>
      <c r="Z100" s="206"/>
      <c r="AA100" s="206"/>
      <c r="AB100" s="206"/>
      <c r="AC100" s="206"/>
      <c r="AD100" s="206"/>
      <c r="AE100" s="206"/>
      <c r="AF100" s="206"/>
      <c r="AG100" s="206"/>
      <c r="AH100" s="206"/>
      <c r="AI100" s="206"/>
      <c r="AJ100" s="206"/>
      <c r="AK100" s="206"/>
      <c r="AL100" s="206"/>
      <c r="AM100" s="7"/>
      <c r="AN100" s="7"/>
    </row>
    <row r="101" spans="1:40" ht="27" customHeight="1" x14ac:dyDescent="0.6">
      <c r="A101" s="525" t="s">
        <v>128</v>
      </c>
      <c r="B101" s="434"/>
      <c r="C101" s="434"/>
      <c r="D101" s="434"/>
      <c r="E101" s="434"/>
      <c r="F101" s="434"/>
      <c r="G101" s="434"/>
      <c r="H101" s="435"/>
      <c r="I101" s="519">
        <f>SUMIFS(Input[Dep Exp E&amp;G], Input[System],$P$2)+SUMIFS(Input[Dep Exp Desg], Input[System],$P$2)+SUMIFS(Input[Dep Exp Aux], Input[System],$P$2)+SUMIFS(Input[Dep Exp R Exp], Input[System],$P$2)+SUMIFS(Input[Dep Exp Loan], Input[System],$P$2)+SUMIFS(Input[Dep Exp Annuity], Input[System],$P$2)+SUMIFS(Input[Dep Exp Unexp], Input[System],$P$2)+SUMIFS(Input[Dep Exp R of Ind], Input[System],$P$2)+SUMIFS(Input[Dep Exp Inv in P], Input[System],$P$2)</f>
        <v>0</v>
      </c>
      <c r="J101" s="519"/>
      <c r="K101" s="519"/>
      <c r="L101" s="432">
        <f t="shared" si="24"/>
        <v>0</v>
      </c>
      <c r="M101" s="432"/>
      <c r="N101" s="536"/>
      <c r="O101" s="303"/>
      <c r="P101" s="206"/>
      <c r="Q101" s="206"/>
      <c r="R101" s="206"/>
      <c r="S101" s="206"/>
      <c r="T101" s="206"/>
      <c r="U101" s="206"/>
      <c r="V101" s="206"/>
      <c r="W101" s="206"/>
      <c r="X101" s="206"/>
      <c r="Y101" s="206"/>
      <c r="Z101" s="206"/>
      <c r="AA101" s="206"/>
      <c r="AB101" s="206"/>
      <c r="AC101" s="206"/>
      <c r="AD101" s="206"/>
      <c r="AE101" s="206"/>
      <c r="AF101" s="206"/>
      <c r="AG101" s="206"/>
      <c r="AH101" s="206"/>
      <c r="AI101" s="206"/>
      <c r="AJ101" s="206"/>
      <c r="AK101" s="206"/>
      <c r="AL101" s="206"/>
      <c r="AM101" s="7"/>
      <c r="AN101" s="7"/>
    </row>
    <row r="102" spans="1:40" ht="27" customHeight="1" x14ac:dyDescent="0.6">
      <c r="A102" s="525" t="s">
        <v>129</v>
      </c>
      <c r="B102" s="434"/>
      <c r="C102" s="434"/>
      <c r="D102" s="434"/>
      <c r="E102" s="434"/>
      <c r="F102" s="434"/>
      <c r="G102" s="434"/>
      <c r="H102" s="435"/>
      <c r="I102" s="519">
        <f>SUMIFS(Input[Xfr Cap Sys E&amp;G], Input[System],$P$2)+SUMIFS(Input[Xfr Cap Sys Desg], Input[System],$P$2)+SUMIFS(Input[Xfr Cap Sys Aux], Input[System],$P$2)+SUMIFS(Input[Xfr Cap Sys R Exp], Input[System],$P$2)+SUMIFS(Input[Xfr Cap Sys Loan], Input[System],$P$2)+SUMIFS(Input[Xfr Cap Sys Annuity], Input[System],$P$2)+SUMIFS(Input[Xfr Cap Sys Unexp], Input[System],$P$2)+SUMIFS(Input[Xfr Cap Sys R of Ind], Input[System],$P$2)+SUMIFS(Input[Xfr Cap Sys Inv in P], Input[System],$P$2)</f>
        <v>0</v>
      </c>
      <c r="J102" s="519"/>
      <c r="K102" s="519"/>
      <c r="L102" s="432">
        <f t="shared" si="24"/>
        <v>0</v>
      </c>
      <c r="M102" s="432"/>
      <c r="N102" s="536"/>
      <c r="O102" s="303"/>
      <c r="P102" s="206"/>
      <c r="Q102" s="206"/>
      <c r="R102" s="206"/>
      <c r="S102" s="206"/>
      <c r="T102" s="206"/>
      <c r="U102" s="206"/>
      <c r="V102" s="206"/>
      <c r="W102" s="206"/>
      <c r="X102" s="206"/>
      <c r="Y102" s="206"/>
      <c r="Z102" s="206"/>
      <c r="AA102" s="206"/>
      <c r="AB102" s="206"/>
      <c r="AC102" s="206"/>
      <c r="AD102" s="206"/>
      <c r="AE102" s="206"/>
      <c r="AF102" s="206"/>
      <c r="AG102" s="206"/>
      <c r="AH102" s="206"/>
      <c r="AI102" s="206"/>
      <c r="AJ102" s="206"/>
      <c r="AK102" s="206"/>
      <c r="AL102" s="206"/>
      <c r="AM102" s="7"/>
      <c r="AN102" s="7"/>
    </row>
    <row r="103" spans="1:40" ht="27" customHeight="1" x14ac:dyDescent="0.6">
      <c r="A103" s="525" t="s">
        <v>130</v>
      </c>
      <c r="B103" s="434"/>
      <c r="C103" s="434"/>
      <c r="D103" s="434"/>
      <c r="E103" s="434"/>
      <c r="F103" s="434"/>
      <c r="G103" s="434"/>
      <c r="H103" s="435"/>
      <c r="I103" s="519">
        <f>SUMIFS(Input[OPEB Exp E&amp;G], Input[System],$P$2)+SUMIFS(Input[OPEB Exp Desg], Input[System],$P$2)+SUMIFS(Input[OPEB Exp Aux], Input[System],$P$2)+SUMIFS(Input[OPEB Exp R Exp], Input[System],$P$2)+SUMIFS(Input[OPEB Exp Loan], Input[System],$P$2)+SUMIFS(Input[OPEB Exp Annuity], Input[System],$P$2)+SUMIFS(Input[OPEB Exp Unexp], Input[System],$P$2)+SUMIFS(Input[OPEB Exp R of Ind], Input[System],$P$2)+SUMIFS(Input[OPEB Exp Inv in P], Input[System],$P$2)</f>
        <v>0</v>
      </c>
      <c r="J103" s="519"/>
      <c r="K103" s="519"/>
      <c r="L103" s="432">
        <f t="shared" si="24"/>
        <v>0</v>
      </c>
      <c r="M103" s="432"/>
      <c r="N103" s="536"/>
      <c r="O103" s="303"/>
      <c r="P103" s="206"/>
      <c r="Q103" s="206"/>
      <c r="R103" s="206"/>
      <c r="S103" s="206"/>
      <c r="T103" s="206"/>
      <c r="U103" s="206"/>
      <c r="V103" s="206"/>
      <c r="W103" s="206"/>
      <c r="X103" s="206"/>
      <c r="Y103" s="206"/>
      <c r="Z103" s="206"/>
      <c r="AA103" s="206"/>
      <c r="AB103" s="206"/>
      <c r="AC103" s="206"/>
      <c r="AD103" s="206"/>
      <c r="AE103" s="206"/>
      <c r="AF103" s="206"/>
      <c r="AG103" s="206"/>
      <c r="AH103" s="206"/>
      <c r="AI103" s="206"/>
      <c r="AJ103" s="206"/>
      <c r="AK103" s="206"/>
      <c r="AL103" s="206"/>
      <c r="AM103" s="7"/>
      <c r="AN103" s="7"/>
    </row>
    <row r="104" spans="1:40" ht="27" customHeight="1" x14ac:dyDescent="0.6">
      <c r="A104" s="525" t="s">
        <v>131</v>
      </c>
      <c r="B104" s="434"/>
      <c r="C104" s="434"/>
      <c r="D104" s="434"/>
      <c r="E104" s="434"/>
      <c r="F104" s="434"/>
      <c r="G104" s="434"/>
      <c r="H104" s="435"/>
      <c r="I104" s="519">
        <f>SUMIFS(Input[Non-Cash Cap E&amp;G], Input[System],$P$2)+SUMIFS(Input[Non-Cash Cap Desg], Input[System],$P$2)+SUMIFS(Input[Non-Cash Cap Aux], Input[System],$P$2)+SUMIFS(Input[Non-Cash Cap R Exp], Input[System],$P$2)+SUMIFS(Input[Non-Cash Cap Loan], Input[System],$P$2)+SUMIFS(Input[Non-Cash Cap Annuity], Input[System],$P$2)+SUMIFS(Input[Non-Cash Cap Unexp], Input[System],$P$2)+SUMIFS(Input[Non-Cash Cap R of Ind], Input[System],$P$2)+SUMIFS(Input[Non-Cash Cap Inv in P], Input[System],$P$2)</f>
        <v>0</v>
      </c>
      <c r="J104" s="519"/>
      <c r="K104" s="519"/>
      <c r="L104" s="432">
        <f t="shared" si="24"/>
        <v>0</v>
      </c>
      <c r="M104" s="432"/>
      <c r="N104" s="536"/>
      <c r="O104" s="303"/>
      <c r="P104" s="206"/>
      <c r="Q104" s="206"/>
      <c r="R104" s="206"/>
      <c r="S104" s="206"/>
      <c r="T104" s="206"/>
      <c r="U104" s="206"/>
      <c r="V104" s="206"/>
      <c r="W104" s="206"/>
      <c r="X104" s="206"/>
      <c r="Y104" s="206"/>
      <c r="Z104" s="206"/>
      <c r="AA104" s="206"/>
      <c r="AB104" s="206"/>
      <c r="AC104" s="206"/>
      <c r="AD104" s="206"/>
      <c r="AE104" s="206"/>
      <c r="AF104" s="206"/>
      <c r="AG104" s="206"/>
      <c r="AH104" s="206"/>
      <c r="AI104" s="206"/>
      <c r="AJ104" s="206"/>
      <c r="AK104" s="206"/>
      <c r="AL104" s="206"/>
      <c r="AM104" s="7"/>
      <c r="AN104" s="7"/>
    </row>
    <row r="105" spans="1:40" ht="27" customHeight="1" thickBot="1" x14ac:dyDescent="0.65">
      <c r="A105" s="525" t="s">
        <v>132</v>
      </c>
      <c r="B105" s="434"/>
      <c r="C105" s="434"/>
      <c r="D105" s="434"/>
      <c r="E105" s="434"/>
      <c r="F105" s="434"/>
      <c r="G105" s="434"/>
      <c r="H105" s="435"/>
      <c r="I105" s="520">
        <f>SUMIFS(Input[Cap Out E&amp;G], Input[System],$P$2)+SUMIFS(Input[Cap Out Desg], Input[System],$P$2)+SUMIFS(Input[Cap Out Aux], Input[System],$P$2)+SUMIFS(Input[Cap Out R Exp], Input[System],$P$2)+SUMIFS(Input[Cap Out Loan], Input[System],$P$2)+SUMIFS(Input[Cap Out Annuity], Input[System],$P$2)+SUMIFS(Input[Cap Out Unexp], Input[System],$P$2)+SUMIFS(Input[Cap Out R of Ind], Input[System],$P$2)+SUMIFS(Input[Cap Out Inv in P], Input[System],$P$2)</f>
        <v>0</v>
      </c>
      <c r="J105" s="520"/>
      <c r="K105" s="520"/>
      <c r="L105" s="534">
        <f t="shared" si="24"/>
        <v>0</v>
      </c>
      <c r="M105" s="534"/>
      <c r="N105" s="535"/>
      <c r="O105" s="303"/>
      <c r="P105" s="206"/>
      <c r="Q105" s="206"/>
      <c r="R105" s="206"/>
      <c r="S105" s="206"/>
      <c r="T105" s="206"/>
      <c r="U105" s="206"/>
      <c r="V105" s="206"/>
      <c r="W105" s="206"/>
      <c r="X105" s="206"/>
      <c r="Y105" s="206"/>
      <c r="Z105" s="206"/>
      <c r="AA105" s="206"/>
      <c r="AB105" s="206"/>
      <c r="AC105" s="206"/>
      <c r="AD105" s="206"/>
      <c r="AE105" s="206"/>
      <c r="AF105" s="206"/>
      <c r="AG105" s="206"/>
      <c r="AH105" s="206"/>
      <c r="AI105" s="206"/>
      <c r="AJ105" s="206"/>
      <c r="AK105" s="206"/>
      <c r="AL105" s="206"/>
      <c r="AM105" s="7"/>
      <c r="AN105" s="7"/>
    </row>
    <row r="106" spans="1:40" ht="27" customHeight="1" thickBot="1" x14ac:dyDescent="0.65">
      <c r="A106" s="509" t="s">
        <v>728</v>
      </c>
      <c r="B106" s="510"/>
      <c r="C106" s="510"/>
      <c r="D106" s="510"/>
      <c r="E106" s="510"/>
      <c r="F106" s="510"/>
      <c r="G106" s="510"/>
      <c r="H106" s="510"/>
      <c r="I106" s="516">
        <f>SUM(I97,I100:I105)</f>
        <v>0</v>
      </c>
      <c r="J106" s="516"/>
      <c r="K106" s="516"/>
      <c r="L106" s="516">
        <f t="shared" si="24"/>
        <v>0</v>
      </c>
      <c r="M106" s="516"/>
      <c r="N106" s="517"/>
      <c r="O106" s="303"/>
      <c r="P106" s="206"/>
      <c r="Q106" s="206"/>
      <c r="R106" s="206"/>
      <c r="S106" s="206"/>
      <c r="T106" s="206"/>
      <c r="U106" s="206"/>
      <c r="V106" s="206"/>
      <c r="W106" s="206"/>
      <c r="X106" s="206"/>
      <c r="Y106" s="206"/>
      <c r="Z106" s="206"/>
      <c r="AA106" s="206"/>
      <c r="AB106" s="206"/>
      <c r="AC106" s="206"/>
      <c r="AD106" s="206"/>
      <c r="AE106" s="206"/>
      <c r="AF106" s="206"/>
      <c r="AG106" s="206"/>
      <c r="AH106" s="206"/>
      <c r="AI106" s="206"/>
      <c r="AJ106" s="206"/>
      <c r="AK106" s="206"/>
      <c r="AL106" s="206"/>
      <c r="AM106" s="7"/>
      <c r="AN106" s="7"/>
    </row>
    <row r="107" spans="1:40" ht="27" customHeight="1" x14ac:dyDescent="0.55000000000000004">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c r="AH107" s="22"/>
      <c r="AI107" s="22"/>
      <c r="AJ107" s="22"/>
      <c r="AK107" s="22"/>
      <c r="AL107" s="22"/>
      <c r="AM107" s="22"/>
      <c r="AN107" s="22"/>
    </row>
    <row r="108" spans="1:40" ht="27" customHeight="1" x14ac:dyDescent="0.55000000000000004">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c r="AH108" s="22"/>
      <c r="AI108" s="22"/>
      <c r="AJ108" s="22"/>
      <c r="AK108" s="22"/>
      <c r="AL108" s="22"/>
      <c r="AM108" s="22"/>
      <c r="AN108" s="22"/>
    </row>
    <row r="109" spans="1:40" ht="27" customHeight="1" x14ac:dyDescent="0.55000000000000004">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c r="AA109" s="22"/>
      <c r="AB109" s="22"/>
      <c r="AC109" s="22"/>
      <c r="AD109" s="22"/>
      <c r="AE109" s="22"/>
      <c r="AF109" s="22"/>
      <c r="AG109" s="22"/>
      <c r="AH109" s="22"/>
      <c r="AI109" s="22"/>
      <c r="AJ109" s="22"/>
      <c r="AK109" s="22"/>
      <c r="AL109" s="22"/>
      <c r="AM109" s="22"/>
      <c r="AN109" s="22"/>
    </row>
  </sheetData>
  <sheetProtection algorithmName="SHA-512" hashValue="Cp/22/+X1i1vdc71d/XhQcFkDZ+/dDsONdKoCuX9DR9FJM7COOLJ6r0c8P1Dtk+1gj5+7mRcP0b/Y+HH72tfKQ==" saltValue="7hZYj190vRpTylVrnHr4Fw==" spinCount="100000" sheet="1" objects="1" scenarios="1" formatColumns="0" formatRows="0"/>
  <mergeCells count="386">
    <mergeCell ref="P1:R1"/>
    <mergeCell ref="S1:U1"/>
    <mergeCell ref="A6:N7"/>
    <mergeCell ref="A10:H10"/>
    <mergeCell ref="I10:K10"/>
    <mergeCell ref="L10:N10"/>
    <mergeCell ref="P10:V10"/>
    <mergeCell ref="A1:N1"/>
    <mergeCell ref="A2:N2"/>
    <mergeCell ref="A3:N3"/>
    <mergeCell ref="W10:Y10"/>
    <mergeCell ref="Z10:AB10"/>
    <mergeCell ref="A8:N8"/>
    <mergeCell ref="P8:AB8"/>
    <mergeCell ref="A9:H9"/>
    <mergeCell ref="I9:K9"/>
    <mergeCell ref="L9:N9"/>
    <mergeCell ref="P9:V9"/>
    <mergeCell ref="W9:Y9"/>
    <mergeCell ref="Z9:AB9"/>
    <mergeCell ref="A12:H12"/>
    <mergeCell ref="I12:K12"/>
    <mergeCell ref="L12:N12"/>
    <mergeCell ref="P12:V12"/>
    <mergeCell ref="W12:Y12"/>
    <mergeCell ref="Z12:AB12"/>
    <mergeCell ref="A11:H11"/>
    <mergeCell ref="I11:K11"/>
    <mergeCell ref="L11:N11"/>
    <mergeCell ref="P11:V11"/>
    <mergeCell ref="W11:Y11"/>
    <mergeCell ref="Z11:AB11"/>
    <mergeCell ref="P14:V14"/>
    <mergeCell ref="W14:Y14"/>
    <mergeCell ref="Z14:AB14"/>
    <mergeCell ref="A13:H13"/>
    <mergeCell ref="I13:K13"/>
    <mergeCell ref="L13:N13"/>
    <mergeCell ref="P13:V13"/>
    <mergeCell ref="W13:Y13"/>
    <mergeCell ref="Z13:AB13"/>
    <mergeCell ref="A16:H16"/>
    <mergeCell ref="I16:K16"/>
    <mergeCell ref="L16:N16"/>
    <mergeCell ref="A17:H17"/>
    <mergeCell ref="I17:K17"/>
    <mergeCell ref="L17:N17"/>
    <mergeCell ref="A14:H14"/>
    <mergeCell ref="I14:K14"/>
    <mergeCell ref="L14:N14"/>
    <mergeCell ref="P32:Y32"/>
    <mergeCell ref="A24:N24"/>
    <mergeCell ref="A25:H25"/>
    <mergeCell ref="I25:K25"/>
    <mergeCell ref="L25:N25"/>
    <mergeCell ref="A26:H26"/>
    <mergeCell ref="I26:K26"/>
    <mergeCell ref="L26:N26"/>
    <mergeCell ref="A22:H22"/>
    <mergeCell ref="I27:K27"/>
    <mergeCell ref="L27:N27"/>
    <mergeCell ref="I30:K30"/>
    <mergeCell ref="L30:N30"/>
    <mergeCell ref="I23:K23"/>
    <mergeCell ref="L23:N23"/>
    <mergeCell ref="A29:H29"/>
    <mergeCell ref="I29:K29"/>
    <mergeCell ref="L29:N29"/>
    <mergeCell ref="A27:H27"/>
    <mergeCell ref="AK45:AM45"/>
    <mergeCell ref="A33:N33"/>
    <mergeCell ref="AK44:AM44"/>
    <mergeCell ref="P42:V42"/>
    <mergeCell ref="W42:Y42"/>
    <mergeCell ref="Z42:AB42"/>
    <mergeCell ref="AK40:AM40"/>
    <mergeCell ref="A28:H28"/>
    <mergeCell ref="I28:K28"/>
    <mergeCell ref="L28:N28"/>
    <mergeCell ref="P41:V41"/>
    <mergeCell ref="W41:Y41"/>
    <mergeCell ref="Z41:AB41"/>
    <mergeCell ref="AK41:AM41"/>
    <mergeCell ref="P39:AB39"/>
    <mergeCell ref="P33:V33"/>
    <mergeCell ref="W33:Y33"/>
    <mergeCell ref="P34:V34"/>
    <mergeCell ref="W34:Y34"/>
    <mergeCell ref="P40:V40"/>
    <mergeCell ref="W40:Y40"/>
    <mergeCell ref="Z40:AB40"/>
    <mergeCell ref="AK42:AM42"/>
    <mergeCell ref="A30:H30"/>
    <mergeCell ref="A18:N18"/>
    <mergeCell ref="P26:Y26"/>
    <mergeCell ref="A19:H19"/>
    <mergeCell ref="I19:K19"/>
    <mergeCell ref="L19:N19"/>
    <mergeCell ref="A20:H20"/>
    <mergeCell ref="I20:K20"/>
    <mergeCell ref="L20:N20"/>
    <mergeCell ref="A21:H21"/>
    <mergeCell ref="I21:K21"/>
    <mergeCell ref="L21:N21"/>
    <mergeCell ref="AK43:AM43"/>
    <mergeCell ref="AD40:AJ40"/>
    <mergeCell ref="A32:H32"/>
    <mergeCell ref="I32:K32"/>
    <mergeCell ref="L32:N32"/>
    <mergeCell ref="P35:V35"/>
    <mergeCell ref="W35:Y35"/>
    <mergeCell ref="A34:H34"/>
    <mergeCell ref="I34:K34"/>
    <mergeCell ref="L34:N34"/>
    <mergeCell ref="A35:H35"/>
    <mergeCell ref="I35:K35"/>
    <mergeCell ref="L35:N35"/>
    <mergeCell ref="AD39:AJ39"/>
    <mergeCell ref="AK39:AM39"/>
    <mergeCell ref="A36:H36"/>
    <mergeCell ref="I36:K36"/>
    <mergeCell ref="L36:N36"/>
    <mergeCell ref="A42:H42"/>
    <mergeCell ref="A43:H43"/>
    <mergeCell ref="AD10:AN33"/>
    <mergeCell ref="I22:K22"/>
    <mergeCell ref="L22:N22"/>
    <mergeCell ref="A23:H23"/>
    <mergeCell ref="P45:V45"/>
    <mergeCell ref="W45:Y45"/>
    <mergeCell ref="Z45:AB45"/>
    <mergeCell ref="P43:V43"/>
    <mergeCell ref="W43:Y43"/>
    <mergeCell ref="Z43:AB43"/>
    <mergeCell ref="I38:K38"/>
    <mergeCell ref="L38:N38"/>
    <mergeCell ref="P46:V46"/>
    <mergeCell ref="W46:Y46"/>
    <mergeCell ref="Z46:AB46"/>
    <mergeCell ref="I42:K42"/>
    <mergeCell ref="L42:N42"/>
    <mergeCell ref="I43:K43"/>
    <mergeCell ref="P47:V47"/>
    <mergeCell ref="W47:Y47"/>
    <mergeCell ref="P44:V44"/>
    <mergeCell ref="W44:Y44"/>
    <mergeCell ref="Z44:AB44"/>
    <mergeCell ref="P51:V51"/>
    <mergeCell ref="W51:Y51"/>
    <mergeCell ref="Z51:AB51"/>
    <mergeCell ref="A37:H37"/>
    <mergeCell ref="I37:K37"/>
    <mergeCell ref="L37:N37"/>
    <mergeCell ref="P50:V50"/>
    <mergeCell ref="W50:Y50"/>
    <mergeCell ref="Z50:AB50"/>
    <mergeCell ref="A41:H41"/>
    <mergeCell ref="I41:K41"/>
    <mergeCell ref="L41:N41"/>
    <mergeCell ref="L43:N43"/>
    <mergeCell ref="A50:H50"/>
    <mergeCell ref="I50:K50"/>
    <mergeCell ref="L50:N50"/>
    <mergeCell ref="P49:V49"/>
    <mergeCell ref="W49:Y49"/>
    <mergeCell ref="Z49:AB49"/>
    <mergeCell ref="Z47:AB47"/>
    <mergeCell ref="P48:V48"/>
    <mergeCell ref="W48:Y48"/>
    <mergeCell ref="Z48:AB48"/>
    <mergeCell ref="A38:H38"/>
    <mergeCell ref="P54:V54"/>
    <mergeCell ref="W54:Y54"/>
    <mergeCell ref="Z54:AB54"/>
    <mergeCell ref="A39:N39"/>
    <mergeCell ref="P52:V52"/>
    <mergeCell ref="W52:Y52"/>
    <mergeCell ref="Z52:AB52"/>
    <mergeCell ref="A40:H40"/>
    <mergeCell ref="I40:K40"/>
    <mergeCell ref="L40:N40"/>
    <mergeCell ref="P53:V53"/>
    <mergeCell ref="W53:Y53"/>
    <mergeCell ref="Z53:AB53"/>
    <mergeCell ref="A44:H44"/>
    <mergeCell ref="I44:K44"/>
    <mergeCell ref="L44:N44"/>
    <mergeCell ref="A45:H45"/>
    <mergeCell ref="I45:K45"/>
    <mergeCell ref="L45:N45"/>
    <mergeCell ref="A52:H52"/>
    <mergeCell ref="I52:K52"/>
    <mergeCell ref="L52:N52"/>
    <mergeCell ref="A47:H47"/>
    <mergeCell ref="I47:K47"/>
    <mergeCell ref="L47:N47"/>
    <mergeCell ref="A49:H49"/>
    <mergeCell ref="I49:K49"/>
    <mergeCell ref="L49:N49"/>
    <mergeCell ref="A56:H56"/>
    <mergeCell ref="I56:K56"/>
    <mergeCell ref="L56:N56"/>
    <mergeCell ref="A58:H58"/>
    <mergeCell ref="I58:K58"/>
    <mergeCell ref="L58:N58"/>
    <mergeCell ref="A53:H53"/>
    <mergeCell ref="I53:K53"/>
    <mergeCell ref="L53:N53"/>
    <mergeCell ref="A55:H55"/>
    <mergeCell ref="I55:K55"/>
    <mergeCell ref="L55:N55"/>
    <mergeCell ref="A61:H61"/>
    <mergeCell ref="I61:K61"/>
    <mergeCell ref="L61:N61"/>
    <mergeCell ref="A62:H62"/>
    <mergeCell ref="I62:K62"/>
    <mergeCell ref="L62:N62"/>
    <mergeCell ref="A59:H59"/>
    <mergeCell ref="I59:K59"/>
    <mergeCell ref="L59:N59"/>
    <mergeCell ref="A60:H60"/>
    <mergeCell ref="I60:K60"/>
    <mergeCell ref="L60:N60"/>
    <mergeCell ref="A65:H65"/>
    <mergeCell ref="I65:K65"/>
    <mergeCell ref="L65:N65"/>
    <mergeCell ref="A67:H67"/>
    <mergeCell ref="I67:K67"/>
    <mergeCell ref="L67:N67"/>
    <mergeCell ref="A63:H63"/>
    <mergeCell ref="I63:K63"/>
    <mergeCell ref="L63:N63"/>
    <mergeCell ref="A64:H64"/>
    <mergeCell ref="I64:K64"/>
    <mergeCell ref="L64:N64"/>
    <mergeCell ref="A69:N69"/>
    <mergeCell ref="P69:Z69"/>
    <mergeCell ref="AD69:AJ69"/>
    <mergeCell ref="AK69:AM69"/>
    <mergeCell ref="A70:H70"/>
    <mergeCell ref="I70:K70"/>
    <mergeCell ref="L70:N70"/>
    <mergeCell ref="P70:V70"/>
    <mergeCell ref="W70:Y70"/>
    <mergeCell ref="Z70:AB70"/>
    <mergeCell ref="AD70:AJ70"/>
    <mergeCell ref="AK70:AM70"/>
    <mergeCell ref="A71:H71"/>
    <mergeCell ref="I71:K71"/>
    <mergeCell ref="L71:N71"/>
    <mergeCell ref="P71:V71"/>
    <mergeCell ref="W71:Y71"/>
    <mergeCell ref="Z71:AB71"/>
    <mergeCell ref="AK71:AM71"/>
    <mergeCell ref="AK72:AM72"/>
    <mergeCell ref="A73:H73"/>
    <mergeCell ref="I73:K73"/>
    <mergeCell ref="L73:N73"/>
    <mergeCell ref="P73:V73"/>
    <mergeCell ref="W73:Y73"/>
    <mergeCell ref="Z73:AB73"/>
    <mergeCell ref="AK73:AM73"/>
    <mergeCell ref="A72:H72"/>
    <mergeCell ref="I72:K72"/>
    <mergeCell ref="L72:N72"/>
    <mergeCell ref="P72:V72"/>
    <mergeCell ref="W72:Y72"/>
    <mergeCell ref="Z72:AB72"/>
    <mergeCell ref="AK74:AM74"/>
    <mergeCell ref="A75:H75"/>
    <mergeCell ref="I75:K75"/>
    <mergeCell ref="L75:N75"/>
    <mergeCell ref="P75:V75"/>
    <mergeCell ref="W75:Y75"/>
    <mergeCell ref="Z75:AB75"/>
    <mergeCell ref="AK75:AM75"/>
    <mergeCell ref="A74:H74"/>
    <mergeCell ref="I74:K74"/>
    <mergeCell ref="L74:N74"/>
    <mergeCell ref="P74:V74"/>
    <mergeCell ref="W74:Y74"/>
    <mergeCell ref="Z74:AB74"/>
    <mergeCell ref="A77:H77"/>
    <mergeCell ref="I77:K77"/>
    <mergeCell ref="L77:N77"/>
    <mergeCell ref="P77:V77"/>
    <mergeCell ref="W77:Y77"/>
    <mergeCell ref="Z77:AB77"/>
    <mergeCell ref="A76:H76"/>
    <mergeCell ref="I76:K76"/>
    <mergeCell ref="L76:N76"/>
    <mergeCell ref="P76:V76"/>
    <mergeCell ref="W76:Y76"/>
    <mergeCell ref="Z76:AB76"/>
    <mergeCell ref="A79:H79"/>
    <mergeCell ref="I79:K79"/>
    <mergeCell ref="L79:N79"/>
    <mergeCell ref="P79:V79"/>
    <mergeCell ref="W79:Y79"/>
    <mergeCell ref="Z79:AB79"/>
    <mergeCell ref="A78:H78"/>
    <mergeCell ref="I78:K78"/>
    <mergeCell ref="L78:N78"/>
    <mergeCell ref="P78:V78"/>
    <mergeCell ref="W78:Y78"/>
    <mergeCell ref="Z78:AB78"/>
    <mergeCell ref="P81:V81"/>
    <mergeCell ref="W81:Y81"/>
    <mergeCell ref="Z81:AB81"/>
    <mergeCell ref="A80:H80"/>
    <mergeCell ref="I80:K80"/>
    <mergeCell ref="L80:N80"/>
    <mergeCell ref="P80:V80"/>
    <mergeCell ref="W80:Y80"/>
    <mergeCell ref="Z80:AB80"/>
    <mergeCell ref="A82:H82"/>
    <mergeCell ref="I82:K82"/>
    <mergeCell ref="L82:N82"/>
    <mergeCell ref="A83:H83"/>
    <mergeCell ref="I83:K83"/>
    <mergeCell ref="L83:N83"/>
    <mergeCell ref="A81:H81"/>
    <mergeCell ref="I81:K81"/>
    <mergeCell ref="L81:N81"/>
    <mergeCell ref="A87:H87"/>
    <mergeCell ref="I87:K87"/>
    <mergeCell ref="L87:N87"/>
    <mergeCell ref="A88:H88"/>
    <mergeCell ref="I88:K88"/>
    <mergeCell ref="L88:N88"/>
    <mergeCell ref="A85:H85"/>
    <mergeCell ref="I85:K85"/>
    <mergeCell ref="L85:N85"/>
    <mergeCell ref="A86:H86"/>
    <mergeCell ref="I86:K86"/>
    <mergeCell ref="L86:N86"/>
    <mergeCell ref="A92:H92"/>
    <mergeCell ref="I92:K92"/>
    <mergeCell ref="L92:N92"/>
    <mergeCell ref="A93:H93"/>
    <mergeCell ref="I93:K93"/>
    <mergeCell ref="L93:N93"/>
    <mergeCell ref="A89:H89"/>
    <mergeCell ref="I89:K89"/>
    <mergeCell ref="L89:N89"/>
    <mergeCell ref="A90:H90"/>
    <mergeCell ref="I90:K90"/>
    <mergeCell ref="L90:N90"/>
    <mergeCell ref="I101:K101"/>
    <mergeCell ref="L101:N101"/>
    <mergeCell ref="A97:H97"/>
    <mergeCell ref="I97:K97"/>
    <mergeCell ref="L97:N97"/>
    <mergeCell ref="A99:H99"/>
    <mergeCell ref="I99:K99"/>
    <mergeCell ref="L99:N99"/>
    <mergeCell ref="A94:H94"/>
    <mergeCell ref="I94:K94"/>
    <mergeCell ref="L94:N94"/>
    <mergeCell ref="A95:H95"/>
    <mergeCell ref="I95:K95"/>
    <mergeCell ref="L95:N95"/>
    <mergeCell ref="AD1:AM1"/>
    <mergeCell ref="AD2:AL4"/>
    <mergeCell ref="AE5:AG5"/>
    <mergeCell ref="AD8:AN9"/>
    <mergeCell ref="A106:H106"/>
    <mergeCell ref="I106:K106"/>
    <mergeCell ref="L106:N106"/>
    <mergeCell ref="P2:R2"/>
    <mergeCell ref="A104:H104"/>
    <mergeCell ref="I104:K104"/>
    <mergeCell ref="L104:N104"/>
    <mergeCell ref="A105:H105"/>
    <mergeCell ref="I105:K105"/>
    <mergeCell ref="L105:N105"/>
    <mergeCell ref="A102:H102"/>
    <mergeCell ref="I102:K102"/>
    <mergeCell ref="L102:N102"/>
    <mergeCell ref="A103:H103"/>
    <mergeCell ref="I103:K103"/>
    <mergeCell ref="L103:N103"/>
    <mergeCell ref="A100:H100"/>
    <mergeCell ref="I100:K100"/>
    <mergeCell ref="L100:N100"/>
    <mergeCell ref="A101:H101"/>
  </mergeCells>
  <conditionalFormatting sqref="A2:N2">
    <cfRule type="containsText" dxfId="3" priority="1" operator="containsText" text="Select">
      <formula>NOT(ISERROR(SEARCH("Select",A2)))</formula>
    </cfRule>
  </conditionalFormatting>
  <dataValidations count="2">
    <dataValidation type="whole" allowBlank="1" showInputMessage="1" showErrorMessage="1" error="Number should be reported as a whole dollar." sqref="I50:K50 I59:K64 I93:K94 I81:K82 I86:K89 I100:K105" xr:uid="{F8B4F582-8BDB-4320-AEAD-30CE75DD1297}">
      <formula1>-10000000000</formula1>
      <formula2>15000000000</formula2>
    </dataValidation>
    <dataValidation type="list" allowBlank="1" showInputMessage="1" showErrorMessage="1" sqref="A1:L1" xr:uid="{D7838FE2-3C31-4BC7-99A9-5834C5B19D56}">
      <formula1>SystemDropdown</formula1>
    </dataValidation>
  </dataValidations>
  <hyperlinks>
    <hyperlink ref="AH5:AL5" r:id="rId1" display="fonts.google.com/specimen/Overpass" xr:uid="{F3970E1F-0989-4DFB-81FA-35E0F537EEE2}"/>
    <hyperlink ref="AH5" r:id="rId2" display="http://fonts.google.com/specimen/Overpass" xr:uid="{BC2FD1F7-B7AE-4851-A2C1-2CE7E3D8CBD4}"/>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4D438C-46BF-4663-999D-F54A2EB51DC8}">
  <sheetPr codeName="Sheet06">
    <tabColor theme="4" tint="0.89999084444715716"/>
  </sheetPr>
  <dimension ref="A1:AY109"/>
  <sheetViews>
    <sheetView zoomScale="50" zoomScaleNormal="50" workbookViewId="0">
      <selection sqref="A1:L1"/>
    </sheetView>
  </sheetViews>
  <sheetFormatPr defaultColWidth="8.83203125" defaultRowHeight="19.2" x14ac:dyDescent="0.55000000000000004"/>
  <cols>
    <col min="1" max="51" width="6.58203125" style="24" customWidth="1"/>
    <col min="52" max="16384" width="8.83203125" style="24"/>
  </cols>
  <sheetData>
    <row r="1" spans="1:51" ht="45" customHeight="1" x14ac:dyDescent="0.55000000000000004">
      <c r="A1" s="492"/>
      <c r="B1" s="493"/>
      <c r="C1" s="493"/>
      <c r="D1" s="493"/>
      <c r="E1" s="493"/>
      <c r="F1" s="493"/>
      <c r="G1" s="493"/>
      <c r="H1" s="493"/>
      <c r="I1" s="493"/>
      <c r="J1" s="493"/>
      <c r="K1" s="493"/>
      <c r="L1" s="494"/>
      <c r="M1" s="22"/>
      <c r="N1" s="22"/>
      <c r="O1" s="22"/>
      <c r="P1" s="313"/>
      <c r="Q1" s="22"/>
      <c r="R1" s="492"/>
      <c r="S1" s="493"/>
      <c r="T1" s="493"/>
      <c r="U1" s="493"/>
      <c r="V1" s="493"/>
      <c r="W1" s="493"/>
      <c r="X1" s="493"/>
      <c r="Y1" s="493"/>
      <c r="Z1" s="493"/>
      <c r="AA1" s="493"/>
      <c r="AB1" s="493"/>
      <c r="AC1" s="494"/>
      <c r="AD1" s="22"/>
      <c r="AE1" s="270"/>
      <c r="AF1" s="270"/>
      <c r="AG1" s="313"/>
      <c r="AH1" s="270"/>
      <c r="AI1" s="492"/>
      <c r="AJ1" s="493"/>
      <c r="AK1" s="493"/>
      <c r="AL1" s="493"/>
      <c r="AM1" s="493"/>
      <c r="AN1" s="493"/>
      <c r="AO1" s="493"/>
      <c r="AP1" s="493"/>
      <c r="AQ1" s="493"/>
      <c r="AR1" s="493"/>
      <c r="AS1" s="493"/>
      <c r="AT1" s="494"/>
      <c r="AU1" s="22"/>
      <c r="AV1" s="22"/>
      <c r="AW1" s="22"/>
      <c r="AX1" s="22"/>
      <c r="AY1" s="22"/>
    </row>
    <row r="2" spans="1:51" s="241" customFormat="1" ht="34.950000000000003" customHeight="1" x14ac:dyDescent="0.75">
      <c r="A2" s="506" t="str">
        <f>IF(ISBLANK($A$1),"▲ Select institution name from dropdown ▲",VLOOKUP($A$1,SearchNames,2,FALSE))</f>
        <v>▲ Select institution name from dropdown ▲</v>
      </c>
      <c r="B2" s="507"/>
      <c r="C2" s="507"/>
      <c r="D2" s="507"/>
      <c r="E2" s="507"/>
      <c r="F2" s="507"/>
      <c r="G2" s="507"/>
      <c r="H2" s="507"/>
      <c r="I2" s="507"/>
      <c r="J2" s="507"/>
      <c r="K2" s="507"/>
      <c r="L2" s="508"/>
      <c r="M2" s="240"/>
      <c r="N2" s="240"/>
      <c r="O2" s="240"/>
      <c r="P2" s="314"/>
      <c r="Q2" s="240"/>
      <c r="R2" s="506" t="str">
        <f>IF(ISBLANK($R$1),"▲ Select institution name from dropdown ▲",VLOOKUP($R$1,SearchNames,2,FALSE))</f>
        <v>▲ Select institution name from dropdown ▲</v>
      </c>
      <c r="S2" s="507"/>
      <c r="T2" s="507"/>
      <c r="U2" s="507"/>
      <c r="V2" s="507"/>
      <c r="W2" s="507"/>
      <c r="X2" s="507"/>
      <c r="Y2" s="507"/>
      <c r="Z2" s="507"/>
      <c r="AA2" s="507"/>
      <c r="AB2" s="507"/>
      <c r="AC2" s="508"/>
      <c r="AD2" s="240"/>
      <c r="AE2" s="315"/>
      <c r="AF2" s="315"/>
      <c r="AG2" s="314"/>
      <c r="AH2" s="315"/>
      <c r="AI2" s="506" t="str">
        <f>IF(ISBLANK($AI$1),"▲ Select institution name from dropdown ▲",VLOOKUP($AI$1,SearchNames,2,FALSE))</f>
        <v>▲ Select institution name from dropdown ▲</v>
      </c>
      <c r="AJ2" s="507"/>
      <c r="AK2" s="507"/>
      <c r="AL2" s="507"/>
      <c r="AM2" s="507"/>
      <c r="AN2" s="507"/>
      <c r="AO2" s="507"/>
      <c r="AP2" s="507"/>
      <c r="AQ2" s="507"/>
      <c r="AR2" s="507"/>
      <c r="AS2" s="507"/>
      <c r="AT2" s="508"/>
      <c r="AU2" s="240"/>
      <c r="AV2" s="240"/>
      <c r="AW2" s="240"/>
      <c r="AX2" s="240"/>
      <c r="AY2" s="240"/>
    </row>
    <row r="3" spans="1:51" s="301" customFormat="1" ht="27" customHeight="1" x14ac:dyDescent="0.7">
      <c r="A3" s="242" t="s">
        <v>1419</v>
      </c>
      <c r="B3" s="242"/>
      <c r="C3" s="242"/>
      <c r="D3" s="242"/>
      <c r="E3" s="242"/>
      <c r="F3" s="242"/>
      <c r="G3" s="242"/>
      <c r="H3" s="242"/>
      <c r="I3" s="243"/>
      <c r="J3" s="243"/>
      <c r="K3" s="243"/>
      <c r="L3" s="243"/>
      <c r="M3" s="300"/>
      <c r="N3" s="300"/>
      <c r="O3" s="300"/>
      <c r="P3" s="316"/>
      <c r="Q3" s="300"/>
      <c r="R3" s="242" t="s">
        <v>1419</v>
      </c>
      <c r="S3" s="242"/>
      <c r="T3" s="242"/>
      <c r="U3" s="242"/>
      <c r="V3" s="242"/>
      <c r="W3" s="242"/>
      <c r="X3" s="242"/>
      <c r="Y3" s="242"/>
      <c r="Z3" s="243"/>
      <c r="AA3" s="243"/>
      <c r="AB3" s="243"/>
      <c r="AC3" s="243"/>
      <c r="AD3" s="300"/>
      <c r="AE3" s="317"/>
      <c r="AF3" s="317"/>
      <c r="AG3" s="316"/>
      <c r="AH3" s="317"/>
      <c r="AI3" s="242" t="s">
        <v>1419</v>
      </c>
      <c r="AJ3" s="242"/>
      <c r="AK3" s="242"/>
      <c r="AL3" s="242"/>
      <c r="AM3" s="242"/>
      <c r="AN3" s="242"/>
      <c r="AO3" s="242"/>
      <c r="AP3" s="242"/>
      <c r="AQ3" s="243"/>
      <c r="AR3" s="243"/>
      <c r="AS3" s="243"/>
      <c r="AT3" s="243"/>
      <c r="AU3" s="300"/>
      <c r="AV3" s="300"/>
      <c r="AW3" s="300"/>
      <c r="AX3" s="300"/>
      <c r="AY3" s="300"/>
    </row>
    <row r="4" spans="1:51" ht="27" customHeight="1" x14ac:dyDescent="0.55000000000000004">
      <c r="A4" s="318"/>
      <c r="B4" s="318"/>
      <c r="C4" s="318"/>
      <c r="D4" s="318"/>
      <c r="E4" s="318"/>
      <c r="F4" s="318"/>
      <c r="G4" s="318"/>
      <c r="H4" s="318"/>
      <c r="I4" s="270"/>
      <c r="J4" s="270"/>
      <c r="K4" s="270"/>
      <c r="L4" s="270"/>
      <c r="M4" s="270"/>
      <c r="N4" s="270"/>
      <c r="O4" s="22"/>
      <c r="P4" s="313"/>
      <c r="Q4" s="22"/>
      <c r="R4" s="318"/>
      <c r="S4" s="318"/>
      <c r="T4" s="318"/>
      <c r="U4" s="318"/>
      <c r="V4" s="318"/>
      <c r="W4" s="318"/>
      <c r="X4" s="318"/>
      <c r="Y4" s="318"/>
      <c r="Z4" s="270"/>
      <c r="AA4" s="270"/>
      <c r="AB4" s="270"/>
      <c r="AC4" s="270"/>
      <c r="AD4" s="270"/>
      <c r="AE4" s="270"/>
      <c r="AF4" s="270"/>
      <c r="AG4" s="313"/>
      <c r="AH4" s="270"/>
      <c r="AI4" s="318"/>
      <c r="AJ4" s="318"/>
      <c r="AK4" s="318"/>
      <c r="AL4" s="318"/>
      <c r="AM4" s="318"/>
      <c r="AN4" s="318"/>
      <c r="AO4" s="318"/>
      <c r="AP4" s="318"/>
      <c r="AQ4" s="270"/>
      <c r="AR4" s="270"/>
      <c r="AS4" s="270"/>
      <c r="AT4" s="270"/>
      <c r="AU4" s="270"/>
      <c r="AV4" s="270"/>
      <c r="AW4" s="22"/>
      <c r="AX4" s="22"/>
      <c r="AY4" s="22"/>
    </row>
    <row r="5" spans="1:51" ht="27" customHeight="1" x14ac:dyDescent="0.55000000000000004">
      <c r="A5" s="318"/>
      <c r="B5" s="318"/>
      <c r="C5" s="318"/>
      <c r="D5" s="318"/>
      <c r="E5" s="318"/>
      <c r="F5" s="318"/>
      <c r="G5" s="318"/>
      <c r="H5" s="318"/>
      <c r="I5" s="22"/>
      <c r="J5" s="22"/>
      <c r="K5" s="22"/>
      <c r="L5" s="22"/>
      <c r="M5" s="22"/>
      <c r="N5" s="22"/>
      <c r="O5" s="22"/>
      <c r="P5" s="313"/>
      <c r="Q5" s="22"/>
      <c r="R5" s="318"/>
      <c r="S5" s="318"/>
      <c r="T5" s="318"/>
      <c r="U5" s="318"/>
      <c r="V5" s="318"/>
      <c r="W5" s="318"/>
      <c r="X5" s="318"/>
      <c r="Y5" s="318"/>
      <c r="Z5" s="22"/>
      <c r="AA5" s="22"/>
      <c r="AB5" s="22"/>
      <c r="AC5" s="22"/>
      <c r="AD5" s="22"/>
      <c r="AE5" s="22"/>
      <c r="AF5" s="22"/>
      <c r="AG5" s="313"/>
      <c r="AH5" s="270"/>
      <c r="AI5" s="318"/>
      <c r="AJ5" s="318"/>
      <c r="AK5" s="318"/>
      <c r="AL5" s="318"/>
      <c r="AM5" s="318"/>
      <c r="AN5" s="318"/>
      <c r="AO5" s="318"/>
      <c r="AP5" s="318"/>
      <c r="AQ5" s="22"/>
      <c r="AR5" s="22"/>
      <c r="AS5" s="22"/>
      <c r="AT5" s="22"/>
      <c r="AU5" s="22"/>
      <c r="AV5" s="22"/>
      <c r="AW5" s="22"/>
      <c r="AX5" s="22"/>
      <c r="AY5" s="22"/>
    </row>
    <row r="6" spans="1:51" ht="27" customHeight="1" x14ac:dyDescent="1.05">
      <c r="A6" s="318"/>
      <c r="B6" s="318"/>
      <c r="C6" s="318"/>
      <c r="D6" s="318"/>
      <c r="E6" s="318"/>
      <c r="F6" s="318"/>
      <c r="G6" s="318"/>
      <c r="H6" s="318"/>
      <c r="I6" s="635" t="s">
        <v>133</v>
      </c>
      <c r="J6" s="635"/>
      <c r="K6" s="635"/>
      <c r="L6" s="636" t="str">
        <f>IFERROR(VLOOKUP(A1,Input[],574,FALSE),"")</f>
        <v/>
      </c>
      <c r="M6" s="636"/>
      <c r="N6" s="636"/>
      <c r="O6" s="272"/>
      <c r="P6" s="319"/>
      <c r="Q6" s="272"/>
      <c r="R6" s="318"/>
      <c r="S6" s="318"/>
      <c r="T6" s="318"/>
      <c r="U6" s="318"/>
      <c r="V6" s="318"/>
      <c r="W6" s="318"/>
      <c r="X6" s="318"/>
      <c r="Y6" s="318"/>
      <c r="Z6" s="635" t="s">
        <v>133</v>
      </c>
      <c r="AA6" s="635"/>
      <c r="AB6" s="635"/>
      <c r="AC6" s="636" t="str">
        <f>IFERROR(VLOOKUP(R1,Input[],574,FALSE),"")</f>
        <v/>
      </c>
      <c r="AD6" s="636"/>
      <c r="AE6" s="636"/>
      <c r="AF6" s="272"/>
      <c r="AG6" s="319"/>
      <c r="AH6" s="270"/>
      <c r="AI6" s="318"/>
      <c r="AJ6" s="318"/>
      <c r="AK6" s="318"/>
      <c r="AL6" s="318"/>
      <c r="AM6" s="318"/>
      <c r="AN6" s="318"/>
      <c r="AO6" s="318"/>
      <c r="AP6" s="318"/>
      <c r="AQ6" s="635" t="s">
        <v>133</v>
      </c>
      <c r="AR6" s="635"/>
      <c r="AS6" s="635"/>
      <c r="AT6" s="636" t="str">
        <f>IFERROR(VLOOKUP(AI1,Input[],574,FALSE),"")</f>
        <v/>
      </c>
      <c r="AU6" s="636"/>
      <c r="AV6" s="636"/>
      <c r="AW6" s="272"/>
      <c r="AX6" s="272"/>
      <c r="AY6" s="272"/>
    </row>
    <row r="7" spans="1:51" ht="27" customHeight="1" thickBot="1" x14ac:dyDescent="1.1000000000000001">
      <c r="A7" s="318"/>
      <c r="B7" s="318"/>
      <c r="C7" s="318"/>
      <c r="D7" s="318"/>
      <c r="E7" s="318"/>
      <c r="F7" s="318"/>
      <c r="G7" s="318"/>
      <c r="H7" s="318"/>
      <c r="I7" s="318"/>
      <c r="J7" s="318"/>
      <c r="K7" s="318"/>
      <c r="L7" s="318"/>
      <c r="M7" s="318"/>
      <c r="N7" s="318"/>
      <c r="O7" s="272"/>
      <c r="P7" s="319"/>
      <c r="Q7" s="272"/>
      <c r="R7" s="318"/>
      <c r="S7" s="318"/>
      <c r="T7" s="318"/>
      <c r="U7" s="318"/>
      <c r="V7" s="318"/>
      <c r="W7" s="318"/>
      <c r="X7" s="318"/>
      <c r="Y7" s="318"/>
      <c r="Z7" s="318"/>
      <c r="AA7" s="318"/>
      <c r="AB7" s="318"/>
      <c r="AC7" s="318"/>
      <c r="AD7" s="318"/>
      <c r="AE7" s="318"/>
      <c r="AF7" s="272"/>
      <c r="AG7" s="319"/>
      <c r="AH7" s="270"/>
      <c r="AI7" s="318"/>
      <c r="AJ7" s="318"/>
      <c r="AK7" s="318"/>
      <c r="AL7" s="318"/>
      <c r="AM7" s="318"/>
      <c r="AN7" s="318"/>
      <c r="AO7" s="318"/>
      <c r="AP7" s="318"/>
      <c r="AQ7" s="318"/>
      <c r="AR7" s="318"/>
      <c r="AS7" s="318"/>
      <c r="AT7" s="318"/>
      <c r="AU7" s="318"/>
      <c r="AV7" s="318"/>
      <c r="AW7" s="272"/>
      <c r="AX7" s="272"/>
      <c r="AY7" s="272"/>
    </row>
    <row r="8" spans="1:51" ht="31.95" customHeight="1" thickBot="1" x14ac:dyDescent="1.1000000000000001">
      <c r="A8" s="549" t="s">
        <v>93</v>
      </c>
      <c r="B8" s="550"/>
      <c r="C8" s="550"/>
      <c r="D8" s="550"/>
      <c r="E8" s="550"/>
      <c r="F8" s="550"/>
      <c r="G8" s="550"/>
      <c r="H8" s="550"/>
      <c r="I8" s="550"/>
      <c r="J8" s="550"/>
      <c r="K8" s="550"/>
      <c r="L8" s="550"/>
      <c r="M8" s="550"/>
      <c r="N8" s="551"/>
      <c r="O8" s="272"/>
      <c r="P8" s="319"/>
      <c r="Q8" s="272"/>
      <c r="R8" s="549" t="s">
        <v>93</v>
      </c>
      <c r="S8" s="550"/>
      <c r="T8" s="550"/>
      <c r="U8" s="550"/>
      <c r="V8" s="550"/>
      <c r="W8" s="550"/>
      <c r="X8" s="550"/>
      <c r="Y8" s="550"/>
      <c r="Z8" s="550"/>
      <c r="AA8" s="550"/>
      <c r="AB8" s="550"/>
      <c r="AC8" s="550"/>
      <c r="AD8" s="550"/>
      <c r="AE8" s="551"/>
      <c r="AF8" s="272"/>
      <c r="AG8" s="319"/>
      <c r="AH8" s="270"/>
      <c r="AI8" s="549" t="s">
        <v>93</v>
      </c>
      <c r="AJ8" s="550"/>
      <c r="AK8" s="550"/>
      <c r="AL8" s="550"/>
      <c r="AM8" s="550"/>
      <c r="AN8" s="550"/>
      <c r="AO8" s="550"/>
      <c r="AP8" s="550"/>
      <c r="AQ8" s="550"/>
      <c r="AR8" s="550"/>
      <c r="AS8" s="550"/>
      <c r="AT8" s="550"/>
      <c r="AU8" s="550"/>
      <c r="AV8" s="551"/>
      <c r="AW8" s="272"/>
      <c r="AX8" s="272"/>
      <c r="AY8" s="272"/>
    </row>
    <row r="9" spans="1:51" ht="27" customHeight="1" thickBot="1" x14ac:dyDescent="1.1000000000000001">
      <c r="A9" s="543" t="s">
        <v>94</v>
      </c>
      <c r="B9" s="544"/>
      <c r="C9" s="544"/>
      <c r="D9" s="544"/>
      <c r="E9" s="544"/>
      <c r="F9" s="544"/>
      <c r="G9" s="544"/>
      <c r="H9" s="544"/>
      <c r="I9" s="545" t="s">
        <v>135</v>
      </c>
      <c r="J9" s="546"/>
      <c r="K9" s="546"/>
      <c r="L9" s="545" t="s">
        <v>136</v>
      </c>
      <c r="M9" s="546"/>
      <c r="N9" s="547"/>
      <c r="O9" s="272"/>
      <c r="P9" s="319"/>
      <c r="Q9" s="272"/>
      <c r="R9" s="543" t="s">
        <v>94</v>
      </c>
      <c r="S9" s="544"/>
      <c r="T9" s="544"/>
      <c r="U9" s="544"/>
      <c r="V9" s="544"/>
      <c r="W9" s="544"/>
      <c r="X9" s="544"/>
      <c r="Y9" s="544"/>
      <c r="Z9" s="545" t="s">
        <v>135</v>
      </c>
      <c r="AA9" s="546"/>
      <c r="AB9" s="546"/>
      <c r="AC9" s="545" t="s">
        <v>136</v>
      </c>
      <c r="AD9" s="546"/>
      <c r="AE9" s="547"/>
      <c r="AF9" s="272"/>
      <c r="AG9" s="319"/>
      <c r="AH9" s="270"/>
      <c r="AI9" s="543" t="s">
        <v>94</v>
      </c>
      <c r="AJ9" s="544"/>
      <c r="AK9" s="544"/>
      <c r="AL9" s="544"/>
      <c r="AM9" s="544"/>
      <c r="AN9" s="544"/>
      <c r="AO9" s="544"/>
      <c r="AP9" s="544"/>
      <c r="AQ9" s="545" t="s">
        <v>135</v>
      </c>
      <c r="AR9" s="546"/>
      <c r="AS9" s="546"/>
      <c r="AT9" s="545" t="s">
        <v>136</v>
      </c>
      <c r="AU9" s="546"/>
      <c r="AV9" s="547"/>
      <c r="AW9" s="272"/>
      <c r="AX9" s="272"/>
      <c r="AY9" s="272"/>
    </row>
    <row r="10" spans="1:51" ht="27" customHeight="1" x14ac:dyDescent="1.05">
      <c r="A10" s="522" t="s">
        <v>97</v>
      </c>
      <c r="B10" s="523"/>
      <c r="C10" s="523"/>
      <c r="D10" s="523"/>
      <c r="E10" s="523"/>
      <c r="F10" s="523"/>
      <c r="G10" s="523"/>
      <c r="H10" s="524"/>
      <c r="I10" s="518">
        <f>SUMIFS(Input[St. Ap. E &amp; G],Input[Institution Name],$A$1)+SUMIFS(Input[St. Ap. Desg],Input[Institution Name],$A$1)+SUMIFS(Input[St. Ap. Aux],Input[Institution Name],$A$1)+SUMIFS(Input[St. Ap. R Exp],Input[Institution Name],$A$1)+SUMIFS(Input[St. Ap. Loan],Input[Institution Name],$A$1)+SUMIFS(Input[St. Ap. Annuity],Input[Institution Name],$A$1)+SUMIFS(Input[St. Ap. Unexp],Input[Institution Name],$A$1)+SUMIFS(Input[St. Ap. R of Ind],Input[Institution Name],$A$1)+SUMIFS(Input[St. Ap. Inv in P],Input[Institution Name],$A$1)</f>
        <v>0</v>
      </c>
      <c r="J10" s="518"/>
      <c r="K10" s="518"/>
      <c r="L10" s="529">
        <f>IFERROR(ROUND(I10/L$6,0),0)</f>
        <v>0</v>
      </c>
      <c r="M10" s="529"/>
      <c r="N10" s="530"/>
      <c r="O10" s="272"/>
      <c r="P10" s="319"/>
      <c r="Q10" s="272"/>
      <c r="R10" s="522" t="s">
        <v>97</v>
      </c>
      <c r="S10" s="523"/>
      <c r="T10" s="523"/>
      <c r="U10" s="523"/>
      <c r="V10" s="523"/>
      <c r="W10" s="523"/>
      <c r="X10" s="523"/>
      <c r="Y10" s="524"/>
      <c r="Z10" s="518">
        <f>SUMIFS(Input[St. Ap. E &amp; G],Input[Institution Name],$R$1)+SUMIFS(Input[St. Ap. Desg],Input[Institution Name],$R$1)+SUMIFS(Input[St. Ap. Aux],Input[Institution Name],$R$1)+SUMIFS(Input[St. Ap. R Exp],Input[Institution Name],$R$1)+SUMIFS(Input[St. Ap. Loan],Input[Institution Name],$R$1)+SUMIFS(Input[St. Ap. Annuity],Input[Institution Name],$R$1)+SUMIFS(Input[St. Ap. Unexp],Input[Institution Name],$R$1)+SUMIFS(Input[St. Ap. R of Ind],Input[Institution Name],$R$1)+SUMIFS(Input[St. Ap. Inv in P],Input[Institution Name],$R$1)</f>
        <v>0</v>
      </c>
      <c r="AA10" s="518"/>
      <c r="AB10" s="518"/>
      <c r="AC10" s="529">
        <f>IFERROR(ROUND(Z10/AC$6,0),0)</f>
        <v>0</v>
      </c>
      <c r="AD10" s="529"/>
      <c r="AE10" s="530"/>
      <c r="AF10" s="272"/>
      <c r="AG10" s="319"/>
      <c r="AH10" s="270"/>
      <c r="AI10" s="522" t="s">
        <v>97</v>
      </c>
      <c r="AJ10" s="523"/>
      <c r="AK10" s="523"/>
      <c r="AL10" s="523"/>
      <c r="AM10" s="523"/>
      <c r="AN10" s="523"/>
      <c r="AO10" s="523"/>
      <c r="AP10" s="524"/>
      <c r="AQ10" s="518">
        <f>SUMIFS(Input[St. Ap. E &amp; G],Input[Institution Name],$AI$1)+SUMIFS(Input[St. Ap. Desg],Input[Institution Name],$AI$1)+SUMIFS(Input[St. Ap. Aux],Input[Institution Name],$AI$1)+SUMIFS(Input[St. Ap. R Exp],Input[Institution Name],$AI$1)+SUMIFS(Input[St. Ap. Loan],Input[Institution Name],$AI$1)+SUMIFS(Input[St. Ap. Annuity],Input[Institution Name],$AI$1)+SUMIFS(Input[St. Ap. Unexp],Input[Institution Name],$AI$1)+SUMIFS(Input[St. Ap. R of Ind],Input[Institution Name],$AI$1)+SUMIFS(Input[St. Ap. Inv in P],Input[Institution Name],$AI$1)</f>
        <v>0</v>
      </c>
      <c r="AR10" s="518"/>
      <c r="AS10" s="518"/>
      <c r="AT10" s="529">
        <f>IFERROR(ROUND(AQ10/AT$6,0),0)</f>
        <v>0</v>
      </c>
      <c r="AU10" s="529"/>
      <c r="AV10" s="530"/>
      <c r="AW10" s="272"/>
      <c r="AX10" s="272"/>
      <c r="AY10" s="272"/>
    </row>
    <row r="11" spans="1:51" ht="27" customHeight="1" x14ac:dyDescent="1.05">
      <c r="A11" s="525" t="s">
        <v>847</v>
      </c>
      <c r="B11" s="434"/>
      <c r="C11" s="434"/>
      <c r="D11" s="434"/>
      <c r="E11" s="434"/>
      <c r="F11" s="434"/>
      <c r="G11" s="434"/>
      <c r="H11" s="435"/>
      <c r="I11" s="519">
        <f>SUMIFS(Input[St. C&amp;G E&amp;G],Input[Institution Name],$A$1)+SUMIFS(Input[St. C&amp;G Desg],Input[Institution Name],$A$1)+SUMIFS(Input[St. C&amp;G Aux],Input[Institution Name],$A$1)+SUMIFS(Input[St. C&amp;G R Exp],Input[Institution Name],$A$1)+SUMIFS(Input[St. C&amp;G Loan],Input[Institution Name],$A$1)+SUMIFS(Input[St. C&amp;G Annuity],Input[Institution Name],$A$1)+SUMIFS(Input[St. C&amp;G Unexp],Input[Institution Name],$A$1)+SUMIFS(Input[St. C&amp;G R of Ind],Input[Institution Name],$A$1)+SUMIFS(Input[St. C&amp;G Inv in P],Input[Institution Name],$A$1)</f>
        <v>0</v>
      </c>
      <c r="J11" s="519"/>
      <c r="K11" s="519"/>
      <c r="L11" s="432">
        <f t="shared" ref="L11:L13" si="0">IFERROR(ROUND(I11/L$6,0),0)</f>
        <v>0</v>
      </c>
      <c r="M11" s="432"/>
      <c r="N11" s="536"/>
      <c r="O11" s="272"/>
      <c r="P11" s="319"/>
      <c r="Q11" s="272"/>
      <c r="R11" s="525" t="s">
        <v>847</v>
      </c>
      <c r="S11" s="434"/>
      <c r="T11" s="434"/>
      <c r="U11" s="434"/>
      <c r="V11" s="434"/>
      <c r="W11" s="434"/>
      <c r="X11" s="434"/>
      <c r="Y11" s="435"/>
      <c r="Z11" s="519">
        <f>SUMIFS(Input[St. C&amp;G E&amp;G],Input[Institution Name],$R$1)+SUMIFS(Input[St. C&amp;G Desg],Input[Institution Name],$R$1)+SUMIFS(Input[St. C&amp;G Aux],Input[Institution Name],$R$1)+SUMIFS(Input[St. C&amp;G R Exp],Input[Institution Name],$R$1)+SUMIFS(Input[St. C&amp;G Loan],Input[Institution Name],$R$1)+SUMIFS(Input[St. C&amp;G Annuity],Input[Institution Name],$R$1)+SUMIFS(Input[St. C&amp;G Unexp],Input[Institution Name],$R$1)+SUMIFS(Input[St. C&amp;G R of Ind],Input[Institution Name],$R$1)+SUMIFS(Input[St. C&amp;G Inv in P],Input[Institution Name],$R$1)</f>
        <v>0</v>
      </c>
      <c r="AA11" s="519"/>
      <c r="AB11" s="519"/>
      <c r="AC11" s="432">
        <f t="shared" ref="AC11:AC13" si="1">IFERROR(ROUND(Z11/AC$6,0),0)</f>
        <v>0</v>
      </c>
      <c r="AD11" s="432"/>
      <c r="AE11" s="536"/>
      <c r="AF11" s="272"/>
      <c r="AG11" s="319"/>
      <c r="AH11" s="270"/>
      <c r="AI11" s="525" t="s">
        <v>847</v>
      </c>
      <c r="AJ11" s="434"/>
      <c r="AK11" s="434"/>
      <c r="AL11" s="434"/>
      <c r="AM11" s="434"/>
      <c r="AN11" s="434"/>
      <c r="AO11" s="434"/>
      <c r="AP11" s="435"/>
      <c r="AQ11" s="519">
        <f>SUMIFS(Input[St. C&amp;G E&amp;G],Input[Institution Name],$AI$1)+SUMIFS(Input[St. C&amp;G Desg],Input[Institution Name],$AI$1)+SUMIFS(Input[St. C&amp;G Aux],Input[Institution Name],$AI$1)+SUMIFS(Input[St. C&amp;G R Exp],Input[Institution Name],$AI$1)+SUMIFS(Input[St. C&amp;G Loan],Input[Institution Name],$AI$1)+SUMIFS(Input[St. C&amp;G Annuity],Input[Institution Name],$AI$1)+SUMIFS(Input[St. C&amp;G Unexp],Input[Institution Name],$AI$1)+SUMIFS(Input[St. C&amp;G R of Ind],Input[Institution Name],$AI$1)+SUMIFS(Input[St. C&amp;G Inv in P],Input[Institution Name],$AI$1)</f>
        <v>0</v>
      </c>
      <c r="AR11" s="519"/>
      <c r="AS11" s="519"/>
      <c r="AT11" s="432">
        <f t="shared" ref="AT11:AT13" si="2">IFERROR(ROUND(AQ11/AT$6,0),0)</f>
        <v>0</v>
      </c>
      <c r="AU11" s="432"/>
      <c r="AV11" s="536"/>
      <c r="AW11" s="272"/>
      <c r="AX11" s="272"/>
      <c r="AY11" s="272"/>
    </row>
    <row r="12" spans="1:51" ht="27" customHeight="1" x14ac:dyDescent="1.05">
      <c r="A12" s="525" t="s">
        <v>98</v>
      </c>
      <c r="B12" s="434"/>
      <c r="C12" s="434"/>
      <c r="D12" s="434"/>
      <c r="E12" s="434"/>
      <c r="F12" s="434"/>
      <c r="G12" s="434"/>
      <c r="H12" s="435"/>
      <c r="I12" s="519">
        <f>SUMIFS(Input[HEF E&amp;G],Input[Institution Name],$A$1)+SUMIFS(Input[HEF Desg],Input[Institution Name],$A$1)+SUMIFS(Input[HEF Aux],Input[Institution Name],$A$1)+SUMIFS(Input[HEF R Exp],Input[Institution Name],$A$1)+SUMIFS(Input[HEF Loan],Input[Institution Name],$A$1)+SUMIFS(Input[HEF Annuity],Input[Institution Name],$A$1)+SUMIFS(Input[HEF Unexp],Input[Institution Name],$A$1)+SUMIFS(Input[HEF R of Ind],Input[Institution Name],$A$1)+SUMIFS(Input[HEF Inv in P],Input[Institution Name],$A$1)</f>
        <v>0</v>
      </c>
      <c r="J12" s="519"/>
      <c r="K12" s="519"/>
      <c r="L12" s="432">
        <f t="shared" si="0"/>
        <v>0</v>
      </c>
      <c r="M12" s="432"/>
      <c r="N12" s="536"/>
      <c r="O12" s="272"/>
      <c r="P12" s="319"/>
      <c r="Q12" s="272"/>
      <c r="R12" s="525" t="s">
        <v>98</v>
      </c>
      <c r="S12" s="434"/>
      <c r="T12" s="434"/>
      <c r="U12" s="434"/>
      <c r="V12" s="434"/>
      <c r="W12" s="434"/>
      <c r="X12" s="434"/>
      <c r="Y12" s="435"/>
      <c r="Z12" s="519">
        <f>SUMIFS(Input[HEF E&amp;G],Input[Institution Name],$R$1)+SUMIFS(Input[HEF Desg],Input[Institution Name],$R$1)+SUMIFS(Input[HEF Aux],Input[Institution Name],$R$1)+SUMIFS(Input[HEF R Exp],Input[Institution Name],$R$1)+SUMIFS(Input[HEF Loan],Input[Institution Name],$R$1)+SUMIFS(Input[HEF Annuity],Input[Institution Name],$R$1)+SUMIFS(Input[HEF Unexp],Input[Institution Name],$R$1)+SUMIFS(Input[HEF R of Ind],Input[Institution Name],$R$1)+SUMIFS(Input[HEF Inv in P],Input[Institution Name],$R$1)</f>
        <v>0</v>
      </c>
      <c r="AA12" s="519"/>
      <c r="AB12" s="519"/>
      <c r="AC12" s="432">
        <f t="shared" si="1"/>
        <v>0</v>
      </c>
      <c r="AD12" s="432"/>
      <c r="AE12" s="536"/>
      <c r="AF12" s="272"/>
      <c r="AG12" s="319"/>
      <c r="AH12" s="270"/>
      <c r="AI12" s="525" t="s">
        <v>98</v>
      </c>
      <c r="AJ12" s="434"/>
      <c r="AK12" s="434"/>
      <c r="AL12" s="434"/>
      <c r="AM12" s="434"/>
      <c r="AN12" s="434"/>
      <c r="AO12" s="434"/>
      <c r="AP12" s="435"/>
      <c r="AQ12" s="519">
        <f>SUMIFS(Input[HEF E&amp;G],Input[Institution Name],$AI$1)+SUMIFS(Input[HEF Desg],Input[Institution Name],$AI$1)+SUMIFS(Input[HEF Aux],Input[Institution Name],$AI$1)+SUMIFS(Input[HEF R Exp],Input[Institution Name],$AI$1)+SUMIFS(Input[HEF Loan],Input[Institution Name],$AI$1)+SUMIFS(Input[HEF Annuity],Input[Institution Name],$AI$1)+SUMIFS(Input[HEF Unexp],Input[Institution Name],$AI$1)+SUMIFS(Input[HEF R of Ind],Input[Institution Name],$AI$1)+SUMIFS(Input[HEF Inv in P],Input[Institution Name],$AI$1)</f>
        <v>0</v>
      </c>
      <c r="AR12" s="519"/>
      <c r="AS12" s="519"/>
      <c r="AT12" s="432">
        <f t="shared" si="2"/>
        <v>0</v>
      </c>
      <c r="AU12" s="432"/>
      <c r="AV12" s="536"/>
      <c r="AW12" s="272"/>
      <c r="AX12" s="272"/>
      <c r="AY12" s="272"/>
    </row>
    <row r="13" spans="1:51" ht="27" customHeight="1" thickBot="1" x14ac:dyDescent="1.1000000000000001">
      <c r="A13" s="548" t="s">
        <v>139</v>
      </c>
      <c r="B13" s="490"/>
      <c r="C13" s="490"/>
      <c r="D13" s="490"/>
      <c r="E13" s="490"/>
      <c r="F13" s="490"/>
      <c r="G13" s="490"/>
      <c r="H13" s="491"/>
      <c r="I13" s="520">
        <f>SUMIFS(Input[Available E&amp;G],Input[Institution Name],$A$1)+SUMIFS(Input[Available Desg],Input[Institution Name],$A$1)+SUMIFS(Input[Available Aux],Input[Institution Name],$A$1)+SUMIFS(Input[Available R Exp],Input[Institution Name],$A$1)+SUMIFS(Input[Available Loan],Input[Institution Name],$A$1)+SUMIFS(Input[Available Annuity],Input[Institution Name],$A$1)+SUMIFS(Input[Available Unexp],Input[Institution Name],$A$1)+SUMIFS(Input[Available R of Ind],Input[Institution Name],$A$1)+SUMIFS(Input[Available Inv in P],Input[Institution Name],$A$1)</f>
        <v>0</v>
      </c>
      <c r="J13" s="520"/>
      <c r="K13" s="520"/>
      <c r="L13" s="534">
        <f t="shared" si="0"/>
        <v>0</v>
      </c>
      <c r="M13" s="534"/>
      <c r="N13" s="535"/>
      <c r="O13" s="272"/>
      <c r="P13" s="319"/>
      <c r="Q13" s="272"/>
      <c r="R13" s="548" t="s">
        <v>139</v>
      </c>
      <c r="S13" s="490"/>
      <c r="T13" s="490"/>
      <c r="U13" s="490"/>
      <c r="V13" s="490"/>
      <c r="W13" s="490"/>
      <c r="X13" s="490"/>
      <c r="Y13" s="491"/>
      <c r="Z13" s="520">
        <f>SUMIFS(Input[Available E&amp;G],Input[Institution Name],$R$1)+SUMIFS(Input[Available Desg],Input[Institution Name],$R$1)+SUMIFS(Input[Available Aux],Input[Institution Name],$R$1)+SUMIFS(Input[Available R Exp],Input[Institution Name],$R$1)+SUMIFS(Input[Available Loan],Input[Institution Name],$R$1)+SUMIFS(Input[Available Annuity],Input[Institution Name],$R$1)+SUMIFS(Input[Available Unexp],Input[Institution Name],$R$1)+SUMIFS(Input[Available R of Ind],Input[Institution Name],$R$1)+SUMIFS(Input[Available Inv in P],Input[Institution Name],$R$1)</f>
        <v>0</v>
      </c>
      <c r="AA13" s="520"/>
      <c r="AB13" s="520"/>
      <c r="AC13" s="534">
        <f t="shared" si="1"/>
        <v>0</v>
      </c>
      <c r="AD13" s="534"/>
      <c r="AE13" s="535"/>
      <c r="AF13" s="272"/>
      <c r="AG13" s="319"/>
      <c r="AH13" s="270"/>
      <c r="AI13" s="548" t="s">
        <v>139</v>
      </c>
      <c r="AJ13" s="490"/>
      <c r="AK13" s="490"/>
      <c r="AL13" s="490"/>
      <c r="AM13" s="490"/>
      <c r="AN13" s="490"/>
      <c r="AO13" s="490"/>
      <c r="AP13" s="491"/>
      <c r="AQ13" s="520">
        <f>SUMIFS(Input[Available E&amp;G],Input[Institution Name],$AI$1)+SUMIFS(Input[Available Desg],Input[Institution Name],$AI$1)+SUMIFS(Input[Available Aux],Input[Institution Name],$AI$1)+SUMIFS(Input[Available R Exp],Input[Institution Name],$AI$1)+SUMIFS(Input[Available Loan],Input[Institution Name],$AI$1)+SUMIFS(Input[Available Annuity],Input[Institution Name],$AI$1)+SUMIFS(Input[Available Unexp],Input[Institution Name],$AI$1)+SUMIFS(Input[Available R of Ind],Input[Institution Name],$AI$1)+SUMIFS(Input[Available Inv in P],Input[Institution Name],$AI$1)</f>
        <v>0</v>
      </c>
      <c r="AR13" s="520"/>
      <c r="AS13" s="520"/>
      <c r="AT13" s="534">
        <f t="shared" si="2"/>
        <v>0</v>
      </c>
      <c r="AU13" s="534"/>
      <c r="AV13" s="535"/>
      <c r="AW13" s="272"/>
      <c r="AX13" s="272"/>
      <c r="AY13" s="272"/>
    </row>
    <row r="14" spans="1:51" ht="27" customHeight="1" thickBot="1" x14ac:dyDescent="1.1000000000000001">
      <c r="A14" s="509" t="s">
        <v>99</v>
      </c>
      <c r="B14" s="510"/>
      <c r="C14" s="510"/>
      <c r="D14" s="510"/>
      <c r="E14" s="510"/>
      <c r="F14" s="510"/>
      <c r="G14" s="510"/>
      <c r="H14" s="510"/>
      <c r="I14" s="516">
        <f>SUM(I10:I13)</f>
        <v>0</v>
      </c>
      <c r="J14" s="516"/>
      <c r="K14" s="516"/>
      <c r="L14" s="516">
        <f>IFERROR(ROUND(I14/L$6,0),0)</f>
        <v>0</v>
      </c>
      <c r="M14" s="516"/>
      <c r="N14" s="517"/>
      <c r="O14" s="272"/>
      <c r="P14" s="319"/>
      <c r="Q14" s="272"/>
      <c r="R14" s="509" t="s">
        <v>99</v>
      </c>
      <c r="S14" s="510"/>
      <c r="T14" s="510"/>
      <c r="U14" s="510"/>
      <c r="V14" s="510"/>
      <c r="W14" s="510"/>
      <c r="X14" s="510"/>
      <c r="Y14" s="510"/>
      <c r="Z14" s="516">
        <f>SUM(Z10:Z13)</f>
        <v>0</v>
      </c>
      <c r="AA14" s="516"/>
      <c r="AB14" s="516"/>
      <c r="AC14" s="516">
        <f>IFERROR(ROUND(Z14/AC$6,0),0)</f>
        <v>0</v>
      </c>
      <c r="AD14" s="516"/>
      <c r="AE14" s="517"/>
      <c r="AF14" s="272"/>
      <c r="AG14" s="319"/>
      <c r="AH14" s="270"/>
      <c r="AI14" s="509" t="s">
        <v>99</v>
      </c>
      <c r="AJ14" s="510"/>
      <c r="AK14" s="510"/>
      <c r="AL14" s="510"/>
      <c r="AM14" s="510"/>
      <c r="AN14" s="510"/>
      <c r="AO14" s="510"/>
      <c r="AP14" s="510"/>
      <c r="AQ14" s="516">
        <f>SUM(AQ10:AQ13)</f>
        <v>0</v>
      </c>
      <c r="AR14" s="516"/>
      <c r="AS14" s="516"/>
      <c r="AT14" s="516">
        <f>IFERROR(ROUND(AQ14/AT$6,0),0)</f>
        <v>0</v>
      </c>
      <c r="AU14" s="516"/>
      <c r="AV14" s="517"/>
      <c r="AW14" s="272"/>
      <c r="AX14" s="272"/>
      <c r="AY14" s="272"/>
    </row>
    <row r="15" spans="1:51" ht="27" customHeight="1" thickBot="1" x14ac:dyDescent="1.1000000000000001">
      <c r="A15" s="274"/>
      <c r="B15" s="275"/>
      <c r="C15" s="275"/>
      <c r="D15" s="275"/>
      <c r="E15" s="275"/>
      <c r="F15" s="275"/>
      <c r="G15" s="275"/>
      <c r="H15" s="275"/>
      <c r="I15" s="275"/>
      <c r="J15" s="275"/>
      <c r="K15" s="275"/>
      <c r="L15" s="276"/>
      <c r="M15" s="22"/>
      <c r="N15" s="22"/>
      <c r="O15" s="272"/>
      <c r="P15" s="319"/>
      <c r="Q15" s="272"/>
      <c r="R15" s="274"/>
      <c r="S15" s="275"/>
      <c r="T15" s="275"/>
      <c r="U15" s="275"/>
      <c r="V15" s="275"/>
      <c r="W15" s="275"/>
      <c r="X15" s="275"/>
      <c r="Y15" s="275"/>
      <c r="Z15" s="275"/>
      <c r="AA15" s="275"/>
      <c r="AB15" s="275"/>
      <c r="AC15" s="276"/>
      <c r="AD15" s="22"/>
      <c r="AE15" s="22"/>
      <c r="AF15" s="272"/>
      <c r="AG15" s="319"/>
      <c r="AH15" s="270"/>
      <c r="AI15" s="274"/>
      <c r="AJ15" s="275"/>
      <c r="AK15" s="275"/>
      <c r="AL15" s="275"/>
      <c r="AM15" s="275"/>
      <c r="AN15" s="275"/>
      <c r="AO15" s="275"/>
      <c r="AP15" s="275"/>
      <c r="AQ15" s="275"/>
      <c r="AR15" s="275"/>
      <c r="AS15" s="275"/>
      <c r="AT15" s="276"/>
      <c r="AU15" s="22"/>
      <c r="AV15" s="22"/>
      <c r="AW15" s="272"/>
      <c r="AX15" s="272"/>
      <c r="AY15" s="272"/>
    </row>
    <row r="16" spans="1:51" ht="27" customHeight="1" thickBot="1" x14ac:dyDescent="1.1000000000000001">
      <c r="A16" s="543" t="s">
        <v>100</v>
      </c>
      <c r="B16" s="544"/>
      <c r="C16" s="544"/>
      <c r="D16" s="544"/>
      <c r="E16" s="544"/>
      <c r="F16" s="544"/>
      <c r="G16" s="544"/>
      <c r="H16" s="544"/>
      <c r="I16" s="545" t="s">
        <v>135</v>
      </c>
      <c r="J16" s="546"/>
      <c r="K16" s="546"/>
      <c r="L16" s="545" t="s">
        <v>136</v>
      </c>
      <c r="M16" s="546"/>
      <c r="N16" s="547"/>
      <c r="O16" s="272"/>
      <c r="P16" s="319"/>
      <c r="Q16" s="272"/>
      <c r="R16" s="543" t="s">
        <v>100</v>
      </c>
      <c r="S16" s="544"/>
      <c r="T16" s="544"/>
      <c r="U16" s="544"/>
      <c r="V16" s="544"/>
      <c r="W16" s="544"/>
      <c r="X16" s="544"/>
      <c r="Y16" s="544"/>
      <c r="Z16" s="545" t="s">
        <v>135</v>
      </c>
      <c r="AA16" s="546"/>
      <c r="AB16" s="546"/>
      <c r="AC16" s="545" t="s">
        <v>136</v>
      </c>
      <c r="AD16" s="546"/>
      <c r="AE16" s="547"/>
      <c r="AF16" s="272"/>
      <c r="AG16" s="319"/>
      <c r="AH16" s="270"/>
      <c r="AI16" s="543" t="s">
        <v>100</v>
      </c>
      <c r="AJ16" s="544"/>
      <c r="AK16" s="544"/>
      <c r="AL16" s="544"/>
      <c r="AM16" s="544"/>
      <c r="AN16" s="544"/>
      <c r="AO16" s="544"/>
      <c r="AP16" s="544"/>
      <c r="AQ16" s="545" t="s">
        <v>135</v>
      </c>
      <c r="AR16" s="546"/>
      <c r="AS16" s="546"/>
      <c r="AT16" s="545" t="s">
        <v>136</v>
      </c>
      <c r="AU16" s="546"/>
      <c r="AV16" s="547"/>
      <c r="AW16" s="272"/>
      <c r="AX16" s="272"/>
      <c r="AY16" s="272"/>
    </row>
    <row r="17" spans="1:51" s="29" customFormat="1" ht="27" customHeight="1" thickBot="1" x14ac:dyDescent="1.1000000000000001">
      <c r="A17" s="511" t="s">
        <v>101</v>
      </c>
      <c r="B17" s="512"/>
      <c r="C17" s="512"/>
      <c r="D17" s="512"/>
      <c r="E17" s="512"/>
      <c r="F17" s="512"/>
      <c r="G17" s="512"/>
      <c r="H17" s="512"/>
      <c r="I17" s="516" cm="1">
        <f t="array" ref="I17">SUM(I23,-I19:J22)</f>
        <v>0</v>
      </c>
      <c r="J17" s="516"/>
      <c r="K17" s="516"/>
      <c r="L17" s="516">
        <f>IFERROR(ROUND(I17/L$6,0),0)</f>
        <v>0</v>
      </c>
      <c r="M17" s="516"/>
      <c r="N17" s="517"/>
      <c r="O17" s="272"/>
      <c r="P17" s="319"/>
      <c r="Q17" s="272"/>
      <c r="R17" s="511" t="s">
        <v>101</v>
      </c>
      <c r="S17" s="512"/>
      <c r="T17" s="512"/>
      <c r="U17" s="512"/>
      <c r="V17" s="512"/>
      <c r="W17" s="512"/>
      <c r="X17" s="512"/>
      <c r="Y17" s="512"/>
      <c r="Z17" s="516" cm="1">
        <f t="array" ref="Z17">SUM(Z23,-Z19:AA22)</f>
        <v>0</v>
      </c>
      <c r="AA17" s="516"/>
      <c r="AB17" s="516"/>
      <c r="AC17" s="516">
        <f>IFERROR(ROUND(Z17/AC$6,0),0)</f>
        <v>0</v>
      </c>
      <c r="AD17" s="516"/>
      <c r="AE17" s="517"/>
      <c r="AF17" s="272"/>
      <c r="AG17" s="319"/>
      <c r="AH17" s="270"/>
      <c r="AI17" s="511" t="s">
        <v>101</v>
      </c>
      <c r="AJ17" s="512"/>
      <c r="AK17" s="512"/>
      <c r="AL17" s="512"/>
      <c r="AM17" s="512"/>
      <c r="AN17" s="512"/>
      <c r="AO17" s="512"/>
      <c r="AP17" s="512"/>
      <c r="AQ17" s="516" cm="1">
        <f t="array" ref="AQ17">SUM(AQ23,-AQ19:AR22)</f>
        <v>0</v>
      </c>
      <c r="AR17" s="516"/>
      <c r="AS17" s="516"/>
      <c r="AT17" s="516">
        <f>IFERROR(ROUND(AQ17/AT$6,0),0)</f>
        <v>0</v>
      </c>
      <c r="AU17" s="516"/>
      <c r="AV17" s="517"/>
      <c r="AW17" s="272"/>
      <c r="AX17" s="272"/>
      <c r="AY17" s="272"/>
    </row>
    <row r="18" spans="1:51" ht="27" customHeight="1" thickBot="1" x14ac:dyDescent="1.1000000000000001">
      <c r="A18" s="513" t="s">
        <v>1727</v>
      </c>
      <c r="B18" s="514"/>
      <c r="C18" s="514"/>
      <c r="D18" s="514"/>
      <c r="E18" s="514"/>
      <c r="F18" s="514"/>
      <c r="G18" s="514"/>
      <c r="H18" s="514"/>
      <c r="I18" s="514"/>
      <c r="J18" s="514"/>
      <c r="K18" s="514"/>
      <c r="L18" s="514"/>
      <c r="M18" s="514"/>
      <c r="N18" s="515"/>
      <c r="O18" s="272"/>
      <c r="P18" s="319"/>
      <c r="Q18" s="272"/>
      <c r="R18" s="513" t="s">
        <v>1727</v>
      </c>
      <c r="S18" s="514"/>
      <c r="T18" s="514"/>
      <c r="U18" s="514"/>
      <c r="V18" s="514"/>
      <c r="W18" s="514"/>
      <c r="X18" s="514"/>
      <c r="Y18" s="514"/>
      <c r="Z18" s="514"/>
      <c r="AA18" s="514"/>
      <c r="AB18" s="514"/>
      <c r="AC18" s="514"/>
      <c r="AD18" s="514"/>
      <c r="AE18" s="515"/>
      <c r="AF18" s="272"/>
      <c r="AG18" s="319"/>
      <c r="AH18" s="270"/>
      <c r="AI18" s="513" t="s">
        <v>1727</v>
      </c>
      <c r="AJ18" s="514"/>
      <c r="AK18" s="514"/>
      <c r="AL18" s="514"/>
      <c r="AM18" s="514"/>
      <c r="AN18" s="514"/>
      <c r="AO18" s="514"/>
      <c r="AP18" s="514"/>
      <c r="AQ18" s="514"/>
      <c r="AR18" s="514"/>
      <c r="AS18" s="514"/>
      <c r="AT18" s="514"/>
      <c r="AU18" s="514"/>
      <c r="AV18" s="515"/>
      <c r="AW18" s="272"/>
      <c r="AX18" s="272"/>
      <c r="AY18" s="272"/>
    </row>
    <row r="19" spans="1:51" ht="27" customHeight="1" x14ac:dyDescent="1.05">
      <c r="A19" s="522" t="s">
        <v>102</v>
      </c>
      <c r="B19" s="523"/>
      <c r="C19" s="523"/>
      <c r="D19" s="523"/>
      <c r="E19" s="523"/>
      <c r="F19" s="523"/>
      <c r="G19" s="523"/>
      <c r="H19" s="524"/>
      <c r="I19" s="518">
        <f>SUMIFS(Input[T. W. - Stat (NR AFR) E&amp;G],Input[Institution Name],$A$1)+SUMIFS(Input[T. W. - Stat (NR AFR) Desg],Input[Institution Name],$A$1)+SUMIFS(Input[T. W. - Stat (NR AFR) Aux],Input[Institution Name],$A$1)+SUMIFS(Input[T. W. - Stat (NR AFR) R Exp],Input[Institution Name],$A$1)+SUMIFS(Input[T. W. - Stat (NR AFR) Loan],Input[Institution Name],$A$1)+SUMIFS(Input[T. W. - Stat (NR AFR) Annuity],Input[Institution Name],$A$1)+SUMIFS(Input[T. W. - Stat (NR AFR) Unexp],Input[Institution Name],$A$1)+SUMIFS(Input[T. W. - Stat (NR AFR) R of Ind],Input[Institution Name],$A$1)+SUMIFS(Input[T. W. - Stat (NR AFR) Inv in P],Input[Institution Name],$A$1)</f>
        <v>0</v>
      </c>
      <c r="J19" s="518"/>
      <c r="K19" s="518"/>
      <c r="L19" s="529">
        <f t="shared" ref="L19:L22" si="3">IFERROR(ROUND(I19/L$6,0),0)</f>
        <v>0</v>
      </c>
      <c r="M19" s="529"/>
      <c r="N19" s="530"/>
      <c r="O19" s="272"/>
      <c r="P19" s="319"/>
      <c r="Q19" s="272"/>
      <c r="R19" s="522" t="s">
        <v>102</v>
      </c>
      <c r="S19" s="523"/>
      <c r="T19" s="523"/>
      <c r="U19" s="523"/>
      <c r="V19" s="523"/>
      <c r="W19" s="523"/>
      <c r="X19" s="523"/>
      <c r="Y19" s="524"/>
      <c r="Z19" s="518">
        <f>SUMIFS(Input[T. W. - Stat (NR AFR) E&amp;G],Input[Institution Name],$R$1)+SUMIFS(Input[T. W. - Stat (NR AFR) Desg],Input[Institution Name],$R$1)+SUMIFS(Input[T. W. - Stat (NR AFR) Aux],Input[Institution Name],$R$1)+SUMIFS(Input[T. W. - Stat (NR AFR) R Exp],Input[Institution Name],$R$1)+SUMIFS(Input[T. W. - Stat (NR AFR) Loan],Input[Institution Name],$R$1)+SUMIFS(Input[T. W. - Stat (NR AFR) Annuity],Input[Institution Name],$R$1)+SUMIFS(Input[T. W. - Stat (NR AFR) Unexp],Input[Institution Name],$R$1)+SUMIFS(Input[T. W. - Stat (NR AFR) R of Ind],Input[Institution Name],$R$1)+SUMIFS(Input[T. W. - Stat (NR AFR) Inv in P],Input[Institution Name],$R$1)</f>
        <v>0</v>
      </c>
      <c r="AA19" s="518"/>
      <c r="AB19" s="518"/>
      <c r="AC19" s="529">
        <f t="shared" ref="AC19:AC22" si="4">IFERROR(ROUND(Z19/AC$6,0),0)</f>
        <v>0</v>
      </c>
      <c r="AD19" s="529"/>
      <c r="AE19" s="530"/>
      <c r="AF19" s="272"/>
      <c r="AG19" s="319"/>
      <c r="AH19" s="270"/>
      <c r="AI19" s="522" t="s">
        <v>102</v>
      </c>
      <c r="AJ19" s="523"/>
      <c r="AK19" s="523"/>
      <c r="AL19" s="523"/>
      <c r="AM19" s="523"/>
      <c r="AN19" s="523"/>
      <c r="AO19" s="523"/>
      <c r="AP19" s="524"/>
      <c r="AQ19" s="518">
        <f>SUMIFS(Input[T. W. - Stat (NR AFR) E&amp;G],Input[Institution Name],$AI$1)+SUMIFS(Input[T. W. - Stat (NR AFR) Desg],Input[Institution Name],$AI$1)+SUMIFS(Input[T. W. - Stat (NR AFR) Aux],Input[Institution Name],$AI$1)+SUMIFS(Input[T. W. - Stat (NR AFR) R Exp],Input[Institution Name],$AI$1)+SUMIFS(Input[T. W. - Stat (NR AFR) Loan],Input[Institution Name],$AI$1)+SUMIFS(Input[T. W. - Stat (NR AFR) Annuity],Input[Institution Name],$AI$1)+SUMIFS(Input[T. W. - Stat (NR AFR) Unexp],Input[Institution Name],$AI$1)+SUMIFS(Input[T. W. - Stat (NR AFR) R of Ind],Input[Institution Name],$AI$1)+SUMIFS(Input[T. W. - Stat (NR AFR) Inv in P],Input[Institution Name],$AI$1)</f>
        <v>0</v>
      </c>
      <c r="AR19" s="518"/>
      <c r="AS19" s="518"/>
      <c r="AT19" s="529">
        <f t="shared" ref="AT19:AT22" si="5">IFERROR(ROUND(AQ19/AT$6,0),0)</f>
        <v>0</v>
      </c>
      <c r="AU19" s="529"/>
      <c r="AV19" s="530"/>
      <c r="AW19" s="272"/>
      <c r="AX19" s="272"/>
      <c r="AY19" s="272"/>
    </row>
    <row r="20" spans="1:51" ht="27" customHeight="1" x14ac:dyDescent="1.05">
      <c r="A20" s="525" t="s">
        <v>103</v>
      </c>
      <c r="B20" s="434"/>
      <c r="C20" s="434"/>
      <c r="D20" s="434"/>
      <c r="E20" s="434"/>
      <c r="F20" s="434"/>
      <c r="G20" s="434"/>
      <c r="H20" s="435"/>
      <c r="I20" s="519">
        <f>SUMIFS(Input[T. W. - Inst. (NR AFR) E&amp;G],Input[Institution Name],$A$1)+SUMIFS(Input[T. W. - Inst. (NR AFR) Desg],Input[Institution Name],$A$1)+SUMIFS(Input[T. W. - Inst. (NR AFR) Aux],Input[Institution Name],$A$1)+SUMIFS(Input[T. W. - Inst. (NR AFR) R Exp],Input[Institution Name],$A$1)+SUMIFS(Input[T. W. - Inst. (NR AFR) Loan],Input[Institution Name],$A$1)+SUMIFS(Input[T. W. - Inst. (NR AFR) Annuity],Input[Institution Name],$A$1)+SUMIFS(Input[T. W. - Inst. (NR AFR) Unexp],Input[Institution Name],$A$1)+SUMIFS(Input[T. W. - Inst. (NR AFR) R of Ind],Input[Institution Name],$A$1)+SUMIFS(Input[T. W. - Inst. (NR AFR) Inv in P],Input[Institution Name],$A$1)</f>
        <v>0</v>
      </c>
      <c r="J20" s="519"/>
      <c r="K20" s="519"/>
      <c r="L20" s="432">
        <f t="shared" si="3"/>
        <v>0</v>
      </c>
      <c r="M20" s="432"/>
      <c r="N20" s="536"/>
      <c r="O20" s="272"/>
      <c r="P20" s="319"/>
      <c r="Q20" s="272"/>
      <c r="R20" s="525" t="s">
        <v>103</v>
      </c>
      <c r="S20" s="434"/>
      <c r="T20" s="434"/>
      <c r="U20" s="434"/>
      <c r="V20" s="434"/>
      <c r="W20" s="434"/>
      <c r="X20" s="434"/>
      <c r="Y20" s="435"/>
      <c r="Z20" s="519">
        <f>SUMIFS(Input[T. W. - Inst. (NR AFR) E&amp;G],Input[Institution Name],$R$1)+SUMIFS(Input[T. W. - Inst. (NR AFR) Desg],Input[Institution Name],$R$1)+SUMIFS(Input[T. W. - Inst. (NR AFR) Aux],Input[Institution Name],$R$1)+SUMIFS(Input[T. W. - Inst. (NR AFR) R Exp],Input[Institution Name],$R$1)+SUMIFS(Input[T. W. - Inst. (NR AFR) Loan],Input[Institution Name],$R$1)+SUMIFS(Input[T. W. - Inst. (NR AFR) Annuity],Input[Institution Name],$R$1)+SUMIFS(Input[T. W. - Inst. (NR AFR) Unexp],Input[Institution Name],$R$1)+SUMIFS(Input[T. W. - Inst. (NR AFR) R of Ind],Input[Institution Name],$R$1)+SUMIFS(Input[T. W. - Inst. (NR AFR) Inv in P],Input[Institution Name],$R$1)</f>
        <v>0</v>
      </c>
      <c r="AA20" s="519"/>
      <c r="AB20" s="519"/>
      <c r="AC20" s="432">
        <f t="shared" si="4"/>
        <v>0</v>
      </c>
      <c r="AD20" s="432"/>
      <c r="AE20" s="536"/>
      <c r="AF20" s="272"/>
      <c r="AG20" s="319"/>
      <c r="AH20" s="270"/>
      <c r="AI20" s="525" t="s">
        <v>103</v>
      </c>
      <c r="AJ20" s="434"/>
      <c r="AK20" s="434"/>
      <c r="AL20" s="434"/>
      <c r="AM20" s="434"/>
      <c r="AN20" s="434"/>
      <c r="AO20" s="434"/>
      <c r="AP20" s="435"/>
      <c r="AQ20" s="519">
        <f>SUMIFS(Input[T. W. - Inst. (NR AFR) E&amp;G],Input[Institution Name],$AI$1)+SUMIFS(Input[T. W. - Inst. (NR AFR) Desg],Input[Institution Name],$AI$1)+SUMIFS(Input[T. W. - Inst. (NR AFR) Aux],Input[Institution Name],$AI$1)+SUMIFS(Input[T. W. - Inst. (NR AFR) R Exp],Input[Institution Name],$AI$1)+SUMIFS(Input[T. W. - Inst. (NR AFR) Loan],Input[Institution Name],$AI$1)+SUMIFS(Input[T. W. - Inst. (NR AFR) Annuity],Input[Institution Name],$AI$1)+SUMIFS(Input[T. W. - Inst. (NR AFR) Unexp],Input[Institution Name],$AI$1)+SUMIFS(Input[T. W. - Inst. (NR AFR) R of Ind],Input[Institution Name],$AI$1)+SUMIFS(Input[T. W. - Inst. (NR AFR) Inv in P],Input[Institution Name],$AI$1)</f>
        <v>0</v>
      </c>
      <c r="AR20" s="519"/>
      <c r="AS20" s="519"/>
      <c r="AT20" s="432">
        <f t="shared" si="5"/>
        <v>0</v>
      </c>
      <c r="AU20" s="432"/>
      <c r="AV20" s="536"/>
      <c r="AW20" s="272"/>
      <c r="AX20" s="272"/>
      <c r="AY20" s="272"/>
    </row>
    <row r="21" spans="1:51" ht="27" customHeight="1" x14ac:dyDescent="1.05">
      <c r="A21" s="525" t="s">
        <v>104</v>
      </c>
      <c r="B21" s="434"/>
      <c r="C21" s="434"/>
      <c r="D21" s="434"/>
      <c r="E21" s="434"/>
      <c r="F21" s="434"/>
      <c r="G21" s="434"/>
      <c r="H21" s="435"/>
      <c r="I21" s="519">
        <f>SUMIFS(Input[T. Exp. - Stat (NR AFR) E&amp;G],Input[Institution Name],$A$1)+SUMIFS(Input[T. Exp. - Stat (NR AFR) Desg],Input[Institution Name],$A$1)+SUMIFS(Input[T. Exp. - Stat (NR AFR) Aux],Input[Institution Name],$A$1)+SUMIFS(Input[T. Exp. - Stat (NR AFR) R Exp],Input[Institution Name],$A$1)+SUMIFS(Input[T. Exp. - Stat (NR AFR) Loan],Input[Institution Name],$A$1)+SUMIFS(Input[T. Exp. - Stat (NR AFR) Annuity],Input[Institution Name],$A$1)+SUMIFS(Input[T. Exp. - Stat (NR AFR) Unexp],Input[Institution Name],$A$1)+SUMIFS(Input[T. Exp. - Stat (NR AFR) R of Ind],Input[Institution Name],$A$1)+SUMIFS(Input[T. Exp. - Stat (NR AFR) Inv in P],Input[Institution Name],$A$1)</f>
        <v>0</v>
      </c>
      <c r="J21" s="519"/>
      <c r="K21" s="519"/>
      <c r="L21" s="432">
        <f t="shared" si="3"/>
        <v>0</v>
      </c>
      <c r="M21" s="432"/>
      <c r="N21" s="536"/>
      <c r="O21" s="272"/>
      <c r="P21" s="319"/>
      <c r="Q21" s="272"/>
      <c r="R21" s="525" t="s">
        <v>104</v>
      </c>
      <c r="S21" s="434"/>
      <c r="T21" s="434"/>
      <c r="U21" s="434"/>
      <c r="V21" s="434"/>
      <c r="W21" s="434"/>
      <c r="X21" s="434"/>
      <c r="Y21" s="435"/>
      <c r="Z21" s="519">
        <f>SUMIFS(Input[T. Exp. - Stat (NR AFR) E&amp;G],Input[Institution Name],$R$1)+SUMIFS(Input[T. Exp. - Stat (NR AFR) Desg],Input[Institution Name],$R$1)+SUMIFS(Input[T. Exp. - Stat (NR AFR) Aux],Input[Institution Name],$R$1)+SUMIFS(Input[T. Exp. - Stat (NR AFR) R Exp],Input[Institution Name],$R$1)+SUMIFS(Input[T. Exp. - Stat (NR AFR) Loan],Input[Institution Name],$R$1)+SUMIFS(Input[T. Exp. - Stat (NR AFR) Annuity],Input[Institution Name],$R$1)+SUMIFS(Input[T. Exp. - Stat (NR AFR) Unexp],Input[Institution Name],$R$1)+SUMIFS(Input[T. Exp. - Stat (NR AFR) R of Ind],Input[Institution Name],$R$1)+SUMIFS(Input[T. Exp. - Stat (NR AFR) Inv in P],Input[Institution Name],$R$1)</f>
        <v>0</v>
      </c>
      <c r="AA21" s="519"/>
      <c r="AB21" s="519"/>
      <c r="AC21" s="432">
        <f t="shared" si="4"/>
        <v>0</v>
      </c>
      <c r="AD21" s="432"/>
      <c r="AE21" s="536"/>
      <c r="AF21" s="272"/>
      <c r="AG21" s="319"/>
      <c r="AH21" s="270"/>
      <c r="AI21" s="525" t="s">
        <v>104</v>
      </c>
      <c r="AJ21" s="434"/>
      <c r="AK21" s="434"/>
      <c r="AL21" s="434"/>
      <c r="AM21" s="434"/>
      <c r="AN21" s="434"/>
      <c r="AO21" s="434"/>
      <c r="AP21" s="435"/>
      <c r="AQ21" s="519">
        <f>SUMIFS(Input[T. Exp. - Stat (NR AFR) E&amp;G],Input[Institution Name],$AI$1)+SUMIFS(Input[T. Exp. - Stat (NR AFR) Desg],Input[Institution Name],$AI$1)+SUMIFS(Input[T. Exp. - Stat (NR AFR) Aux],Input[Institution Name],$AI$1)+SUMIFS(Input[T. Exp. - Stat (NR AFR) R Exp],Input[Institution Name],$AI$1)+SUMIFS(Input[T. Exp. - Stat (NR AFR) Loan],Input[Institution Name],$AI$1)+SUMIFS(Input[T. Exp. - Stat (NR AFR) Annuity],Input[Institution Name],$AI$1)+SUMIFS(Input[T. Exp. - Stat (NR AFR) Unexp],Input[Institution Name],$AI$1)+SUMIFS(Input[T. Exp. - Stat (NR AFR) R of Ind],Input[Institution Name],$AI$1)+SUMIFS(Input[T. Exp. - Stat (NR AFR) Inv in P],Input[Institution Name],$AI$1)</f>
        <v>0</v>
      </c>
      <c r="AR21" s="519"/>
      <c r="AS21" s="519"/>
      <c r="AT21" s="432">
        <f t="shared" si="5"/>
        <v>0</v>
      </c>
      <c r="AU21" s="432"/>
      <c r="AV21" s="536"/>
      <c r="AW21" s="272"/>
      <c r="AX21" s="272"/>
      <c r="AY21" s="272"/>
    </row>
    <row r="22" spans="1:51" ht="27" customHeight="1" thickBot="1" x14ac:dyDescent="1.1000000000000001">
      <c r="A22" s="531" t="s">
        <v>105</v>
      </c>
      <c r="B22" s="532"/>
      <c r="C22" s="532"/>
      <c r="D22" s="532"/>
      <c r="E22" s="532"/>
      <c r="F22" s="532"/>
      <c r="G22" s="532"/>
      <c r="H22" s="533"/>
      <c r="I22" s="520">
        <f>SUMIFS(Input[T. Exp. - Inst. (NR AFR) E&amp;G],Input[Institution Name],$A$1)+SUMIFS(Input[T. Exp. - Inst. (NR AFR) Desg],Input[Institution Name],$A$1)+SUMIFS(Input[T. Exp. - Inst. (NR AFR) Aux],Input[Institution Name],$A$1)+SUMIFS(Input[T. Exp. - Inst. (NR AFR) R Exp],Input[Institution Name],$A$1)+SUMIFS(Input[T. Exp. - Inst. (NR AFR) Loan],Input[Institution Name],$A$1)+SUMIFS(Input[T. Exp. - Inst. (NR AFR) Annuity],Input[Institution Name],$A$1)+SUMIFS(Input[T. Exp. - Inst. (NR AFR) Unexp],Input[Institution Name],$A$1)+SUMIFS(Input[T. Exp. - Inst. (NR AFR) R of Ind],Input[Institution Name],$A$1)+SUMIFS(Input[T. Exp. - Inst. (NR AFR) Inv in P],Input[Institution Name],$A$1)</f>
        <v>0</v>
      </c>
      <c r="J22" s="520"/>
      <c r="K22" s="520"/>
      <c r="L22" s="534">
        <f t="shared" si="3"/>
        <v>0</v>
      </c>
      <c r="M22" s="534"/>
      <c r="N22" s="535"/>
      <c r="O22" s="272"/>
      <c r="P22" s="319"/>
      <c r="Q22" s="272"/>
      <c r="R22" s="531" t="s">
        <v>105</v>
      </c>
      <c r="S22" s="532"/>
      <c r="T22" s="532"/>
      <c r="U22" s="532"/>
      <c r="V22" s="532"/>
      <c r="W22" s="532"/>
      <c r="X22" s="532"/>
      <c r="Y22" s="533"/>
      <c r="Z22" s="520">
        <f>SUMIFS(Input[T. Exp. - Inst. (NR AFR) E&amp;G],Input[Institution Name],$R$1)+SUMIFS(Input[T. Exp. - Inst. (NR AFR) Desg],Input[Institution Name],$R$1)+SUMIFS(Input[T. Exp. - Inst. (NR AFR) Aux],Input[Institution Name],$R$1)+SUMIFS(Input[T. Exp. - Inst. (NR AFR) R Exp],Input[Institution Name],$R$1)+SUMIFS(Input[T. Exp. - Inst. (NR AFR) Loan],Input[Institution Name],$R$1)+SUMIFS(Input[T. Exp. - Inst. (NR AFR) Annuity],Input[Institution Name],$R$1)+SUMIFS(Input[T. Exp. - Inst. (NR AFR) Unexp],Input[Institution Name],$R$1)+SUMIFS(Input[T. Exp. - Inst. (NR AFR) R of Ind],Input[Institution Name],$R$1)+SUMIFS(Input[T. Exp. - Inst. (NR AFR) Inv in P],Input[Institution Name],$R$1)</f>
        <v>0</v>
      </c>
      <c r="AA22" s="520"/>
      <c r="AB22" s="520"/>
      <c r="AC22" s="534">
        <f t="shared" si="4"/>
        <v>0</v>
      </c>
      <c r="AD22" s="534"/>
      <c r="AE22" s="535"/>
      <c r="AF22" s="272"/>
      <c r="AG22" s="319"/>
      <c r="AH22" s="270"/>
      <c r="AI22" s="531" t="s">
        <v>105</v>
      </c>
      <c r="AJ22" s="532"/>
      <c r="AK22" s="532"/>
      <c r="AL22" s="532"/>
      <c r="AM22" s="532"/>
      <c r="AN22" s="532"/>
      <c r="AO22" s="532"/>
      <c r="AP22" s="533"/>
      <c r="AQ22" s="520">
        <f>SUMIFS(Input[T. Exp. - Inst. (NR AFR) E&amp;G],Input[Institution Name],$AI$1)+SUMIFS(Input[T. Exp. - Inst. (NR AFR) Desg],Input[Institution Name],$AI$1)+SUMIFS(Input[T. Exp. - Inst. (NR AFR) Aux],Input[Institution Name],$AI$1)+SUMIFS(Input[T. Exp. - Inst. (NR AFR) R Exp],Input[Institution Name],$AI$1)+SUMIFS(Input[T. Exp. - Inst. (NR AFR) Loan],Input[Institution Name],$AI$1)+SUMIFS(Input[T. Exp. - Inst. (NR AFR) Annuity],Input[Institution Name],$AI$1)+SUMIFS(Input[T. Exp. - Inst. (NR AFR) Unexp],Input[Institution Name],$AI$1)+SUMIFS(Input[T. Exp. - Inst. (NR AFR) R of Ind],Input[Institution Name],$AI$1)+SUMIFS(Input[T. Exp. - Inst. (NR AFR) Inv in P],Input[Institution Name],$AI$1)</f>
        <v>0</v>
      </c>
      <c r="AR22" s="520"/>
      <c r="AS22" s="520"/>
      <c r="AT22" s="534">
        <f t="shared" si="5"/>
        <v>0</v>
      </c>
      <c r="AU22" s="534"/>
      <c r="AV22" s="535"/>
      <c r="AW22" s="272"/>
      <c r="AX22" s="272"/>
      <c r="AY22" s="272"/>
    </row>
    <row r="23" spans="1:51" ht="27" customHeight="1" thickBot="1" x14ac:dyDescent="1.1000000000000001">
      <c r="A23" s="526" t="s">
        <v>848</v>
      </c>
      <c r="B23" s="527"/>
      <c r="C23" s="527"/>
      <c r="D23" s="527"/>
      <c r="E23" s="527"/>
      <c r="F23" s="527"/>
      <c r="G23" s="527"/>
      <c r="H23" s="528"/>
      <c r="I23" s="521">
        <f>SUMIFS(Input[T. - Gross E&amp;G],Input[Institution Name],$A$1)+SUMIFS(Input[T. - Gross Desg],Input[Institution Name],$A$1)+SUMIFS(Input[T. - Gross Aux],Input[Institution Name],$A$1)+SUMIFS(Input[T. - Gross R Exp],Input[Institution Name],$A$1)+SUMIFS(Input[T. - Gross Loan],Input[Institution Name],$A$1)+SUMIFS(Input[T. - Gross Annuity],Input[Institution Name],$A$1)+SUMIFS(Input[T. - Gross Unexp],Input[Institution Name],$A$1)+SUMIFS(Input[T. - Gross R of Ind],Input[Institution Name],$A$1)+SUMIFS(Input[T. - Gross Inv in P],Input[Institution Name],$A$1)</f>
        <v>0</v>
      </c>
      <c r="J23" s="521"/>
      <c r="K23" s="521"/>
      <c r="L23" s="516">
        <f>IFERROR(ROUND(I23/L$6,0),0)</f>
        <v>0</v>
      </c>
      <c r="M23" s="516"/>
      <c r="N23" s="517"/>
      <c r="O23" s="272"/>
      <c r="P23" s="319"/>
      <c r="Q23" s="272"/>
      <c r="R23" s="526" t="s">
        <v>848</v>
      </c>
      <c r="S23" s="527"/>
      <c r="T23" s="527"/>
      <c r="U23" s="527"/>
      <c r="V23" s="527"/>
      <c r="W23" s="527"/>
      <c r="X23" s="527"/>
      <c r="Y23" s="528"/>
      <c r="Z23" s="521">
        <f>SUMIFS(Input[T. - Gross E&amp;G],Input[Institution Name],$R$1)+SUMIFS(Input[T. - Gross Desg],Input[Institution Name],$R$1)+SUMIFS(Input[T. - Gross Aux],Input[Institution Name],$R$1)+SUMIFS(Input[T. - Gross R Exp],Input[Institution Name],$R$1)+SUMIFS(Input[T. - Gross Loan],Input[Institution Name],$R$1)+SUMIFS(Input[T. - Gross Annuity],Input[Institution Name],$R$1)+SUMIFS(Input[T. - Gross Unexp],Input[Institution Name],$R$1)+SUMIFS(Input[T. - Gross R of Ind],Input[Institution Name],$R$1)+SUMIFS(Input[T. - Gross Inv in P],Input[Institution Name],$R$1)</f>
        <v>0</v>
      </c>
      <c r="AA23" s="521"/>
      <c r="AB23" s="521"/>
      <c r="AC23" s="516">
        <f>IFERROR(ROUND(Z23/AC$6,0),0)</f>
        <v>0</v>
      </c>
      <c r="AD23" s="516"/>
      <c r="AE23" s="517"/>
      <c r="AF23" s="272"/>
      <c r="AG23" s="319"/>
      <c r="AH23" s="270"/>
      <c r="AI23" s="526" t="s">
        <v>848</v>
      </c>
      <c r="AJ23" s="527"/>
      <c r="AK23" s="527"/>
      <c r="AL23" s="527"/>
      <c r="AM23" s="527"/>
      <c r="AN23" s="527"/>
      <c r="AO23" s="527"/>
      <c r="AP23" s="528"/>
      <c r="AQ23" s="521">
        <f>SUMIFS(Input[T. - Gross E&amp;G],Input[Institution Name],$AI$1)+SUMIFS(Input[T. - Gross Desg],Input[Institution Name],$AI$1)+SUMIFS(Input[T. - Gross Aux],Input[Institution Name],$AI$1)+SUMIFS(Input[T. - Gross R Exp],Input[Institution Name],$AI$1)+SUMIFS(Input[T. - Gross Loan],Input[Institution Name],$AI$1)+SUMIFS(Input[T. - Gross Annuity],Input[Institution Name],$AI$1)+SUMIFS(Input[T. - Gross Unexp],Input[Institution Name],$AI$1)+SUMIFS(Input[T. - Gross R of Ind],Input[Institution Name],$AI$1)+SUMIFS(Input[T. - Gross Inv in P],Input[Institution Name],$AI$1)</f>
        <v>0</v>
      </c>
      <c r="AR23" s="521"/>
      <c r="AS23" s="521"/>
      <c r="AT23" s="516">
        <f>IFERROR(ROUND(AQ23/AT$6,0),0)</f>
        <v>0</v>
      </c>
      <c r="AU23" s="516"/>
      <c r="AV23" s="517"/>
      <c r="AW23" s="272"/>
      <c r="AX23" s="272"/>
      <c r="AY23" s="272"/>
    </row>
    <row r="24" spans="1:51" ht="27" customHeight="1" thickBot="1" x14ac:dyDescent="1.1000000000000001">
      <c r="A24" s="513" t="s">
        <v>1644</v>
      </c>
      <c r="B24" s="514"/>
      <c r="C24" s="514"/>
      <c r="D24" s="514"/>
      <c r="E24" s="514"/>
      <c r="F24" s="514"/>
      <c r="G24" s="514"/>
      <c r="H24" s="514"/>
      <c r="I24" s="514"/>
      <c r="J24" s="514"/>
      <c r="K24" s="514"/>
      <c r="L24" s="514"/>
      <c r="M24" s="514"/>
      <c r="N24" s="515"/>
      <c r="O24" s="272"/>
      <c r="P24" s="319"/>
      <c r="Q24" s="272"/>
      <c r="R24" s="513" t="s">
        <v>1644</v>
      </c>
      <c r="S24" s="514"/>
      <c r="T24" s="514"/>
      <c r="U24" s="514"/>
      <c r="V24" s="514"/>
      <c r="W24" s="514"/>
      <c r="X24" s="514"/>
      <c r="Y24" s="514"/>
      <c r="Z24" s="514"/>
      <c r="AA24" s="514"/>
      <c r="AB24" s="514"/>
      <c r="AC24" s="514"/>
      <c r="AD24" s="514"/>
      <c r="AE24" s="515"/>
      <c r="AF24" s="272"/>
      <c r="AG24" s="319"/>
      <c r="AH24" s="270"/>
      <c r="AI24" s="513" t="s">
        <v>1644</v>
      </c>
      <c r="AJ24" s="514"/>
      <c r="AK24" s="514"/>
      <c r="AL24" s="514"/>
      <c r="AM24" s="514"/>
      <c r="AN24" s="514"/>
      <c r="AO24" s="514"/>
      <c r="AP24" s="514"/>
      <c r="AQ24" s="514"/>
      <c r="AR24" s="514"/>
      <c r="AS24" s="514"/>
      <c r="AT24" s="514"/>
      <c r="AU24" s="514"/>
      <c r="AV24" s="515"/>
      <c r="AW24" s="272"/>
      <c r="AX24" s="272"/>
      <c r="AY24" s="272"/>
    </row>
    <row r="25" spans="1:51" ht="27" customHeight="1" x14ac:dyDescent="1.05">
      <c r="A25" s="522" t="s">
        <v>102</v>
      </c>
      <c r="B25" s="523"/>
      <c r="C25" s="523"/>
      <c r="D25" s="523"/>
      <c r="E25" s="523"/>
      <c r="F25" s="523"/>
      <c r="G25" s="523"/>
      <c r="H25" s="524"/>
      <c r="I25" s="518">
        <f>SUMIFS(Input[T. W. - Stat (R AFR) E&amp;G],Input[Institution Name],$A$1)+SUMIFS(Input[T. W. - Stat (R AFR) Desg],Input[Institution Name],$A$1)+SUMIFS(Input[T. W. - Stat (R AFR) Aux],Input[Institution Name],$A$1)+SUMIFS(Input[T. W. - Stat (R AFR) R Exp],Input[Institution Name],$A$1)+SUMIFS(Input[T. W. - Stat (R AFR) Loan],Input[Institution Name],$A$1)+SUMIFS(Input[T. W. - Stat (R AFR) Annuity],Input[Institution Name],$A$1)+SUMIFS(Input[T. W. - Stat (R AFR) Unexp],Input[Institution Name],$A$1)+SUMIFS(Input[T. W. - Stat (R AFR) R of Ind],Input[Institution Name],$A$1)+SUMIFS(Input[T. W. - Stat (R AFR) Inv in P],Input[Institution Name],$A$1)</f>
        <v>0</v>
      </c>
      <c r="J25" s="518"/>
      <c r="K25" s="518"/>
      <c r="L25" s="529">
        <f t="shared" ref="L25:L29" si="6">IFERROR(ROUND(I25/L$6,0),0)</f>
        <v>0</v>
      </c>
      <c r="M25" s="529"/>
      <c r="N25" s="530"/>
      <c r="O25" s="272"/>
      <c r="P25" s="319"/>
      <c r="Q25" s="272"/>
      <c r="R25" s="522" t="s">
        <v>102</v>
      </c>
      <c r="S25" s="523"/>
      <c r="T25" s="523"/>
      <c r="U25" s="523"/>
      <c r="V25" s="523"/>
      <c r="W25" s="523"/>
      <c r="X25" s="523"/>
      <c r="Y25" s="524"/>
      <c r="Z25" s="518">
        <f>SUMIFS(Input[T. W. - Stat (R AFR) E&amp;G],Input[Institution Name],$R$1)+SUMIFS(Input[T. W. - Stat (R AFR) Desg],Input[Institution Name],$R$1)+SUMIFS(Input[T. W. - Stat (R AFR) Aux],Input[Institution Name],$R$1)+SUMIFS(Input[T. W. - Stat (R AFR) R Exp],Input[Institution Name],$R$1)+SUMIFS(Input[T. W. - Stat (R AFR) Loan],Input[Institution Name],$R$1)+SUMIFS(Input[T. W. - Stat (R AFR) Annuity],Input[Institution Name],$R$1)+SUMIFS(Input[T. W. - Stat (R AFR) Unexp],Input[Institution Name],$R$1)+SUMIFS(Input[T. W. - Stat (R AFR) R of Ind],Input[Institution Name],$R$1)+SUMIFS(Input[T. W. - Stat (R AFR) Inv in P],Input[Institution Name],$R$1)</f>
        <v>0</v>
      </c>
      <c r="AA25" s="518"/>
      <c r="AB25" s="518"/>
      <c r="AC25" s="529">
        <f t="shared" ref="AC25:AC29" si="7">IFERROR(ROUND(Z25/AC$6,0),0)</f>
        <v>0</v>
      </c>
      <c r="AD25" s="529"/>
      <c r="AE25" s="530"/>
      <c r="AF25" s="272"/>
      <c r="AG25" s="319"/>
      <c r="AH25" s="270"/>
      <c r="AI25" s="522" t="s">
        <v>102</v>
      </c>
      <c r="AJ25" s="523"/>
      <c r="AK25" s="523"/>
      <c r="AL25" s="523"/>
      <c r="AM25" s="523"/>
      <c r="AN25" s="523"/>
      <c r="AO25" s="523"/>
      <c r="AP25" s="524"/>
      <c r="AQ25" s="518">
        <f>SUMIFS(Input[T. W. - Stat (R AFR) E&amp;G],Input[Institution Name],$AI$1)+SUMIFS(Input[T. W. - Stat (R AFR) Desg],Input[Institution Name],$AI$1)+SUMIFS(Input[T. W. - Stat (R AFR) Aux],Input[Institution Name],$AI$1)+SUMIFS(Input[T. W. - Stat (R AFR) R Exp],Input[Institution Name],$AI$1)+SUMIFS(Input[T. W. - Stat (R AFR) Loan],Input[Institution Name],$AI$1)+SUMIFS(Input[T. W. - Stat (R AFR) Annuity],Input[Institution Name],$AI$1)+SUMIFS(Input[T. W. - Stat (R AFR) Unexp],Input[Institution Name],$AI$1)+SUMIFS(Input[T. W. - Stat (R AFR) R of Ind],Input[Institution Name],$AI$1)+SUMIFS(Input[T. W. - Stat (R AFR) Inv in P],Input[Institution Name],$AI$1)</f>
        <v>0</v>
      </c>
      <c r="AR25" s="518"/>
      <c r="AS25" s="518"/>
      <c r="AT25" s="529">
        <f t="shared" ref="AT25:AT29" si="8">IFERROR(ROUND(AQ25/AT$6,0),0)</f>
        <v>0</v>
      </c>
      <c r="AU25" s="529"/>
      <c r="AV25" s="530"/>
      <c r="AW25" s="272"/>
      <c r="AX25" s="272"/>
      <c r="AY25" s="272"/>
    </row>
    <row r="26" spans="1:51" ht="27" customHeight="1" x14ac:dyDescent="1.05">
      <c r="A26" s="525" t="s">
        <v>103</v>
      </c>
      <c r="B26" s="434"/>
      <c r="C26" s="434"/>
      <c r="D26" s="434"/>
      <c r="E26" s="434"/>
      <c r="F26" s="434"/>
      <c r="G26" s="434"/>
      <c r="H26" s="435"/>
      <c r="I26" s="519">
        <f>SUMIFS(Input[T. W. - Inst. (R AFR) E&amp;G],Input[Institution Name],$A$1)+SUMIFS(Input[T. W. - Inst. (R AFR) Desg],Input[Institution Name],$A$1)+SUMIFS(Input[T. W. - Inst. (R AFR) Aux],Input[Institution Name],$A$1)+SUMIFS(Input[T. W. - Inst. (R AFR) R Exp],Input[Institution Name],$A$1)+SUMIFS(Input[T. W. - Inst. (R AFR) Loan],Input[Institution Name],$A$1)+SUMIFS(Input[T. W. - Inst. (R AFR) Annuity],Input[Institution Name],$A$1)+SUMIFS(Input[T. W. - Inst. (R AFR) Unexp],Input[Institution Name],$A$1)+SUMIFS(Input[T. W. - Inst. (R AFR) R of Ind],Input[Institution Name],$A$1)+SUMIFS(Input[T. W. - Inst. (R AFR) Inv in P],Input[Institution Name],$A$1)</f>
        <v>0</v>
      </c>
      <c r="J26" s="519"/>
      <c r="K26" s="519"/>
      <c r="L26" s="432">
        <f t="shared" si="6"/>
        <v>0</v>
      </c>
      <c r="M26" s="432"/>
      <c r="N26" s="536"/>
      <c r="O26" s="272"/>
      <c r="P26" s="319"/>
      <c r="Q26" s="272"/>
      <c r="R26" s="525" t="s">
        <v>103</v>
      </c>
      <c r="S26" s="434"/>
      <c r="T26" s="434"/>
      <c r="U26" s="434"/>
      <c r="V26" s="434"/>
      <c r="W26" s="434"/>
      <c r="X26" s="434"/>
      <c r="Y26" s="435"/>
      <c r="Z26" s="519">
        <f>SUMIFS(Input[T. W. - Inst. (R AFR) E&amp;G],Input[Institution Name],$R$1)+SUMIFS(Input[T. W. - Inst. (R AFR) Desg],Input[Institution Name],$R$1)+SUMIFS(Input[T. W. - Inst. (R AFR) Aux],Input[Institution Name],$R$1)+SUMIFS(Input[T. W. - Inst. (R AFR) R Exp],Input[Institution Name],$R$1)+SUMIFS(Input[T. W. - Inst. (R AFR) Loan],Input[Institution Name],$R$1)+SUMIFS(Input[T. W. - Inst. (R AFR) Annuity],Input[Institution Name],$R$1)+SUMIFS(Input[T. W. - Inst. (R AFR) Unexp],Input[Institution Name],$R$1)+SUMIFS(Input[T. W. - Inst. (R AFR) R of Ind],Input[Institution Name],$R$1)+SUMIFS(Input[T. W. - Inst. (R AFR) Inv in P],Input[Institution Name],$R$1)</f>
        <v>0</v>
      </c>
      <c r="AA26" s="519"/>
      <c r="AB26" s="519"/>
      <c r="AC26" s="432">
        <f t="shared" si="7"/>
        <v>0</v>
      </c>
      <c r="AD26" s="432"/>
      <c r="AE26" s="536"/>
      <c r="AF26" s="272"/>
      <c r="AG26" s="319"/>
      <c r="AH26" s="270"/>
      <c r="AI26" s="525" t="s">
        <v>103</v>
      </c>
      <c r="AJ26" s="434"/>
      <c r="AK26" s="434"/>
      <c r="AL26" s="434"/>
      <c r="AM26" s="434"/>
      <c r="AN26" s="434"/>
      <c r="AO26" s="434"/>
      <c r="AP26" s="435"/>
      <c r="AQ26" s="519">
        <f>SUMIFS(Input[T. W. - Inst. (R AFR) E&amp;G],Input[Institution Name],$AI$1)+SUMIFS(Input[T. W. - Inst. (R AFR) Desg],Input[Institution Name],$AI$1)+SUMIFS(Input[T. W. - Inst. (R AFR) Aux],Input[Institution Name],$AI$1)+SUMIFS(Input[T. W. - Inst. (R AFR) R Exp],Input[Institution Name],$AI$1)+SUMIFS(Input[T. W. - Inst. (R AFR) Loan],Input[Institution Name],$AI$1)+SUMIFS(Input[T. W. - Inst. (R AFR) Annuity],Input[Institution Name],$AI$1)+SUMIFS(Input[T. W. - Inst. (R AFR) Unexp],Input[Institution Name],$AI$1)+SUMIFS(Input[T. W. - Inst. (R AFR) R of Ind],Input[Institution Name],$AI$1)+SUMIFS(Input[T. W. - Inst. (R AFR) Inv in P],Input[Institution Name],$AI$1)</f>
        <v>0</v>
      </c>
      <c r="AR26" s="519"/>
      <c r="AS26" s="519"/>
      <c r="AT26" s="432">
        <f t="shared" si="8"/>
        <v>0</v>
      </c>
      <c r="AU26" s="432"/>
      <c r="AV26" s="536"/>
      <c r="AW26" s="272"/>
      <c r="AX26" s="272"/>
      <c r="AY26" s="272"/>
    </row>
    <row r="27" spans="1:51" ht="27" customHeight="1" x14ac:dyDescent="1.05">
      <c r="A27" s="525" t="s">
        <v>104</v>
      </c>
      <c r="B27" s="434"/>
      <c r="C27" s="434"/>
      <c r="D27" s="434"/>
      <c r="E27" s="434"/>
      <c r="F27" s="434"/>
      <c r="G27" s="434"/>
      <c r="H27" s="435"/>
      <c r="I27" s="519">
        <f>SUMIFS(Input[T. Exp. - Stat (R AFR) E&amp;G],Input[Institution Name],$A$1)+SUMIFS(Input[T. Exp. - Stat (R AFR) Desg],Input[Institution Name],$A$1)+SUMIFS(Input[T. Exp. - Stat (R AFR) Aux],Input[Institution Name],$A$1)+SUMIFS(Input[T. Exp. - Stat (R AFR) R Exp],Input[Institution Name],$A$1)+SUMIFS(Input[T. Exp. - Stat (R AFR) Loan],Input[Institution Name],$A$1)+SUMIFS(Input[T. Exp. - Stat (R AFR) Annuity],Input[Institution Name],$A$1)+SUMIFS(Input[T. Exp. - Stat (R AFR) Unexp],Input[Institution Name],$A$1)+SUMIFS(Input[T. Exp. - Stat (R AFR) R of Ind],Input[Institution Name],$A$1)+SUMIFS(Input[T. Exp. - Stat (R AFR) Inv in P],Input[Institution Name],$A$1)</f>
        <v>0</v>
      </c>
      <c r="J27" s="519"/>
      <c r="K27" s="519"/>
      <c r="L27" s="432">
        <f t="shared" si="6"/>
        <v>0</v>
      </c>
      <c r="M27" s="432"/>
      <c r="N27" s="536"/>
      <c r="O27" s="272"/>
      <c r="P27" s="319"/>
      <c r="Q27" s="272"/>
      <c r="R27" s="525" t="s">
        <v>104</v>
      </c>
      <c r="S27" s="434"/>
      <c r="T27" s="434"/>
      <c r="U27" s="434"/>
      <c r="V27" s="434"/>
      <c r="W27" s="434"/>
      <c r="X27" s="434"/>
      <c r="Y27" s="435"/>
      <c r="Z27" s="519">
        <f>SUMIFS(Input[T. Exp. - Stat (R AFR) E&amp;G],Input[Institution Name],$R$1)+SUMIFS(Input[T. Exp. - Stat (R AFR) Desg],Input[Institution Name],$R$1)+SUMIFS(Input[T. Exp. - Stat (R AFR) Aux],Input[Institution Name],$R$1)+SUMIFS(Input[T. Exp. - Stat (R AFR) R Exp],Input[Institution Name],$R$1)+SUMIFS(Input[T. Exp. - Stat (R AFR) Loan],Input[Institution Name],$R$1)+SUMIFS(Input[T. Exp. - Stat (R AFR) Annuity],Input[Institution Name],$R$1)+SUMIFS(Input[T. Exp. - Stat (R AFR) Unexp],Input[Institution Name],$R$1)+SUMIFS(Input[T. Exp. - Stat (R AFR) R of Ind],Input[Institution Name],$R$1)+SUMIFS(Input[T. Exp. - Stat (R AFR) Inv in P],Input[Institution Name],$R$1)</f>
        <v>0</v>
      </c>
      <c r="AA27" s="519"/>
      <c r="AB27" s="519"/>
      <c r="AC27" s="432">
        <f t="shared" si="7"/>
        <v>0</v>
      </c>
      <c r="AD27" s="432"/>
      <c r="AE27" s="536"/>
      <c r="AF27" s="272"/>
      <c r="AG27" s="319"/>
      <c r="AH27" s="270"/>
      <c r="AI27" s="525" t="s">
        <v>104</v>
      </c>
      <c r="AJ27" s="434"/>
      <c r="AK27" s="434"/>
      <c r="AL27" s="434"/>
      <c r="AM27" s="434"/>
      <c r="AN27" s="434"/>
      <c r="AO27" s="434"/>
      <c r="AP27" s="435"/>
      <c r="AQ27" s="519">
        <f>SUMIFS(Input[T. Exp. - Stat (R AFR) E&amp;G],Input[Institution Name],$AI$1)+SUMIFS(Input[T. Exp. - Stat (R AFR) Desg],Input[Institution Name],$AI$1)+SUMIFS(Input[T. Exp. - Stat (R AFR) Aux],Input[Institution Name],$AI$1)+SUMIFS(Input[T. Exp. - Stat (R AFR) R Exp],Input[Institution Name],$AI$1)+SUMIFS(Input[T. Exp. - Stat (R AFR) Loan],Input[Institution Name],$AI$1)+SUMIFS(Input[T. Exp. - Stat (R AFR) Annuity],Input[Institution Name],$AI$1)+SUMIFS(Input[T. Exp. - Stat (R AFR) Unexp],Input[Institution Name],$AI$1)+SUMIFS(Input[T. Exp. - Stat (R AFR) R of Ind],Input[Institution Name],$AI$1)+SUMIFS(Input[T. Exp. - Stat (R AFR) Inv in P],Input[Institution Name],$AI$1)</f>
        <v>0</v>
      </c>
      <c r="AR27" s="519"/>
      <c r="AS27" s="519"/>
      <c r="AT27" s="432">
        <f t="shared" si="8"/>
        <v>0</v>
      </c>
      <c r="AU27" s="432"/>
      <c r="AV27" s="536"/>
      <c r="AW27" s="272"/>
      <c r="AX27" s="272"/>
      <c r="AY27" s="272"/>
    </row>
    <row r="28" spans="1:51" ht="27" customHeight="1" x14ac:dyDescent="1.05">
      <c r="A28" s="525" t="s">
        <v>105</v>
      </c>
      <c r="B28" s="434"/>
      <c r="C28" s="434"/>
      <c r="D28" s="434"/>
      <c r="E28" s="434"/>
      <c r="F28" s="434"/>
      <c r="G28" s="434"/>
      <c r="H28" s="435"/>
      <c r="I28" s="519">
        <f>SUMIFS(Input[T. Exp. - Inst. (R AFR) E&amp;G],Input[Institution Name],$A$1)+SUMIFS(Input[T. Exp. - Inst. (R AFR) Desg],Input[Institution Name],$A$1)+SUMIFS(Input[T. Exp. - Inst. (R AFR) Aux],Input[Institution Name],$A$1)+SUMIFS(Input[T. Exp. - Inst. (R AFR) R Exp],Input[Institution Name],$A$1)+SUMIFS(Input[T. Exp. - Inst. (R AFR) Loan],Input[Institution Name],$A$1)+SUMIFS(Input[T. Exp. - Inst. (R AFR) Annuity],Input[Institution Name],$A$1)+SUMIFS(Input[T. Exp. - Inst. (R AFR) Unexp],Input[Institution Name],$A$1)+SUMIFS(Input[T. Exp. - Inst. (R AFR) R of Ind],Input[Institution Name],$A$1)+SUMIFS(Input[T. Exp. - Inst. (R AFR) Inv in P],Input[Institution Name],$A$1)</f>
        <v>0</v>
      </c>
      <c r="J28" s="519"/>
      <c r="K28" s="519"/>
      <c r="L28" s="432">
        <f t="shared" si="6"/>
        <v>0</v>
      </c>
      <c r="M28" s="432"/>
      <c r="N28" s="536"/>
      <c r="O28" s="272"/>
      <c r="P28" s="319"/>
      <c r="Q28" s="272"/>
      <c r="R28" s="525" t="s">
        <v>105</v>
      </c>
      <c r="S28" s="434"/>
      <c r="T28" s="434"/>
      <c r="U28" s="434"/>
      <c r="V28" s="434"/>
      <c r="W28" s="434"/>
      <c r="X28" s="434"/>
      <c r="Y28" s="435"/>
      <c r="Z28" s="519">
        <f>SUMIFS(Input[T. Exp. - Inst. (R AFR) E&amp;G],Input[Institution Name],$R$1)+SUMIFS(Input[T. Exp. - Inst. (R AFR) Desg],Input[Institution Name],$R$1)+SUMIFS(Input[T. Exp. - Inst. (R AFR) Aux],Input[Institution Name],$R$1)+SUMIFS(Input[T. Exp. - Inst. (R AFR) R Exp],Input[Institution Name],$R$1)+SUMIFS(Input[T. Exp. - Inst. (R AFR) Loan],Input[Institution Name],$R$1)+SUMIFS(Input[T. Exp. - Inst. (R AFR) Annuity],Input[Institution Name],$R$1)+SUMIFS(Input[T. Exp. - Inst. (R AFR) Unexp],Input[Institution Name],$R$1)+SUMIFS(Input[T. Exp. - Inst. (R AFR) R of Ind],Input[Institution Name],$R$1)+SUMIFS(Input[T. Exp. - Inst. (R AFR) Inv in P],Input[Institution Name],$R$1)</f>
        <v>0</v>
      </c>
      <c r="AA28" s="519"/>
      <c r="AB28" s="519"/>
      <c r="AC28" s="432">
        <f t="shared" si="7"/>
        <v>0</v>
      </c>
      <c r="AD28" s="432"/>
      <c r="AE28" s="536"/>
      <c r="AF28" s="272"/>
      <c r="AG28" s="319"/>
      <c r="AH28" s="270"/>
      <c r="AI28" s="525" t="s">
        <v>105</v>
      </c>
      <c r="AJ28" s="434"/>
      <c r="AK28" s="434"/>
      <c r="AL28" s="434"/>
      <c r="AM28" s="434"/>
      <c r="AN28" s="434"/>
      <c r="AO28" s="434"/>
      <c r="AP28" s="435"/>
      <c r="AQ28" s="519">
        <f>SUMIFS(Input[T. Exp. - Inst. (R AFR) E&amp;G],Input[Institution Name],$AI$1)+SUMIFS(Input[T. Exp. - Inst. (R AFR) Desg],Input[Institution Name],$AI$1)+SUMIFS(Input[T. Exp. - Inst. (R AFR) Aux],Input[Institution Name],$AI$1)+SUMIFS(Input[T. Exp. - Inst. (R AFR) R Exp],Input[Institution Name],$AI$1)+SUMIFS(Input[T. Exp. - Inst. (R AFR) Loan],Input[Institution Name],$AI$1)+SUMIFS(Input[T. Exp. - Inst. (R AFR) Annuity],Input[Institution Name],$AI$1)+SUMIFS(Input[T. Exp. - Inst. (R AFR) Unexp],Input[Institution Name],$AI$1)+SUMIFS(Input[T. Exp. - Inst. (R AFR) R of Ind],Input[Institution Name],$AI$1)+SUMIFS(Input[T. Exp. - Inst. (R AFR) Inv in P],Input[Institution Name],$AI$1)</f>
        <v>0</v>
      </c>
      <c r="AR28" s="519"/>
      <c r="AS28" s="519"/>
      <c r="AT28" s="432">
        <f t="shared" si="8"/>
        <v>0</v>
      </c>
      <c r="AU28" s="432"/>
      <c r="AV28" s="536"/>
      <c r="AW28" s="272"/>
      <c r="AX28" s="272"/>
      <c r="AY28" s="272"/>
    </row>
    <row r="29" spans="1:51" ht="27" customHeight="1" thickBot="1" x14ac:dyDescent="1.1000000000000001">
      <c r="A29" s="525" t="s">
        <v>141</v>
      </c>
      <c r="B29" s="434"/>
      <c r="C29" s="434"/>
      <c r="D29" s="434"/>
      <c r="E29" s="434"/>
      <c r="F29" s="434"/>
      <c r="G29" s="434"/>
      <c r="H29" s="435"/>
      <c r="I29" s="520">
        <f>SUMIFS(Input[T. Schlr E&amp;G],Input[Institution Name],$A$1)+SUMIFS(Input[T. Schlr Desg],Input[Institution Name],$A$1)+SUMIFS(Input[T. Schlr Aux],Input[Institution Name],$A$1)+SUMIFS(Input[T. Schlr R Exp],Input[Institution Name],$A$1)+SUMIFS(Input[T. Schlr Loan],Input[Institution Name],$A$1)+SUMIFS(Input[T. Schlr Annuity],Input[Institution Name],$A$1)+SUMIFS(Input[T. Schlr Unexp],Input[Institution Name],$A$1)+SUMIFS(Input[T. Schlr R of Ind],Input[Institution Name],$A$1)+SUMIFS(Input[T. Schlr Inv in P],Input[Institution Name],$A$1)</f>
        <v>0</v>
      </c>
      <c r="J29" s="520"/>
      <c r="K29" s="520"/>
      <c r="L29" s="534">
        <f t="shared" si="6"/>
        <v>0</v>
      </c>
      <c r="M29" s="534"/>
      <c r="N29" s="535"/>
      <c r="O29" s="272"/>
      <c r="P29" s="319"/>
      <c r="Q29" s="272"/>
      <c r="R29" s="525" t="s">
        <v>141</v>
      </c>
      <c r="S29" s="434"/>
      <c r="T29" s="434"/>
      <c r="U29" s="434"/>
      <c r="V29" s="434"/>
      <c r="W29" s="434"/>
      <c r="X29" s="434"/>
      <c r="Y29" s="435"/>
      <c r="Z29" s="520">
        <f>SUMIFS(Input[T. Schlr E&amp;G],Input[Institution Name],$R$1)+SUMIFS(Input[T. Schlr Desg],Input[Institution Name],$R$1)+SUMIFS(Input[T. Schlr Aux],Input[Institution Name],$R$1)+SUMIFS(Input[T. Schlr R Exp],Input[Institution Name],$R$1)+SUMIFS(Input[T. Schlr Loan],Input[Institution Name],$R$1)+SUMIFS(Input[T. Schlr Annuity],Input[Institution Name],$R$1)+SUMIFS(Input[T. Schlr Unexp],Input[Institution Name],$R$1)+SUMIFS(Input[T. Schlr R of Ind],Input[Institution Name],$R$1)+SUMIFS(Input[T. Schlr Inv in P],Input[Institution Name],$R$1)</f>
        <v>0</v>
      </c>
      <c r="AA29" s="520"/>
      <c r="AB29" s="520"/>
      <c r="AC29" s="534">
        <f t="shared" si="7"/>
        <v>0</v>
      </c>
      <c r="AD29" s="534"/>
      <c r="AE29" s="535"/>
      <c r="AF29" s="272"/>
      <c r="AG29" s="319"/>
      <c r="AH29" s="270"/>
      <c r="AI29" s="525" t="s">
        <v>141</v>
      </c>
      <c r="AJ29" s="434"/>
      <c r="AK29" s="434"/>
      <c r="AL29" s="434"/>
      <c r="AM29" s="434"/>
      <c r="AN29" s="434"/>
      <c r="AO29" s="434"/>
      <c r="AP29" s="435"/>
      <c r="AQ29" s="520">
        <f>SUMIFS(Input[T. Schlr E&amp;G],Input[Institution Name],$AI$1)+SUMIFS(Input[T. Schlr Desg],Input[Institution Name],$AI$1)+SUMIFS(Input[T. Schlr Aux],Input[Institution Name],$AI$1)+SUMIFS(Input[T. Schlr R Exp],Input[Institution Name],$AI$1)+SUMIFS(Input[T. Schlr Loan],Input[Institution Name],$AI$1)+SUMIFS(Input[T. Schlr Annuity],Input[Institution Name],$AI$1)+SUMIFS(Input[T. Schlr Unexp],Input[Institution Name],$AI$1)+SUMIFS(Input[T. Schlr R of Ind],Input[Institution Name],$AI$1)+SUMIFS(Input[T. Schlr Inv in P],Input[Institution Name],$AI$1)</f>
        <v>0</v>
      </c>
      <c r="AR29" s="520"/>
      <c r="AS29" s="520"/>
      <c r="AT29" s="534">
        <f t="shared" si="8"/>
        <v>0</v>
      </c>
      <c r="AU29" s="534"/>
      <c r="AV29" s="535"/>
      <c r="AW29" s="272"/>
      <c r="AX29" s="272"/>
      <c r="AY29" s="272"/>
    </row>
    <row r="30" spans="1:51" ht="27" customHeight="1" thickBot="1" x14ac:dyDescent="1.1000000000000001">
      <c r="A30" s="509" t="s">
        <v>106</v>
      </c>
      <c r="B30" s="510"/>
      <c r="C30" s="510"/>
      <c r="D30" s="510"/>
      <c r="E30" s="510"/>
      <c r="F30" s="510"/>
      <c r="G30" s="510"/>
      <c r="H30" s="510"/>
      <c r="I30" s="516">
        <f>SUM(I23,I25:I29)</f>
        <v>0</v>
      </c>
      <c r="J30" s="516"/>
      <c r="K30" s="516"/>
      <c r="L30" s="516">
        <f>IFERROR(ROUND(I30/L$6,0),0)</f>
        <v>0</v>
      </c>
      <c r="M30" s="516"/>
      <c r="N30" s="517"/>
      <c r="O30" s="272"/>
      <c r="P30" s="319"/>
      <c r="Q30" s="272"/>
      <c r="R30" s="509" t="s">
        <v>106</v>
      </c>
      <c r="S30" s="510"/>
      <c r="T30" s="510"/>
      <c r="U30" s="510"/>
      <c r="V30" s="510"/>
      <c r="W30" s="510"/>
      <c r="X30" s="510"/>
      <c r="Y30" s="510"/>
      <c r="Z30" s="516">
        <f>SUM(Z23,Z25:Z29)</f>
        <v>0</v>
      </c>
      <c r="AA30" s="516"/>
      <c r="AB30" s="516"/>
      <c r="AC30" s="516">
        <f>IFERROR(ROUND(Z30/AC$6,0),0)</f>
        <v>0</v>
      </c>
      <c r="AD30" s="516"/>
      <c r="AE30" s="517"/>
      <c r="AF30" s="272"/>
      <c r="AG30" s="319"/>
      <c r="AH30" s="270"/>
      <c r="AI30" s="509" t="s">
        <v>106</v>
      </c>
      <c r="AJ30" s="510"/>
      <c r="AK30" s="510"/>
      <c r="AL30" s="510"/>
      <c r="AM30" s="510"/>
      <c r="AN30" s="510"/>
      <c r="AO30" s="510"/>
      <c r="AP30" s="510"/>
      <c r="AQ30" s="516">
        <f>SUM(AQ23,AQ25:AQ29)</f>
        <v>0</v>
      </c>
      <c r="AR30" s="516"/>
      <c r="AS30" s="516"/>
      <c r="AT30" s="516">
        <f>IFERROR(ROUND(AQ30/AT$6,0),0)</f>
        <v>0</v>
      </c>
      <c r="AU30" s="516"/>
      <c r="AV30" s="517"/>
      <c r="AW30" s="272"/>
      <c r="AX30" s="272"/>
      <c r="AY30" s="272"/>
    </row>
    <row r="31" spans="1:51" ht="27" customHeight="1" thickBot="1" x14ac:dyDescent="1.1000000000000001">
      <c r="A31" s="274"/>
      <c r="B31" s="275"/>
      <c r="C31" s="275"/>
      <c r="D31" s="275"/>
      <c r="E31" s="275"/>
      <c r="F31" s="275"/>
      <c r="G31" s="275"/>
      <c r="H31" s="275"/>
      <c r="I31" s="283"/>
      <c r="J31" s="283"/>
      <c r="K31" s="283"/>
      <c r="L31" s="284"/>
      <c r="M31" s="22"/>
      <c r="N31" s="22"/>
      <c r="O31" s="272"/>
      <c r="P31" s="319"/>
      <c r="Q31" s="272"/>
      <c r="R31" s="274"/>
      <c r="S31" s="275"/>
      <c r="T31" s="275"/>
      <c r="U31" s="275"/>
      <c r="V31" s="275"/>
      <c r="W31" s="275"/>
      <c r="X31" s="275"/>
      <c r="Y31" s="275"/>
      <c r="Z31" s="283"/>
      <c r="AA31" s="283"/>
      <c r="AB31" s="283"/>
      <c r="AC31" s="284"/>
      <c r="AD31" s="22"/>
      <c r="AE31" s="22"/>
      <c r="AF31" s="272"/>
      <c r="AG31" s="319"/>
      <c r="AH31" s="270"/>
      <c r="AI31" s="274"/>
      <c r="AJ31" s="275"/>
      <c r="AK31" s="275"/>
      <c r="AL31" s="275"/>
      <c r="AM31" s="275"/>
      <c r="AN31" s="275"/>
      <c r="AO31" s="275"/>
      <c r="AP31" s="275"/>
      <c r="AQ31" s="283"/>
      <c r="AR31" s="283"/>
      <c r="AS31" s="283"/>
      <c r="AT31" s="284"/>
      <c r="AU31" s="22"/>
      <c r="AV31" s="22"/>
      <c r="AW31" s="272"/>
      <c r="AX31" s="272"/>
      <c r="AY31" s="272"/>
    </row>
    <row r="32" spans="1:51" ht="27" customHeight="1" thickBot="1" x14ac:dyDescent="1.1000000000000001">
      <c r="A32" s="511" t="s">
        <v>107</v>
      </c>
      <c r="B32" s="512"/>
      <c r="C32" s="512"/>
      <c r="D32" s="512"/>
      <c r="E32" s="512"/>
      <c r="F32" s="512"/>
      <c r="G32" s="512"/>
      <c r="H32" s="512"/>
      <c r="I32" s="516" cm="1">
        <f t="array" ref="I32">SUM(I38,-I34:J37)</f>
        <v>0</v>
      </c>
      <c r="J32" s="516"/>
      <c r="K32" s="516"/>
      <c r="L32" s="516">
        <f>IFERROR(ROUND(I32/L$6,0),0)</f>
        <v>0</v>
      </c>
      <c r="M32" s="516"/>
      <c r="N32" s="517"/>
      <c r="O32" s="272"/>
      <c r="P32" s="319"/>
      <c r="Q32" s="272"/>
      <c r="R32" s="511" t="s">
        <v>107</v>
      </c>
      <c r="S32" s="512"/>
      <c r="T32" s="512"/>
      <c r="U32" s="512"/>
      <c r="V32" s="512"/>
      <c r="W32" s="512"/>
      <c r="X32" s="512"/>
      <c r="Y32" s="512"/>
      <c r="Z32" s="516" cm="1">
        <f t="array" ref="Z32">SUM(Z38,-Z34:AA37)</f>
        <v>0</v>
      </c>
      <c r="AA32" s="516"/>
      <c r="AB32" s="516"/>
      <c r="AC32" s="516">
        <f>IFERROR(ROUND(Z32/AC$6,0),0)</f>
        <v>0</v>
      </c>
      <c r="AD32" s="516"/>
      <c r="AE32" s="517"/>
      <c r="AF32" s="272"/>
      <c r="AG32" s="319"/>
      <c r="AH32" s="270"/>
      <c r="AI32" s="511" t="s">
        <v>107</v>
      </c>
      <c r="AJ32" s="512"/>
      <c r="AK32" s="512"/>
      <c r="AL32" s="512"/>
      <c r="AM32" s="512"/>
      <c r="AN32" s="512"/>
      <c r="AO32" s="512"/>
      <c r="AP32" s="512"/>
      <c r="AQ32" s="516" cm="1">
        <f t="array" ref="AQ32">SUM(AQ38,-AQ34:AR37)</f>
        <v>0</v>
      </c>
      <c r="AR32" s="516"/>
      <c r="AS32" s="516"/>
      <c r="AT32" s="516">
        <f>IFERROR(ROUND(AQ32/AT$6,0),0)</f>
        <v>0</v>
      </c>
      <c r="AU32" s="516"/>
      <c r="AV32" s="517"/>
      <c r="AW32" s="272"/>
      <c r="AX32" s="272"/>
      <c r="AY32" s="272"/>
    </row>
    <row r="33" spans="1:51" ht="27" customHeight="1" thickBot="1" x14ac:dyDescent="1.1000000000000001">
      <c r="A33" s="513" t="s">
        <v>1728</v>
      </c>
      <c r="B33" s="514"/>
      <c r="C33" s="514"/>
      <c r="D33" s="514"/>
      <c r="E33" s="514"/>
      <c r="F33" s="514"/>
      <c r="G33" s="514"/>
      <c r="H33" s="514"/>
      <c r="I33" s="514"/>
      <c r="J33" s="514"/>
      <c r="K33" s="514"/>
      <c r="L33" s="514"/>
      <c r="M33" s="514"/>
      <c r="N33" s="515"/>
      <c r="O33" s="272"/>
      <c r="P33" s="319"/>
      <c r="Q33" s="272"/>
      <c r="R33" s="513" t="s">
        <v>1728</v>
      </c>
      <c r="S33" s="514"/>
      <c r="T33" s="514"/>
      <c r="U33" s="514"/>
      <c r="V33" s="514"/>
      <c r="W33" s="514"/>
      <c r="X33" s="514"/>
      <c r="Y33" s="514"/>
      <c r="Z33" s="514"/>
      <c r="AA33" s="514"/>
      <c r="AB33" s="514"/>
      <c r="AC33" s="514"/>
      <c r="AD33" s="514"/>
      <c r="AE33" s="515"/>
      <c r="AF33" s="272"/>
      <c r="AG33" s="319"/>
      <c r="AH33" s="270"/>
      <c r="AI33" s="513" t="s">
        <v>1728</v>
      </c>
      <c r="AJ33" s="514"/>
      <c r="AK33" s="514"/>
      <c r="AL33" s="514"/>
      <c r="AM33" s="514"/>
      <c r="AN33" s="514"/>
      <c r="AO33" s="514"/>
      <c r="AP33" s="514"/>
      <c r="AQ33" s="514"/>
      <c r="AR33" s="514"/>
      <c r="AS33" s="514"/>
      <c r="AT33" s="514"/>
      <c r="AU33" s="514"/>
      <c r="AV33" s="515"/>
      <c r="AW33" s="272"/>
      <c r="AX33" s="272"/>
      <c r="AY33" s="272"/>
    </row>
    <row r="34" spans="1:51" ht="27" customHeight="1" x14ac:dyDescent="1.05">
      <c r="A34" s="522" t="s">
        <v>102</v>
      </c>
      <c r="B34" s="523"/>
      <c r="C34" s="523"/>
      <c r="D34" s="523"/>
      <c r="E34" s="523"/>
      <c r="F34" s="523"/>
      <c r="G34" s="523"/>
      <c r="H34" s="524"/>
      <c r="I34" s="518">
        <f>SUMIFS(Input[F. W. - Stat (NR AFR) E&amp;G],Input[Institution Name],$A$1)+SUMIFS(Input[F. W. - Stat (NR AFR) Desg],Input[Institution Name],$A$1)+SUMIFS(Input[F. W. - Stat (NR AFR) Aux],Input[Institution Name],$A$1)+SUMIFS(Input[F. W. - Stat (NR AFR) R Exp],Input[Institution Name],$A$1)+SUMIFS(Input[F. W. - Stat (NR AFR) Loan],Input[Institution Name],$A$1)+SUMIFS(Input[F. W. - Stat (NR AFR) Annuity],Input[Institution Name],$A$1)+SUMIFS(Input[F. W. - Stat (NR AFR) Unexp],Input[Institution Name],$A$1)+SUMIFS(Input[F. W. - Stat (NR AFR) R of Ind],Input[Institution Name],$A$1)+SUMIFS(Input[F. W. - Stat (NR AFR) Inv in P],Input[Institution Name],$A$1)</f>
        <v>0</v>
      </c>
      <c r="J34" s="518"/>
      <c r="K34" s="518"/>
      <c r="L34" s="529">
        <f t="shared" ref="L34:L38" si="9">IFERROR(ROUND(I34/L$6,0),0)</f>
        <v>0</v>
      </c>
      <c r="M34" s="529"/>
      <c r="N34" s="530"/>
      <c r="O34" s="272"/>
      <c r="P34" s="319"/>
      <c r="Q34" s="272"/>
      <c r="R34" s="522" t="s">
        <v>102</v>
      </c>
      <c r="S34" s="523"/>
      <c r="T34" s="523"/>
      <c r="U34" s="523"/>
      <c r="V34" s="523"/>
      <c r="W34" s="523"/>
      <c r="X34" s="523"/>
      <c r="Y34" s="524"/>
      <c r="Z34" s="518">
        <f>SUMIFS(Input[F. W. - Stat (NR AFR) E&amp;G],Input[Institution Name],$R$1)+SUMIFS(Input[F. W. - Stat (NR AFR) Desg],Input[Institution Name],$R$1)+SUMIFS(Input[F. W. - Stat (NR AFR) Aux],Input[Institution Name],$R$1)+SUMIFS(Input[F. W. - Stat (NR AFR) R Exp],Input[Institution Name],$R$1)+SUMIFS(Input[F. W. - Stat (NR AFR) Loan],Input[Institution Name],$R$1)+SUMIFS(Input[F. W. - Stat (NR AFR) Annuity],Input[Institution Name],$R$1)+SUMIFS(Input[F. W. - Stat (NR AFR) Unexp],Input[Institution Name],$R$1)+SUMIFS(Input[F. W. - Stat (NR AFR) R of Ind],Input[Institution Name],$R$1)+SUMIFS(Input[F. W. - Stat (NR AFR) Inv in P],Input[Institution Name],$R$1)</f>
        <v>0</v>
      </c>
      <c r="AA34" s="518"/>
      <c r="AB34" s="518"/>
      <c r="AC34" s="529">
        <f t="shared" ref="AC34:AC38" si="10">IFERROR(ROUND(Z34/AC$6,0),0)</f>
        <v>0</v>
      </c>
      <c r="AD34" s="529"/>
      <c r="AE34" s="530"/>
      <c r="AF34" s="272"/>
      <c r="AG34" s="319"/>
      <c r="AH34" s="270"/>
      <c r="AI34" s="522" t="s">
        <v>102</v>
      </c>
      <c r="AJ34" s="523"/>
      <c r="AK34" s="523"/>
      <c r="AL34" s="523"/>
      <c r="AM34" s="523"/>
      <c r="AN34" s="523"/>
      <c r="AO34" s="523"/>
      <c r="AP34" s="524"/>
      <c r="AQ34" s="518">
        <f>SUMIFS(Input[F. W. - Stat (NR AFR) E&amp;G],Input[Institution Name],$AI$1)+SUMIFS(Input[F. W. - Stat (NR AFR) Desg],Input[Institution Name],$AI$1)+SUMIFS(Input[F. W. - Stat (NR AFR) Aux],Input[Institution Name],$AI$1)+SUMIFS(Input[F. W. - Stat (NR AFR) R Exp],Input[Institution Name],$AI$1)+SUMIFS(Input[F. W. - Stat (NR AFR) Loan],Input[Institution Name],$AI$1)+SUMIFS(Input[F. W. - Stat (NR AFR) Annuity],Input[Institution Name],$AI$1)+SUMIFS(Input[F. W. - Stat (NR AFR) Unexp],Input[Institution Name],$AI$1)+SUMIFS(Input[F. W. - Stat (NR AFR) R of Ind],Input[Institution Name],$AI$1)+SUMIFS(Input[F. W. - Stat (NR AFR) Inv in P],Input[Institution Name],$AI$1)</f>
        <v>0</v>
      </c>
      <c r="AR34" s="518"/>
      <c r="AS34" s="518"/>
      <c r="AT34" s="529">
        <f t="shared" ref="AT34:AT38" si="11">IFERROR(ROUND(AQ34/AT$6,0),0)</f>
        <v>0</v>
      </c>
      <c r="AU34" s="529"/>
      <c r="AV34" s="530"/>
      <c r="AW34" s="272"/>
      <c r="AX34" s="272"/>
      <c r="AY34" s="272"/>
    </row>
    <row r="35" spans="1:51" ht="27" customHeight="1" x14ac:dyDescent="1.05">
      <c r="A35" s="525" t="s">
        <v>103</v>
      </c>
      <c r="B35" s="434"/>
      <c r="C35" s="434"/>
      <c r="D35" s="434"/>
      <c r="E35" s="434"/>
      <c r="F35" s="434"/>
      <c r="G35" s="434"/>
      <c r="H35" s="435"/>
      <c r="I35" s="519">
        <f>SUMIFS(Input[F. W. - Inst. (NR AFR) E&amp;G],Input[Institution Name],$A$1)+SUMIFS(Input[F. W. - Inst. (NR AFR) Desg],Input[Institution Name],$A$1)+SUMIFS(Input[F. W. - Inst. (NR AFR) Aux],Input[Institution Name],$A$1)+SUMIFS(Input[F. W. - Inst. (NR AFR) R Exp],Input[Institution Name],$A$1)+SUMIFS(Input[F. W. - Inst. (NR AFR) Loan],Input[Institution Name],$A$1)+SUMIFS(Input[F. W. - Inst. (NR AFR) Annuity],Input[Institution Name],$A$1)+SUMIFS(Input[F. W. - Inst. (NR AFR) Unexp],Input[Institution Name],$A$1)+SUMIFS(Input[F. W. - Inst. (NR AFR) R of Ind],Input[Institution Name],$A$1)+SUMIFS(Input[F. W. - Inst. (NR AFR) Inv in P],Input[Institution Name],$A$1)</f>
        <v>0</v>
      </c>
      <c r="J35" s="519"/>
      <c r="K35" s="519"/>
      <c r="L35" s="432">
        <f t="shared" si="9"/>
        <v>0</v>
      </c>
      <c r="M35" s="432"/>
      <c r="N35" s="536"/>
      <c r="O35" s="272"/>
      <c r="P35" s="319"/>
      <c r="Q35" s="272"/>
      <c r="R35" s="525" t="s">
        <v>103</v>
      </c>
      <c r="S35" s="434"/>
      <c r="T35" s="434"/>
      <c r="U35" s="434"/>
      <c r="V35" s="434"/>
      <c r="W35" s="434"/>
      <c r="X35" s="434"/>
      <c r="Y35" s="435"/>
      <c r="Z35" s="519">
        <f>SUMIFS(Input[F. W. - Inst. (NR AFR) E&amp;G],Input[Institution Name],$R$1)+SUMIFS(Input[F. W. - Inst. (NR AFR) Desg],Input[Institution Name],$R$1)+SUMIFS(Input[F. W. - Inst. (NR AFR) Aux],Input[Institution Name],$R$1)+SUMIFS(Input[F. W. - Inst. (NR AFR) R Exp],Input[Institution Name],$R$1)+SUMIFS(Input[F. W. - Inst. (NR AFR) Loan],Input[Institution Name],$R$1)+SUMIFS(Input[F. W. - Inst. (NR AFR) Annuity],Input[Institution Name],$R$1)+SUMIFS(Input[F. W. - Inst. (NR AFR) Unexp],Input[Institution Name],$R$1)+SUMIFS(Input[F. W. - Inst. (NR AFR) R of Ind],Input[Institution Name],$R$1)+SUMIFS(Input[F. W. - Inst. (NR AFR) Inv in P],Input[Institution Name],$R$1)</f>
        <v>0</v>
      </c>
      <c r="AA35" s="519"/>
      <c r="AB35" s="519"/>
      <c r="AC35" s="432">
        <f t="shared" si="10"/>
        <v>0</v>
      </c>
      <c r="AD35" s="432"/>
      <c r="AE35" s="536"/>
      <c r="AF35" s="272"/>
      <c r="AG35" s="319"/>
      <c r="AH35" s="270"/>
      <c r="AI35" s="525" t="s">
        <v>103</v>
      </c>
      <c r="AJ35" s="434"/>
      <c r="AK35" s="434"/>
      <c r="AL35" s="434"/>
      <c r="AM35" s="434"/>
      <c r="AN35" s="434"/>
      <c r="AO35" s="434"/>
      <c r="AP35" s="435"/>
      <c r="AQ35" s="519">
        <f>SUMIFS(Input[F. W. - Inst. (NR AFR) E&amp;G],Input[Institution Name],$AI$1)+SUMIFS(Input[F. W. - Inst. (NR AFR) Desg],Input[Institution Name],$AI$1)+SUMIFS(Input[F. W. - Inst. (NR AFR) Aux],Input[Institution Name],$AI$1)+SUMIFS(Input[F. W. - Inst. (NR AFR) R Exp],Input[Institution Name],$AI$1)+SUMIFS(Input[F. W. - Inst. (NR AFR) Loan],Input[Institution Name],$AI$1)+SUMIFS(Input[F. W. - Inst. (NR AFR) Annuity],Input[Institution Name],$AI$1)+SUMIFS(Input[F. W. - Inst. (NR AFR) Unexp],Input[Institution Name],$AI$1)+SUMIFS(Input[F. W. - Inst. (NR AFR) R of Ind],Input[Institution Name],$AI$1)+SUMIFS(Input[F. W. - Inst. (NR AFR) Inv in P],Input[Institution Name],$AI$1)</f>
        <v>0</v>
      </c>
      <c r="AR35" s="519"/>
      <c r="AS35" s="519"/>
      <c r="AT35" s="432">
        <f t="shared" si="11"/>
        <v>0</v>
      </c>
      <c r="AU35" s="432"/>
      <c r="AV35" s="536"/>
      <c r="AW35" s="272"/>
      <c r="AX35" s="272"/>
      <c r="AY35" s="272"/>
    </row>
    <row r="36" spans="1:51" ht="27" customHeight="1" x14ac:dyDescent="1.05">
      <c r="A36" s="525" t="s">
        <v>104</v>
      </c>
      <c r="B36" s="434"/>
      <c r="C36" s="434"/>
      <c r="D36" s="434"/>
      <c r="E36" s="434"/>
      <c r="F36" s="434"/>
      <c r="G36" s="434"/>
      <c r="H36" s="435"/>
      <c r="I36" s="519">
        <f>SUMIFS(Input[F. Exp. - Stat (NR AFR) E&amp;G],Input[Institution Name],$A$1)+SUMIFS(Input[F. Exp. - Stat (NR AFR) Desg],Input[Institution Name],$A$1)+SUMIFS(Input[F. Exp. - Stat (NR AFR) Aux],Input[Institution Name],$A$1)+SUMIFS(Input[F. Exp. - Stat (NR AFR) R Exp],Input[Institution Name],$A$1)+SUMIFS(Input[F. Exp. - Stat (NR AFR) Loan],Input[Institution Name],$A$1)+SUMIFS(Input[F. Exp. - Stat (NR AFR) Annuity],Input[Institution Name],$A$1)+SUMIFS(Input[F. Exp. - Stat (NR AFR) Unexp],Input[Institution Name],$A$1)+SUMIFS(Input[F. Exp. - Stat (NR AFR) R of Ind],Input[Institution Name],$A$1)+SUMIFS(Input[F. Exp. - Stat (NR AFR) Inv in P],Input[Institution Name],$A$1)</f>
        <v>0</v>
      </c>
      <c r="J36" s="519"/>
      <c r="K36" s="519"/>
      <c r="L36" s="432">
        <f t="shared" si="9"/>
        <v>0</v>
      </c>
      <c r="M36" s="432"/>
      <c r="N36" s="536"/>
      <c r="O36" s="272"/>
      <c r="P36" s="319"/>
      <c r="Q36" s="272"/>
      <c r="R36" s="525" t="s">
        <v>104</v>
      </c>
      <c r="S36" s="434"/>
      <c r="T36" s="434"/>
      <c r="U36" s="434"/>
      <c r="V36" s="434"/>
      <c r="W36" s="434"/>
      <c r="X36" s="434"/>
      <c r="Y36" s="435"/>
      <c r="Z36" s="519">
        <f>SUMIFS(Input[F. Exp. - Stat (NR AFR) E&amp;G],Input[Institution Name],$R$1)+SUMIFS(Input[F. Exp. - Stat (NR AFR) Desg],Input[Institution Name],$R$1)+SUMIFS(Input[F. Exp. - Stat (NR AFR) Aux],Input[Institution Name],$R$1)+SUMIFS(Input[F. Exp. - Stat (NR AFR) R Exp],Input[Institution Name],$R$1)+SUMIFS(Input[F. Exp. - Stat (NR AFR) Loan],Input[Institution Name],$R$1)+SUMIFS(Input[F. Exp. - Stat (NR AFR) Annuity],Input[Institution Name],$R$1)+SUMIFS(Input[F. Exp. - Stat (NR AFR) Unexp],Input[Institution Name],$R$1)+SUMIFS(Input[F. Exp. - Stat (NR AFR) R of Ind],Input[Institution Name],$R$1)+SUMIFS(Input[F. Exp. - Stat (NR AFR) Inv in P],Input[Institution Name],$R$1)</f>
        <v>0</v>
      </c>
      <c r="AA36" s="519"/>
      <c r="AB36" s="519"/>
      <c r="AC36" s="432">
        <f t="shared" si="10"/>
        <v>0</v>
      </c>
      <c r="AD36" s="432"/>
      <c r="AE36" s="536"/>
      <c r="AF36" s="272"/>
      <c r="AG36" s="319"/>
      <c r="AH36" s="270"/>
      <c r="AI36" s="525" t="s">
        <v>104</v>
      </c>
      <c r="AJ36" s="434"/>
      <c r="AK36" s="434"/>
      <c r="AL36" s="434"/>
      <c r="AM36" s="434"/>
      <c r="AN36" s="434"/>
      <c r="AO36" s="434"/>
      <c r="AP36" s="435"/>
      <c r="AQ36" s="519">
        <f>SUMIFS(Input[F. Exp. - Stat (NR AFR) E&amp;G],Input[Institution Name],$AI$1)+SUMIFS(Input[F. Exp. - Stat (NR AFR) Desg],Input[Institution Name],$AI$1)+SUMIFS(Input[F. Exp. - Stat (NR AFR) Aux],Input[Institution Name],$AI$1)+SUMIFS(Input[F. Exp. - Stat (NR AFR) R Exp],Input[Institution Name],$AI$1)+SUMIFS(Input[F. Exp. - Stat (NR AFR) Loan],Input[Institution Name],$AI$1)+SUMIFS(Input[F. Exp. - Stat (NR AFR) Annuity],Input[Institution Name],$AI$1)+SUMIFS(Input[F. Exp. - Stat (NR AFR) Unexp],Input[Institution Name],$AI$1)+SUMIFS(Input[F. Exp. - Stat (NR AFR) R of Ind],Input[Institution Name],$AI$1)+SUMIFS(Input[F. Exp. - Stat (NR AFR) Inv in P],Input[Institution Name],$AI$1)</f>
        <v>0</v>
      </c>
      <c r="AR36" s="519"/>
      <c r="AS36" s="519"/>
      <c r="AT36" s="432">
        <f t="shared" si="11"/>
        <v>0</v>
      </c>
      <c r="AU36" s="432"/>
      <c r="AV36" s="536"/>
      <c r="AW36" s="272"/>
      <c r="AX36" s="272"/>
      <c r="AY36" s="272"/>
    </row>
    <row r="37" spans="1:51" ht="27" customHeight="1" thickBot="1" x14ac:dyDescent="1.1000000000000001">
      <c r="A37" s="531" t="s">
        <v>105</v>
      </c>
      <c r="B37" s="532"/>
      <c r="C37" s="532"/>
      <c r="D37" s="532"/>
      <c r="E37" s="532"/>
      <c r="F37" s="532"/>
      <c r="G37" s="532"/>
      <c r="H37" s="533"/>
      <c r="I37" s="520">
        <f>SUMIFS(Input[F. Exp. - Inst. (NR AFR) E&amp;G],Input[Institution Name],$A$1)+SUMIFS(Input[F. Exp. - Inst. (NR AFR) Desg],Input[Institution Name],$A$1)+SUMIFS(Input[F. Exp. - Inst. (NR AFR) Aux],Input[Institution Name],$A$1)+SUMIFS(Input[F. Exp. - Inst. (NR AFR) R Exp],Input[Institution Name],$A$1)+SUMIFS(Input[F. Exp. - Inst. (NR AFR) Loan],Input[Institution Name],$A$1)+SUMIFS(Input[F. Exp. - Inst. (NR AFR) Annuity],Input[Institution Name],$A$1)+SUMIFS(Input[F. Exp. - Inst. (NR AFR) Unexp],Input[Institution Name],$A$1)+SUMIFS(Input[F. Exp. - Inst. (NR AFR) R of Ind],Input[Institution Name],$A$1)+SUMIFS(Input[F. Exp. - Inst. (NR AFR) Inv in P],Input[Institution Name],$A$1)</f>
        <v>0</v>
      </c>
      <c r="J37" s="520"/>
      <c r="K37" s="520"/>
      <c r="L37" s="534">
        <f t="shared" si="9"/>
        <v>0</v>
      </c>
      <c r="M37" s="534"/>
      <c r="N37" s="535"/>
      <c r="O37" s="272"/>
      <c r="P37" s="319"/>
      <c r="Q37" s="272"/>
      <c r="R37" s="531" t="s">
        <v>105</v>
      </c>
      <c r="S37" s="532"/>
      <c r="T37" s="532"/>
      <c r="U37" s="532"/>
      <c r="V37" s="532"/>
      <c r="W37" s="532"/>
      <c r="X37" s="532"/>
      <c r="Y37" s="533"/>
      <c r="Z37" s="520">
        <f>SUMIFS(Input[F. Exp. - Inst. (NR AFR) E&amp;G],Input[Institution Name],$R$1)+SUMIFS(Input[F. Exp. - Inst. (NR AFR) Desg],Input[Institution Name],$R$1)+SUMIFS(Input[F. Exp. - Inst. (NR AFR) Aux],Input[Institution Name],$R$1)+SUMIFS(Input[F. Exp. - Inst. (NR AFR) R Exp],Input[Institution Name],$R$1)+SUMIFS(Input[F. Exp. - Inst. (NR AFR) Loan],Input[Institution Name],$R$1)+SUMIFS(Input[F. Exp. - Inst. (NR AFR) Annuity],Input[Institution Name],$R$1)+SUMIFS(Input[F. Exp. - Inst. (NR AFR) Unexp],Input[Institution Name],$R$1)+SUMIFS(Input[F. Exp. - Inst. (NR AFR) R of Ind],Input[Institution Name],$R$1)+SUMIFS(Input[F. Exp. - Inst. (NR AFR) Inv in P],Input[Institution Name],$R$1)</f>
        <v>0</v>
      </c>
      <c r="AA37" s="520"/>
      <c r="AB37" s="520"/>
      <c r="AC37" s="534">
        <f t="shared" si="10"/>
        <v>0</v>
      </c>
      <c r="AD37" s="534"/>
      <c r="AE37" s="535"/>
      <c r="AF37" s="272"/>
      <c r="AG37" s="319"/>
      <c r="AH37" s="270"/>
      <c r="AI37" s="531" t="s">
        <v>105</v>
      </c>
      <c r="AJ37" s="532"/>
      <c r="AK37" s="532"/>
      <c r="AL37" s="532"/>
      <c r="AM37" s="532"/>
      <c r="AN37" s="532"/>
      <c r="AO37" s="532"/>
      <c r="AP37" s="533"/>
      <c r="AQ37" s="520">
        <f>SUMIFS(Input[F. Exp. - Inst. (NR AFR) E&amp;G],Input[Institution Name],$AI$1)+SUMIFS(Input[F. Exp. - Inst. (NR AFR) Desg],Input[Institution Name],$AI$1)+SUMIFS(Input[F. Exp. - Inst. (NR AFR) Aux],Input[Institution Name],$AI$1)+SUMIFS(Input[F. Exp. - Inst. (NR AFR) R Exp],Input[Institution Name],$AI$1)+SUMIFS(Input[F. Exp. - Inst. (NR AFR) Loan],Input[Institution Name],$AI$1)+SUMIFS(Input[F. Exp. - Inst. (NR AFR) Annuity],Input[Institution Name],$AI$1)+SUMIFS(Input[F. Exp. - Inst. (NR AFR) Unexp],Input[Institution Name],$AI$1)+SUMIFS(Input[F. Exp. - Inst. (NR AFR) R of Ind],Input[Institution Name],$AI$1)+SUMIFS(Input[F. Exp. - Inst. (NR AFR) Inv in P],Input[Institution Name],$AI$1)</f>
        <v>0</v>
      </c>
      <c r="AR37" s="520"/>
      <c r="AS37" s="520"/>
      <c r="AT37" s="534">
        <f t="shared" si="11"/>
        <v>0</v>
      </c>
      <c r="AU37" s="534"/>
      <c r="AV37" s="535"/>
      <c r="AW37" s="272"/>
      <c r="AX37" s="272"/>
      <c r="AY37" s="272"/>
    </row>
    <row r="38" spans="1:51" ht="27" customHeight="1" thickBot="1" x14ac:dyDescent="1.1000000000000001">
      <c r="A38" s="526" t="s">
        <v>108</v>
      </c>
      <c r="B38" s="527"/>
      <c r="C38" s="527"/>
      <c r="D38" s="527"/>
      <c r="E38" s="527"/>
      <c r="F38" s="527"/>
      <c r="G38" s="527"/>
      <c r="H38" s="528"/>
      <c r="I38" s="521">
        <f>SUMIFS(Input[Fees - Gross E&amp;G],Input[Institution Name],$A$1)+SUMIFS(Input[Fees - Gross Desg],Input[Institution Name],$A$1)+SUMIFS(Input[Fees - Gross Aux],Input[Institution Name],$A$1)+SUMIFS(Input[Fees - Gross R Exp],Input[Institution Name],$A$1)+SUMIFS(Input[Fees - Gross Loan],Input[Institution Name],$A$1)+SUMIFS(Input[Fees - Gross Annuity],Input[Institution Name],$A$1)+SUMIFS(Input[Fees - Gross Unexp],Input[Institution Name],$A$1)+SUMIFS(Input[Fees - Gross R of Ind],Input[Institution Name],$A$1)+SUMIFS(Input[Fees - Gross Inv in P],Input[Institution Name],$A$1)</f>
        <v>0</v>
      </c>
      <c r="J38" s="521"/>
      <c r="K38" s="521"/>
      <c r="L38" s="516">
        <f t="shared" si="9"/>
        <v>0</v>
      </c>
      <c r="M38" s="516"/>
      <c r="N38" s="517"/>
      <c r="O38" s="272"/>
      <c r="P38" s="319"/>
      <c r="Q38" s="272"/>
      <c r="R38" s="526" t="s">
        <v>108</v>
      </c>
      <c r="S38" s="527"/>
      <c r="T38" s="527"/>
      <c r="U38" s="527"/>
      <c r="V38" s="527"/>
      <c r="W38" s="527"/>
      <c r="X38" s="527"/>
      <c r="Y38" s="528"/>
      <c r="Z38" s="521">
        <f>SUMIFS(Input[Fees - Gross E&amp;G],Input[Institution Name],$R$1)+SUMIFS(Input[Fees - Gross Desg],Input[Institution Name],$R$1)+SUMIFS(Input[Fees - Gross Aux],Input[Institution Name],$R$1)+SUMIFS(Input[Fees - Gross R Exp],Input[Institution Name],$R$1)+SUMIFS(Input[Fees - Gross Loan],Input[Institution Name],$R$1)+SUMIFS(Input[Fees - Gross Annuity],Input[Institution Name],$R$1)+SUMIFS(Input[Fees - Gross Unexp],Input[Institution Name],$R$1)+SUMIFS(Input[Fees - Gross R of Ind],Input[Institution Name],$R$1)+SUMIFS(Input[Fees - Gross Inv in P],Input[Institution Name],$R$1)</f>
        <v>0</v>
      </c>
      <c r="AA38" s="521"/>
      <c r="AB38" s="521"/>
      <c r="AC38" s="516">
        <f t="shared" si="10"/>
        <v>0</v>
      </c>
      <c r="AD38" s="516"/>
      <c r="AE38" s="517"/>
      <c r="AF38" s="272"/>
      <c r="AG38" s="319"/>
      <c r="AH38" s="270"/>
      <c r="AI38" s="526" t="s">
        <v>108</v>
      </c>
      <c r="AJ38" s="527"/>
      <c r="AK38" s="527"/>
      <c r="AL38" s="527"/>
      <c r="AM38" s="527"/>
      <c r="AN38" s="527"/>
      <c r="AO38" s="527"/>
      <c r="AP38" s="528"/>
      <c r="AQ38" s="521">
        <f>SUMIFS(Input[Fees - Gross E&amp;G],Input[Institution Name],$AI$1)+SUMIFS(Input[Fees - Gross Desg],Input[Institution Name],$AI$1)+SUMIFS(Input[Fees - Gross Aux],Input[Institution Name],$AI$1)+SUMIFS(Input[Fees - Gross R Exp],Input[Institution Name],$AI$1)+SUMIFS(Input[Fees - Gross Loan],Input[Institution Name],$AI$1)+SUMIFS(Input[Fees - Gross Annuity],Input[Institution Name],$AI$1)+SUMIFS(Input[Fees - Gross Unexp],Input[Institution Name],$AI$1)+SUMIFS(Input[Fees - Gross R of Ind],Input[Institution Name],$AI$1)+SUMIFS(Input[Fees - Gross Inv in P],Input[Institution Name],$AI$1)</f>
        <v>0</v>
      </c>
      <c r="AR38" s="521"/>
      <c r="AS38" s="521"/>
      <c r="AT38" s="516">
        <f t="shared" si="11"/>
        <v>0</v>
      </c>
      <c r="AU38" s="516"/>
      <c r="AV38" s="517"/>
      <c r="AW38" s="272"/>
      <c r="AX38" s="272"/>
      <c r="AY38" s="272"/>
    </row>
    <row r="39" spans="1:51" ht="27" customHeight="1" thickBot="1" x14ac:dyDescent="1.1000000000000001">
      <c r="A39" s="513" t="s">
        <v>1644</v>
      </c>
      <c r="B39" s="514"/>
      <c r="C39" s="514"/>
      <c r="D39" s="514"/>
      <c r="E39" s="514"/>
      <c r="F39" s="514"/>
      <c r="G39" s="514"/>
      <c r="H39" s="514"/>
      <c r="I39" s="514"/>
      <c r="J39" s="514"/>
      <c r="K39" s="514"/>
      <c r="L39" s="514"/>
      <c r="M39" s="514"/>
      <c r="N39" s="515"/>
      <c r="O39" s="272"/>
      <c r="P39" s="319"/>
      <c r="Q39" s="272"/>
      <c r="R39" s="513" t="s">
        <v>1644</v>
      </c>
      <c r="S39" s="514"/>
      <c r="T39" s="514"/>
      <c r="U39" s="514"/>
      <c r="V39" s="514"/>
      <c r="W39" s="514"/>
      <c r="X39" s="514"/>
      <c r="Y39" s="514"/>
      <c r="Z39" s="514"/>
      <c r="AA39" s="514"/>
      <c r="AB39" s="514"/>
      <c r="AC39" s="514"/>
      <c r="AD39" s="514"/>
      <c r="AE39" s="515"/>
      <c r="AF39" s="272"/>
      <c r="AG39" s="319"/>
      <c r="AH39" s="270"/>
      <c r="AI39" s="513" t="s">
        <v>1644</v>
      </c>
      <c r="AJ39" s="514"/>
      <c r="AK39" s="514"/>
      <c r="AL39" s="514"/>
      <c r="AM39" s="514"/>
      <c r="AN39" s="514"/>
      <c r="AO39" s="514"/>
      <c r="AP39" s="514"/>
      <c r="AQ39" s="514"/>
      <c r="AR39" s="514"/>
      <c r="AS39" s="514"/>
      <c r="AT39" s="514"/>
      <c r="AU39" s="514"/>
      <c r="AV39" s="515"/>
      <c r="AW39" s="272"/>
      <c r="AX39" s="272"/>
      <c r="AY39" s="272"/>
    </row>
    <row r="40" spans="1:51" ht="27" customHeight="1" x14ac:dyDescent="1.05">
      <c r="A40" s="522" t="s">
        <v>102</v>
      </c>
      <c r="B40" s="523"/>
      <c r="C40" s="523"/>
      <c r="D40" s="523"/>
      <c r="E40" s="523"/>
      <c r="F40" s="523"/>
      <c r="G40" s="523"/>
      <c r="H40" s="524"/>
      <c r="I40" s="518">
        <f>SUMIFS(Input[F. W. - Stat (R AFR) E&amp;G],Input[Institution Name],$A$1)+SUMIFS(Input[F. W. - Stat (R AFR) Desg],Input[Institution Name],$A$1)+SUMIFS(Input[F. W. - Stat (R AFR) Aux],Input[Institution Name],$A$1)+SUMIFS(Input[F. W. - Stat (R AFR) R Exp],Input[Institution Name],$A$1)+SUMIFS(Input[F. W. - Stat (R AFR) Loan],Input[Institution Name],$A$1)+SUMIFS(Input[F. W. - Stat (R AFR) Annuity],Input[Institution Name],$A$1)+SUMIFS(Input[F. W. - Stat (R AFR) Unexp],Input[Institution Name],$A$1)+SUMIFS(Input[F. W. - Stat (R AFR) R of Ind],Input[Institution Name],$A$1)+SUMIFS(Input[F. W. - Stat (R AFR) Inv in P],Input[Institution Name],$A$1)</f>
        <v>0</v>
      </c>
      <c r="J40" s="518"/>
      <c r="K40" s="518"/>
      <c r="L40" s="529">
        <f t="shared" ref="L40:L45" si="12">IFERROR(ROUND(I40/L$6,0),0)</f>
        <v>0</v>
      </c>
      <c r="M40" s="529"/>
      <c r="N40" s="530"/>
      <c r="O40" s="272"/>
      <c r="P40" s="319"/>
      <c r="Q40" s="272"/>
      <c r="R40" s="522" t="s">
        <v>102</v>
      </c>
      <c r="S40" s="523"/>
      <c r="T40" s="523"/>
      <c r="U40" s="523"/>
      <c r="V40" s="523"/>
      <c r="W40" s="523"/>
      <c r="X40" s="523"/>
      <c r="Y40" s="524"/>
      <c r="Z40" s="518">
        <f>SUMIFS(Input[F. W. - Stat (R AFR) E&amp;G],Input[Institution Name],$R$1)+SUMIFS(Input[F. W. - Stat (R AFR) Desg],Input[Institution Name],$R$1)+SUMIFS(Input[F. W. - Stat (R AFR) Aux],Input[Institution Name],$R$1)+SUMIFS(Input[F. W. - Stat (R AFR) R Exp],Input[Institution Name],$R$1)+SUMIFS(Input[F. W. - Stat (R AFR) Loan],Input[Institution Name],$R$1)+SUMIFS(Input[F. W. - Stat (R AFR) Annuity],Input[Institution Name],$R$1)+SUMIFS(Input[F. W. - Stat (R AFR) Unexp],Input[Institution Name],$R$1)+SUMIFS(Input[F. W. - Stat (R AFR) R of Ind],Input[Institution Name],$R$1)+SUMIFS(Input[F. W. - Stat (R AFR) Inv in P],Input[Institution Name],$R$1)</f>
        <v>0</v>
      </c>
      <c r="AA40" s="518"/>
      <c r="AB40" s="518"/>
      <c r="AC40" s="529">
        <f t="shared" ref="AC40:AC45" si="13">IFERROR(ROUND(Z40/AC$6,0),0)</f>
        <v>0</v>
      </c>
      <c r="AD40" s="529"/>
      <c r="AE40" s="530"/>
      <c r="AF40" s="272"/>
      <c r="AG40" s="319"/>
      <c r="AH40" s="270"/>
      <c r="AI40" s="522" t="s">
        <v>102</v>
      </c>
      <c r="AJ40" s="523"/>
      <c r="AK40" s="523"/>
      <c r="AL40" s="523"/>
      <c r="AM40" s="523"/>
      <c r="AN40" s="523"/>
      <c r="AO40" s="523"/>
      <c r="AP40" s="524"/>
      <c r="AQ40" s="518">
        <f>SUMIFS(Input[F. W. - Stat (R AFR) E&amp;G],Input[Institution Name],$AI$1)+SUMIFS(Input[F. W. - Stat (R AFR) Desg],Input[Institution Name],$AI$1)+SUMIFS(Input[F. W. - Stat (R AFR) Aux],Input[Institution Name],$AI$1)+SUMIFS(Input[F. W. - Stat (R AFR) R Exp],Input[Institution Name],$AI$1)+SUMIFS(Input[F. W. - Stat (R AFR) Loan],Input[Institution Name],$AI$1)+SUMIFS(Input[F. W. - Stat (R AFR) Annuity],Input[Institution Name],$AI$1)+SUMIFS(Input[F. W. - Stat (R AFR) Unexp],Input[Institution Name],$AI$1)+SUMIFS(Input[F. W. - Stat (R AFR) R of Ind],Input[Institution Name],$AI$1)+SUMIFS(Input[F. W. - Stat (R AFR) Inv in P],Input[Institution Name],$AI$1)</f>
        <v>0</v>
      </c>
      <c r="AR40" s="518"/>
      <c r="AS40" s="518"/>
      <c r="AT40" s="529">
        <f t="shared" ref="AT40:AT45" si="14">IFERROR(ROUND(AQ40/AT$6,0),0)</f>
        <v>0</v>
      </c>
      <c r="AU40" s="529"/>
      <c r="AV40" s="530"/>
      <c r="AW40" s="272"/>
      <c r="AX40" s="272"/>
      <c r="AY40" s="272"/>
    </row>
    <row r="41" spans="1:51" ht="27" customHeight="1" x14ac:dyDescent="1.05">
      <c r="A41" s="525" t="s">
        <v>103</v>
      </c>
      <c r="B41" s="434"/>
      <c r="C41" s="434"/>
      <c r="D41" s="434"/>
      <c r="E41" s="434"/>
      <c r="F41" s="434"/>
      <c r="G41" s="434"/>
      <c r="H41" s="435"/>
      <c r="I41" s="519">
        <f>SUMIFS(Input[F. W. - Inst. (R AFR) E&amp;G],Input[Institution Name],$A$1)+SUMIFS(Input[F. W. - Inst. (R AFR) Desg],Input[Institution Name],$A$1)+SUMIFS(Input[F. W. - Inst. (R AFR) Aux],Input[Institution Name],$A$1)+SUMIFS(Input[F. W. - Inst. (R AFR) R Exp],Input[Institution Name],$A$1)+SUMIFS(Input[F. W. - Inst. (R AFR) Loan],Input[Institution Name],$A$1)+SUMIFS(Input[F. W. - Inst. (R AFR) Annuity],Input[Institution Name],$A$1)+SUMIFS(Input[F. W. - Inst. (R AFR) Unexp],Input[Institution Name],$A$1)+SUMIFS(Input[F. W. - Inst. (R AFR) R of Ind],Input[Institution Name],$A$1)+SUMIFS(Input[F. W. - Inst. (R AFR) Inv in P],Input[Institution Name],$A$1)</f>
        <v>0</v>
      </c>
      <c r="J41" s="519"/>
      <c r="K41" s="519"/>
      <c r="L41" s="432">
        <f t="shared" si="12"/>
        <v>0</v>
      </c>
      <c r="M41" s="432"/>
      <c r="N41" s="536"/>
      <c r="O41" s="272"/>
      <c r="P41" s="319"/>
      <c r="Q41" s="272"/>
      <c r="R41" s="525" t="s">
        <v>103</v>
      </c>
      <c r="S41" s="434"/>
      <c r="T41" s="434"/>
      <c r="U41" s="434"/>
      <c r="V41" s="434"/>
      <c r="W41" s="434"/>
      <c r="X41" s="434"/>
      <c r="Y41" s="435"/>
      <c r="Z41" s="519">
        <f>SUMIFS(Input[F. W. - Inst. (R AFR) E&amp;G],Input[Institution Name],$R$1)+SUMIFS(Input[F. W. - Inst. (R AFR) Desg],Input[Institution Name],$R$1)+SUMIFS(Input[F. W. - Inst. (R AFR) Aux],Input[Institution Name],$R$1)+SUMIFS(Input[F. W. - Inst. (R AFR) R Exp],Input[Institution Name],$R$1)+SUMIFS(Input[F. W. - Inst. (R AFR) Loan],Input[Institution Name],$R$1)+SUMIFS(Input[F. W. - Inst. (R AFR) Annuity],Input[Institution Name],$R$1)+SUMIFS(Input[F. W. - Inst. (R AFR) Unexp],Input[Institution Name],$R$1)+SUMIFS(Input[F. W. - Inst. (R AFR) R of Ind],Input[Institution Name],$R$1)+SUMIFS(Input[F. W. - Inst. (R AFR) Inv in P],Input[Institution Name],$R$1)</f>
        <v>0</v>
      </c>
      <c r="AA41" s="519"/>
      <c r="AB41" s="519"/>
      <c r="AC41" s="432">
        <f t="shared" si="13"/>
        <v>0</v>
      </c>
      <c r="AD41" s="432"/>
      <c r="AE41" s="536"/>
      <c r="AF41" s="272"/>
      <c r="AG41" s="319"/>
      <c r="AH41" s="270"/>
      <c r="AI41" s="525" t="s">
        <v>103</v>
      </c>
      <c r="AJ41" s="434"/>
      <c r="AK41" s="434"/>
      <c r="AL41" s="434"/>
      <c r="AM41" s="434"/>
      <c r="AN41" s="434"/>
      <c r="AO41" s="434"/>
      <c r="AP41" s="435"/>
      <c r="AQ41" s="519">
        <f>SUMIFS(Input[F. W. - Inst. (R AFR) E&amp;G],Input[Institution Name],$AI$1)+SUMIFS(Input[F. W. - Inst. (R AFR) Desg],Input[Institution Name],$AI$1)+SUMIFS(Input[F. W. - Inst. (R AFR) Aux],Input[Institution Name],$AI$1)+SUMIFS(Input[F. W. - Inst. (R AFR) R Exp],Input[Institution Name],$AI$1)+SUMIFS(Input[F. W. - Inst. (R AFR) Loan],Input[Institution Name],$AI$1)+SUMIFS(Input[F. W. - Inst. (R AFR) Annuity],Input[Institution Name],$AI$1)+SUMIFS(Input[F. W. - Inst. (R AFR) Unexp],Input[Institution Name],$AI$1)+SUMIFS(Input[F. W. - Inst. (R AFR) R of Ind],Input[Institution Name],$AI$1)+SUMIFS(Input[F. W. - Inst. (R AFR) Inv in P],Input[Institution Name],$AI$1)</f>
        <v>0</v>
      </c>
      <c r="AR41" s="519"/>
      <c r="AS41" s="519"/>
      <c r="AT41" s="432">
        <f t="shared" si="14"/>
        <v>0</v>
      </c>
      <c r="AU41" s="432"/>
      <c r="AV41" s="536"/>
      <c r="AW41" s="272"/>
      <c r="AX41" s="272"/>
      <c r="AY41" s="272"/>
    </row>
    <row r="42" spans="1:51" ht="27" customHeight="1" x14ac:dyDescent="1.05">
      <c r="A42" s="525" t="s">
        <v>104</v>
      </c>
      <c r="B42" s="434"/>
      <c r="C42" s="434"/>
      <c r="D42" s="434"/>
      <c r="E42" s="434"/>
      <c r="F42" s="434"/>
      <c r="G42" s="434"/>
      <c r="H42" s="435"/>
      <c r="I42" s="519">
        <f>SUMIFS(Input[F. Exp. - Stat (R AFR) E&amp;G],Input[Institution Name],$A$1)+SUMIFS(Input[F. Exp. - Stat (R AFR) Desg],Input[Institution Name],$A$1)+SUMIFS(Input[F. Exp. - Stat (R AFR) Aux],Input[Institution Name],$A$1)+SUMIFS(Input[F. Exp. - Stat (R AFR) R Exp],Input[Institution Name],$A$1)+SUMIFS(Input[F. Exp. - Stat (R AFR) Loan],Input[Institution Name],$A$1)+SUMIFS(Input[F. Exp. - Stat (R AFR) Annuity],Input[Institution Name],$A$1)+SUMIFS(Input[F. Exp. - Stat (R AFR) Unexp],Input[Institution Name],$A$1)+SUMIFS(Input[F. Exp. - Stat (R AFR) R of Ind],Input[Institution Name],$A$1)+SUMIFS(Input[F. Exp. - Stat (R AFR) Inv in P],Input[Institution Name],$A$1)</f>
        <v>0</v>
      </c>
      <c r="J42" s="519"/>
      <c r="K42" s="519"/>
      <c r="L42" s="432">
        <f t="shared" si="12"/>
        <v>0</v>
      </c>
      <c r="M42" s="432"/>
      <c r="N42" s="536"/>
      <c r="O42" s="272"/>
      <c r="P42" s="319"/>
      <c r="Q42" s="272"/>
      <c r="R42" s="525" t="s">
        <v>104</v>
      </c>
      <c r="S42" s="434"/>
      <c r="T42" s="434"/>
      <c r="U42" s="434"/>
      <c r="V42" s="434"/>
      <c r="W42" s="434"/>
      <c r="X42" s="434"/>
      <c r="Y42" s="435"/>
      <c r="Z42" s="519">
        <f>SUMIFS(Input[F. Exp. - Stat (R AFR) E&amp;G],Input[Institution Name],$R$1)+SUMIFS(Input[F. Exp. - Stat (R AFR) Desg],Input[Institution Name],$R$1)+SUMIFS(Input[F. Exp. - Stat (R AFR) Aux],Input[Institution Name],$R$1)+SUMIFS(Input[F. Exp. - Stat (R AFR) R Exp],Input[Institution Name],$R$1)+SUMIFS(Input[F. Exp. - Stat (R AFR) Loan],Input[Institution Name],$R$1)+SUMIFS(Input[F. Exp. - Stat (R AFR) Annuity],Input[Institution Name],$R$1)+SUMIFS(Input[F. Exp. - Stat (R AFR) Unexp],Input[Institution Name],$R$1)+SUMIFS(Input[F. Exp. - Stat (R AFR) R of Ind],Input[Institution Name],$R$1)+SUMIFS(Input[F. Exp. - Stat (R AFR) Inv in P],Input[Institution Name],$R$1)</f>
        <v>0</v>
      </c>
      <c r="AA42" s="519"/>
      <c r="AB42" s="519"/>
      <c r="AC42" s="432">
        <f t="shared" si="13"/>
        <v>0</v>
      </c>
      <c r="AD42" s="432"/>
      <c r="AE42" s="536"/>
      <c r="AF42" s="272"/>
      <c r="AG42" s="319"/>
      <c r="AH42" s="270"/>
      <c r="AI42" s="525" t="s">
        <v>104</v>
      </c>
      <c r="AJ42" s="434"/>
      <c r="AK42" s="434"/>
      <c r="AL42" s="434"/>
      <c r="AM42" s="434"/>
      <c r="AN42" s="434"/>
      <c r="AO42" s="434"/>
      <c r="AP42" s="435"/>
      <c r="AQ42" s="519">
        <f>SUMIFS(Input[F. Exp. - Stat (R AFR) E&amp;G],Input[Institution Name],$AI$1)+SUMIFS(Input[F. Exp. - Stat (R AFR) Desg],Input[Institution Name],$AI$1)+SUMIFS(Input[F. Exp. - Stat (R AFR) Aux],Input[Institution Name],$AI$1)+SUMIFS(Input[F. Exp. - Stat (R AFR) R Exp],Input[Institution Name],$AI$1)+SUMIFS(Input[F. Exp. - Stat (R AFR) Loan],Input[Institution Name],$AI$1)+SUMIFS(Input[F. Exp. - Stat (R AFR) Annuity],Input[Institution Name],$AI$1)+SUMIFS(Input[F. Exp. - Stat (R AFR) Unexp],Input[Institution Name],$AI$1)+SUMIFS(Input[F. Exp. - Stat (R AFR) R of Ind],Input[Institution Name],$AI$1)+SUMIFS(Input[F. Exp. - Stat (R AFR) Inv in P],Input[Institution Name],$AI$1)</f>
        <v>0</v>
      </c>
      <c r="AR42" s="519"/>
      <c r="AS42" s="519"/>
      <c r="AT42" s="432">
        <f t="shared" si="14"/>
        <v>0</v>
      </c>
      <c r="AU42" s="432"/>
      <c r="AV42" s="536"/>
      <c r="AW42" s="272"/>
      <c r="AX42" s="272"/>
      <c r="AY42" s="272"/>
    </row>
    <row r="43" spans="1:51" ht="27" customHeight="1" x14ac:dyDescent="1.05">
      <c r="A43" s="525" t="s">
        <v>105</v>
      </c>
      <c r="B43" s="434"/>
      <c r="C43" s="434"/>
      <c r="D43" s="434"/>
      <c r="E43" s="434"/>
      <c r="F43" s="434"/>
      <c r="G43" s="434"/>
      <c r="H43" s="435"/>
      <c r="I43" s="519">
        <f>SUMIFS(Input[F. Exp. - Inst. (R AFR) E&amp;G],Input[Institution Name],$A$1)+SUMIFS(Input[F. Exp. - Inst. (R AFR) Desg],Input[Institution Name],$A$1)+SUMIFS(Input[F. Exp. - Inst. (R AFR) Aux],Input[Institution Name],$A$1)+SUMIFS(Input[F. Exp. - Inst. (R AFR) R Exp],Input[Institution Name],$A$1)+SUMIFS(Input[F. Exp. - Inst. (R AFR) Loan],Input[Institution Name],$A$1)+SUMIFS(Input[F. Exp. - Inst. (R AFR) Annuity],Input[Institution Name],$A$1)+SUMIFS(Input[F. Exp. - Inst. (R AFR) Unexp],Input[Institution Name],$A$1)+SUMIFS(Input[F. Exp. - Inst. (R AFR) R of Ind],Input[Institution Name],$A$1)+SUMIFS(Input[F. Exp. - Inst. (R AFR) Inv in P],Input[Institution Name],$A$1)</f>
        <v>0</v>
      </c>
      <c r="J43" s="519"/>
      <c r="K43" s="519"/>
      <c r="L43" s="432">
        <f t="shared" si="12"/>
        <v>0</v>
      </c>
      <c r="M43" s="432"/>
      <c r="N43" s="536"/>
      <c r="O43" s="272"/>
      <c r="P43" s="319"/>
      <c r="Q43" s="272"/>
      <c r="R43" s="525" t="s">
        <v>105</v>
      </c>
      <c r="S43" s="434"/>
      <c r="T43" s="434"/>
      <c r="U43" s="434"/>
      <c r="V43" s="434"/>
      <c r="W43" s="434"/>
      <c r="X43" s="434"/>
      <c r="Y43" s="435"/>
      <c r="Z43" s="519">
        <f>SUMIFS(Input[F. Exp. - Inst. (R AFR) E&amp;G],Input[Institution Name],$R$1)+SUMIFS(Input[F. Exp. - Inst. (R AFR) Desg],Input[Institution Name],$R$1)+SUMIFS(Input[F. Exp. - Inst. (R AFR) Aux],Input[Institution Name],$R$1)+SUMIFS(Input[F. Exp. - Inst. (R AFR) R Exp],Input[Institution Name],$R$1)+SUMIFS(Input[F. Exp. - Inst. (R AFR) Loan],Input[Institution Name],$R$1)+SUMIFS(Input[F. Exp. - Inst. (R AFR) Annuity],Input[Institution Name],$R$1)+SUMIFS(Input[F. Exp. - Inst. (R AFR) Unexp],Input[Institution Name],$R$1)+SUMIFS(Input[F. Exp. - Inst. (R AFR) R of Ind],Input[Institution Name],$R$1)+SUMIFS(Input[F. Exp. - Inst. (R AFR) Inv in P],Input[Institution Name],$R$1)</f>
        <v>0</v>
      </c>
      <c r="AA43" s="519"/>
      <c r="AB43" s="519"/>
      <c r="AC43" s="432">
        <f t="shared" si="13"/>
        <v>0</v>
      </c>
      <c r="AD43" s="432"/>
      <c r="AE43" s="536"/>
      <c r="AF43" s="272"/>
      <c r="AG43" s="319"/>
      <c r="AH43" s="270"/>
      <c r="AI43" s="525" t="s">
        <v>105</v>
      </c>
      <c r="AJ43" s="434"/>
      <c r="AK43" s="434"/>
      <c r="AL43" s="434"/>
      <c r="AM43" s="434"/>
      <c r="AN43" s="434"/>
      <c r="AO43" s="434"/>
      <c r="AP43" s="435"/>
      <c r="AQ43" s="519">
        <f>SUMIFS(Input[F. Exp. - Inst. (R AFR) E&amp;G],Input[Institution Name],$AI$1)+SUMIFS(Input[F. Exp. - Inst. (R AFR) Desg],Input[Institution Name],$AI$1)+SUMIFS(Input[F. Exp. - Inst. (R AFR) Aux],Input[Institution Name],$AI$1)+SUMIFS(Input[F. Exp. - Inst. (R AFR) R Exp],Input[Institution Name],$AI$1)+SUMIFS(Input[F. Exp. - Inst. (R AFR) Loan],Input[Institution Name],$AI$1)+SUMIFS(Input[F. Exp. - Inst. (R AFR) Annuity],Input[Institution Name],$AI$1)+SUMIFS(Input[F. Exp. - Inst. (R AFR) Unexp],Input[Institution Name],$AI$1)+SUMIFS(Input[F. Exp. - Inst. (R AFR) R of Ind],Input[Institution Name],$AI$1)+SUMIFS(Input[F. Exp. - Inst. (R AFR) Inv in P],Input[Institution Name],$AI$1)</f>
        <v>0</v>
      </c>
      <c r="AR43" s="519"/>
      <c r="AS43" s="519"/>
      <c r="AT43" s="432">
        <f t="shared" si="14"/>
        <v>0</v>
      </c>
      <c r="AU43" s="432"/>
      <c r="AV43" s="536"/>
      <c r="AW43" s="272"/>
      <c r="AX43" s="272"/>
      <c r="AY43" s="272"/>
    </row>
    <row r="44" spans="1:51" ht="27" customHeight="1" thickBot="1" x14ac:dyDescent="1.1000000000000001">
      <c r="A44" s="525" t="s">
        <v>141</v>
      </c>
      <c r="B44" s="434"/>
      <c r="C44" s="434"/>
      <c r="D44" s="434"/>
      <c r="E44" s="434"/>
      <c r="F44" s="434"/>
      <c r="G44" s="434"/>
      <c r="H44" s="435"/>
      <c r="I44" s="520">
        <f>SUMIFS(Input[Fee Schlr E&amp;G],Input[Institution Name],$A$1)+SUMIFS(Input[Fee Schlr Desg],Input[Institution Name],$A$1)+SUMIFS(Input[Fee Schlr Aux],Input[Institution Name],$A$1)+SUMIFS(Input[Fee Schlr R Exp],Input[Institution Name],$A$1)+SUMIFS(Input[Fee Schlr Loan],Input[Institution Name],$A$1)+SUMIFS(Input[Fee Schlr Annuity],Input[Institution Name],$A$1)+SUMIFS(Input[Fee Schlr Unexp],Input[Institution Name],$A$1)+SUMIFS(Input[Fee Schlr R of Ind],Input[Institution Name],$A$1)+SUMIFS(Input[Fee Schlr Inv in P],Input[Institution Name],$A$1)</f>
        <v>0</v>
      </c>
      <c r="J44" s="520"/>
      <c r="K44" s="520"/>
      <c r="L44" s="534">
        <f t="shared" si="12"/>
        <v>0</v>
      </c>
      <c r="M44" s="534"/>
      <c r="N44" s="535"/>
      <c r="O44" s="272"/>
      <c r="P44" s="319"/>
      <c r="Q44" s="272"/>
      <c r="R44" s="525" t="s">
        <v>141</v>
      </c>
      <c r="S44" s="434"/>
      <c r="T44" s="434"/>
      <c r="U44" s="434"/>
      <c r="V44" s="434"/>
      <c r="W44" s="434"/>
      <c r="X44" s="434"/>
      <c r="Y44" s="435"/>
      <c r="Z44" s="520">
        <f>SUMIFS(Input[Fee Schlr E&amp;G],Input[Institution Name],$R$1)+SUMIFS(Input[Fee Schlr Desg],Input[Institution Name],$R$1)+SUMIFS(Input[Fee Schlr Aux],Input[Institution Name],$R$1)+SUMIFS(Input[Fee Schlr R Exp],Input[Institution Name],$R$1)+SUMIFS(Input[Fee Schlr Loan],Input[Institution Name],$R$1)+SUMIFS(Input[Fee Schlr Annuity],Input[Institution Name],$R$1)+SUMIFS(Input[Fee Schlr Unexp],Input[Institution Name],$R$1)+SUMIFS(Input[Fee Schlr R of Ind],Input[Institution Name],$R$1)+SUMIFS(Input[Fee Schlr Inv in P],Input[Institution Name],$R$1)</f>
        <v>0</v>
      </c>
      <c r="AA44" s="520"/>
      <c r="AB44" s="520"/>
      <c r="AC44" s="534">
        <f t="shared" si="13"/>
        <v>0</v>
      </c>
      <c r="AD44" s="534"/>
      <c r="AE44" s="535"/>
      <c r="AF44" s="272"/>
      <c r="AG44" s="319"/>
      <c r="AH44" s="270"/>
      <c r="AI44" s="525" t="s">
        <v>141</v>
      </c>
      <c r="AJ44" s="434"/>
      <c r="AK44" s="434"/>
      <c r="AL44" s="434"/>
      <c r="AM44" s="434"/>
      <c r="AN44" s="434"/>
      <c r="AO44" s="434"/>
      <c r="AP44" s="435"/>
      <c r="AQ44" s="520">
        <f>SUMIFS(Input[Fee Schlr E&amp;G],Input[Institution Name],$AI$1)+SUMIFS(Input[Fee Schlr Desg],Input[Institution Name],$AI$1)+SUMIFS(Input[Fee Schlr Aux],Input[Institution Name],$AI$1)+SUMIFS(Input[Fee Schlr R Exp],Input[Institution Name],$AI$1)+SUMIFS(Input[Fee Schlr Loan],Input[Institution Name],$AI$1)+SUMIFS(Input[Fee Schlr Annuity],Input[Institution Name],$AI$1)+SUMIFS(Input[Fee Schlr Unexp],Input[Institution Name],$AI$1)+SUMIFS(Input[Fee Schlr R of Ind],Input[Institution Name],$AI$1)+SUMIFS(Input[Fee Schlr Inv in P],Input[Institution Name],$AI$1)</f>
        <v>0</v>
      </c>
      <c r="AR44" s="520"/>
      <c r="AS44" s="520"/>
      <c r="AT44" s="534">
        <f t="shared" si="14"/>
        <v>0</v>
      </c>
      <c r="AU44" s="534"/>
      <c r="AV44" s="535"/>
      <c r="AW44" s="272"/>
      <c r="AX44" s="272"/>
      <c r="AY44" s="272"/>
    </row>
    <row r="45" spans="1:51" ht="27" customHeight="1" thickBot="1" x14ac:dyDescent="1.1000000000000001">
      <c r="A45" s="509" t="s">
        <v>109</v>
      </c>
      <c r="B45" s="510"/>
      <c r="C45" s="510"/>
      <c r="D45" s="510"/>
      <c r="E45" s="510"/>
      <c r="F45" s="510"/>
      <c r="G45" s="510"/>
      <c r="H45" s="510"/>
      <c r="I45" s="516">
        <f>SUM(I38,I40:I44)</f>
        <v>0</v>
      </c>
      <c r="J45" s="516"/>
      <c r="K45" s="516"/>
      <c r="L45" s="516">
        <f t="shared" si="12"/>
        <v>0</v>
      </c>
      <c r="M45" s="516"/>
      <c r="N45" s="517"/>
      <c r="O45" s="272"/>
      <c r="P45" s="319"/>
      <c r="Q45" s="272"/>
      <c r="R45" s="509" t="s">
        <v>109</v>
      </c>
      <c r="S45" s="510"/>
      <c r="T45" s="510"/>
      <c r="U45" s="510"/>
      <c r="V45" s="510"/>
      <c r="W45" s="510"/>
      <c r="X45" s="510"/>
      <c r="Y45" s="510"/>
      <c r="Z45" s="516">
        <f>SUM(Z38,Z40:Z44)</f>
        <v>0</v>
      </c>
      <c r="AA45" s="516"/>
      <c r="AB45" s="516"/>
      <c r="AC45" s="516">
        <f t="shared" si="13"/>
        <v>0</v>
      </c>
      <c r="AD45" s="516"/>
      <c r="AE45" s="517"/>
      <c r="AF45" s="272"/>
      <c r="AG45" s="319"/>
      <c r="AH45" s="270"/>
      <c r="AI45" s="509" t="s">
        <v>109</v>
      </c>
      <c r="AJ45" s="510"/>
      <c r="AK45" s="510"/>
      <c r="AL45" s="510"/>
      <c r="AM45" s="510"/>
      <c r="AN45" s="510"/>
      <c r="AO45" s="510"/>
      <c r="AP45" s="510"/>
      <c r="AQ45" s="516">
        <f>SUM(AQ38,AQ40:AQ44)</f>
        <v>0</v>
      </c>
      <c r="AR45" s="516"/>
      <c r="AS45" s="516"/>
      <c r="AT45" s="516">
        <f t="shared" si="14"/>
        <v>0</v>
      </c>
      <c r="AU45" s="516"/>
      <c r="AV45" s="517"/>
      <c r="AW45" s="272"/>
      <c r="AX45" s="272"/>
      <c r="AY45" s="272"/>
    </row>
    <row r="46" spans="1:51" ht="27" customHeight="1" thickBot="1" x14ac:dyDescent="1.1000000000000001">
      <c r="A46" s="274"/>
      <c r="B46" s="275"/>
      <c r="C46" s="275"/>
      <c r="D46" s="275"/>
      <c r="E46" s="275"/>
      <c r="F46" s="275"/>
      <c r="G46" s="275"/>
      <c r="H46" s="275"/>
      <c r="I46" s="275"/>
      <c r="J46" s="275"/>
      <c r="K46" s="275"/>
      <c r="L46" s="276"/>
      <c r="M46" s="22"/>
      <c r="N46" s="22"/>
      <c r="O46" s="272"/>
      <c r="P46" s="319"/>
      <c r="Q46" s="272"/>
      <c r="R46" s="274"/>
      <c r="S46" s="275"/>
      <c r="T46" s="275"/>
      <c r="U46" s="275"/>
      <c r="V46" s="275"/>
      <c r="W46" s="275"/>
      <c r="X46" s="275"/>
      <c r="Y46" s="275"/>
      <c r="Z46" s="275"/>
      <c r="AA46" s="275"/>
      <c r="AB46" s="275"/>
      <c r="AC46" s="276"/>
      <c r="AD46" s="22"/>
      <c r="AE46" s="22"/>
      <c r="AF46" s="272"/>
      <c r="AG46" s="319"/>
      <c r="AH46" s="270"/>
      <c r="AI46" s="274"/>
      <c r="AJ46" s="275"/>
      <c r="AK46" s="275"/>
      <c r="AL46" s="275"/>
      <c r="AM46" s="275"/>
      <c r="AN46" s="275"/>
      <c r="AO46" s="275"/>
      <c r="AP46" s="275"/>
      <c r="AQ46" s="275"/>
      <c r="AR46" s="275"/>
      <c r="AS46" s="275"/>
      <c r="AT46" s="276"/>
      <c r="AU46" s="22"/>
      <c r="AV46" s="22"/>
      <c r="AW46" s="272"/>
      <c r="AX46" s="272"/>
      <c r="AY46" s="272"/>
    </row>
    <row r="47" spans="1:51" ht="27" customHeight="1" thickBot="1" x14ac:dyDescent="1.1000000000000001">
      <c r="A47" s="509" t="s">
        <v>110</v>
      </c>
      <c r="B47" s="510"/>
      <c r="C47" s="510"/>
      <c r="D47" s="510"/>
      <c r="E47" s="510"/>
      <c r="F47" s="510"/>
      <c r="G47" s="510"/>
      <c r="H47" s="510"/>
      <c r="I47" s="516">
        <f>I30+I45</f>
        <v>0</v>
      </c>
      <c r="J47" s="516"/>
      <c r="K47" s="516"/>
      <c r="L47" s="516">
        <f>IFERROR(ROUND(I47/L$6,0),0)</f>
        <v>0</v>
      </c>
      <c r="M47" s="516"/>
      <c r="N47" s="517"/>
      <c r="O47" s="272"/>
      <c r="P47" s="319"/>
      <c r="Q47" s="272"/>
      <c r="R47" s="509" t="s">
        <v>110</v>
      </c>
      <c r="S47" s="510"/>
      <c r="T47" s="510"/>
      <c r="U47" s="510"/>
      <c r="V47" s="510"/>
      <c r="W47" s="510"/>
      <c r="X47" s="510"/>
      <c r="Y47" s="510"/>
      <c r="Z47" s="516">
        <f>Z30+Z45</f>
        <v>0</v>
      </c>
      <c r="AA47" s="516"/>
      <c r="AB47" s="516"/>
      <c r="AC47" s="516">
        <f>IFERROR(ROUND(Z47/AC$6,0),0)</f>
        <v>0</v>
      </c>
      <c r="AD47" s="516"/>
      <c r="AE47" s="517"/>
      <c r="AF47" s="272"/>
      <c r="AG47" s="319"/>
      <c r="AH47" s="270"/>
      <c r="AI47" s="509" t="s">
        <v>110</v>
      </c>
      <c r="AJ47" s="510"/>
      <c r="AK47" s="510"/>
      <c r="AL47" s="510"/>
      <c r="AM47" s="510"/>
      <c r="AN47" s="510"/>
      <c r="AO47" s="510"/>
      <c r="AP47" s="510"/>
      <c r="AQ47" s="516">
        <f>AQ30+AQ45</f>
        <v>0</v>
      </c>
      <c r="AR47" s="516"/>
      <c r="AS47" s="516"/>
      <c r="AT47" s="516">
        <f>IFERROR(ROUND(AQ47/AT$6,0),0)</f>
        <v>0</v>
      </c>
      <c r="AU47" s="516"/>
      <c r="AV47" s="517"/>
      <c r="AW47" s="272"/>
      <c r="AX47" s="272"/>
      <c r="AY47" s="272"/>
    </row>
    <row r="48" spans="1:51" ht="27" customHeight="1" thickBot="1" x14ac:dyDescent="1.1000000000000001">
      <c r="A48" s="251"/>
      <c r="B48" s="251"/>
      <c r="C48" s="251"/>
      <c r="D48" s="251"/>
      <c r="E48" s="251"/>
      <c r="F48" s="251"/>
      <c r="G48" s="251"/>
      <c r="H48" s="251"/>
      <c r="I48" s="252"/>
      <c r="J48" s="252"/>
      <c r="K48" s="252"/>
      <c r="L48" s="252"/>
      <c r="M48" s="22"/>
      <c r="N48" s="22"/>
      <c r="O48" s="272"/>
      <c r="P48" s="319"/>
      <c r="Q48" s="272"/>
      <c r="R48" s="251"/>
      <c r="S48" s="251"/>
      <c r="T48" s="251"/>
      <c r="U48" s="251"/>
      <c r="V48" s="251"/>
      <c r="W48" s="251"/>
      <c r="X48" s="251"/>
      <c r="Y48" s="251"/>
      <c r="Z48" s="252"/>
      <c r="AA48" s="252"/>
      <c r="AB48" s="252"/>
      <c r="AC48" s="252"/>
      <c r="AD48" s="22"/>
      <c r="AE48" s="22"/>
      <c r="AF48" s="272"/>
      <c r="AG48" s="319"/>
      <c r="AH48" s="270"/>
      <c r="AI48" s="251"/>
      <c r="AJ48" s="251"/>
      <c r="AK48" s="251"/>
      <c r="AL48" s="251"/>
      <c r="AM48" s="251"/>
      <c r="AN48" s="251"/>
      <c r="AO48" s="251"/>
      <c r="AP48" s="251"/>
      <c r="AQ48" s="252"/>
      <c r="AR48" s="252"/>
      <c r="AS48" s="252"/>
      <c r="AT48" s="252"/>
      <c r="AU48" s="22"/>
      <c r="AV48" s="22"/>
      <c r="AW48" s="272"/>
      <c r="AX48" s="272"/>
      <c r="AY48" s="272"/>
    </row>
    <row r="49" spans="1:51" ht="27" customHeight="1" thickBot="1" x14ac:dyDescent="1.1000000000000001">
      <c r="A49" s="543" t="s">
        <v>111</v>
      </c>
      <c r="B49" s="544"/>
      <c r="C49" s="544"/>
      <c r="D49" s="544"/>
      <c r="E49" s="544"/>
      <c r="F49" s="544"/>
      <c r="G49" s="544"/>
      <c r="H49" s="544"/>
      <c r="I49" s="545" t="s">
        <v>135</v>
      </c>
      <c r="J49" s="546"/>
      <c r="K49" s="546"/>
      <c r="L49" s="545" t="s">
        <v>136</v>
      </c>
      <c r="M49" s="546"/>
      <c r="N49" s="547"/>
      <c r="O49" s="272"/>
      <c r="P49" s="319"/>
      <c r="Q49" s="272"/>
      <c r="R49" s="543" t="s">
        <v>111</v>
      </c>
      <c r="S49" s="544"/>
      <c r="T49" s="544"/>
      <c r="U49" s="544"/>
      <c r="V49" s="544"/>
      <c r="W49" s="544"/>
      <c r="X49" s="544"/>
      <c r="Y49" s="544"/>
      <c r="Z49" s="545" t="s">
        <v>135</v>
      </c>
      <c r="AA49" s="546"/>
      <c r="AB49" s="546"/>
      <c r="AC49" s="545" t="s">
        <v>136</v>
      </c>
      <c r="AD49" s="546"/>
      <c r="AE49" s="547"/>
      <c r="AF49" s="272"/>
      <c r="AG49" s="319"/>
      <c r="AH49" s="270"/>
      <c r="AI49" s="543" t="s">
        <v>111</v>
      </c>
      <c r="AJ49" s="544"/>
      <c r="AK49" s="544"/>
      <c r="AL49" s="544"/>
      <c r="AM49" s="544"/>
      <c r="AN49" s="544"/>
      <c r="AO49" s="544"/>
      <c r="AP49" s="544"/>
      <c r="AQ49" s="545" t="s">
        <v>135</v>
      </c>
      <c r="AR49" s="546"/>
      <c r="AS49" s="546"/>
      <c r="AT49" s="545" t="s">
        <v>136</v>
      </c>
      <c r="AU49" s="546"/>
      <c r="AV49" s="547"/>
      <c r="AW49" s="272"/>
      <c r="AX49" s="272"/>
      <c r="AY49" s="272"/>
    </row>
    <row r="50" spans="1:51" ht="27" customHeight="1" thickBot="1" x14ac:dyDescent="1.1000000000000001">
      <c r="A50" s="537" t="s">
        <v>1645</v>
      </c>
      <c r="B50" s="538"/>
      <c r="C50" s="538"/>
      <c r="D50" s="538"/>
      <c r="E50" s="538"/>
      <c r="F50" s="538"/>
      <c r="G50" s="538"/>
      <c r="H50" s="539"/>
      <c r="I50" s="540">
        <f>SUMIFS(Input[Fed G&amp;C E&amp;G],Input[Institution Name],$A$1)+SUMIFS(Input[Fed G&amp;C Desg],Input[Institution Name],$A$1)+SUMIFS(Input[Fed G&amp;C Aux],Input[Institution Name],$A$1)+SUMIFS(Input[Fed G&amp;C R Exp],Input[Institution Name],$A$1)+SUMIFS(Input[Fed G&amp;C Loan],Input[Institution Name],$A$1)+SUMIFS(Input[Fed G&amp;C Annuity],Input[Institution Name],$A$1)+SUMIFS(Input[Fed G&amp;C Unexp],Input[Institution Name],$A$1)+SUMIFS(Input[Fed G&amp;C R of Ind],Input[Institution Name],$A$1)+SUMIFS(Input[Fed G&amp;C Inv in P],Input[Institution Name],$A$1)</f>
        <v>0</v>
      </c>
      <c r="J50" s="540"/>
      <c r="K50" s="540"/>
      <c r="L50" s="541">
        <f>IFERROR(ROUND(I50/L$6,0),0)</f>
        <v>0</v>
      </c>
      <c r="M50" s="541"/>
      <c r="N50" s="542"/>
      <c r="O50" s="272"/>
      <c r="P50" s="319"/>
      <c r="Q50" s="272"/>
      <c r="R50" s="537" t="s">
        <v>1645</v>
      </c>
      <c r="S50" s="538"/>
      <c r="T50" s="538"/>
      <c r="U50" s="538"/>
      <c r="V50" s="538"/>
      <c r="W50" s="538"/>
      <c r="X50" s="538"/>
      <c r="Y50" s="539"/>
      <c r="Z50" s="540">
        <f>SUMIFS(Input[Fed G&amp;C E&amp;G],Input[Institution Name],$R$1)+SUMIFS(Input[Fed G&amp;C Desg],Input[Institution Name],$R$1)+SUMIFS(Input[Fed G&amp;C Aux],Input[Institution Name],$R$1)+SUMIFS(Input[Fed G&amp;C R Exp],Input[Institution Name],$R$1)+SUMIFS(Input[Fed G&amp;C Loan],Input[Institution Name],$R$1)+SUMIFS(Input[Fed G&amp;C Annuity],Input[Institution Name],$R$1)+SUMIFS(Input[Fed G&amp;C Unexp],Input[Institution Name],$R$1)+SUMIFS(Input[Fed G&amp;C R of Ind],Input[Institution Name],$R$1)+SUMIFS(Input[Fed G&amp;C Inv in P],Input[Institution Name],$R$1)</f>
        <v>0</v>
      </c>
      <c r="AA50" s="540"/>
      <c r="AB50" s="540"/>
      <c r="AC50" s="541">
        <f>IFERROR(ROUND(Z50/AC$6,0),0)</f>
        <v>0</v>
      </c>
      <c r="AD50" s="541"/>
      <c r="AE50" s="542"/>
      <c r="AF50" s="272"/>
      <c r="AG50" s="319"/>
      <c r="AH50" s="270"/>
      <c r="AI50" s="537" t="s">
        <v>1645</v>
      </c>
      <c r="AJ50" s="538"/>
      <c r="AK50" s="538"/>
      <c r="AL50" s="538"/>
      <c r="AM50" s="538"/>
      <c r="AN50" s="538"/>
      <c r="AO50" s="538"/>
      <c r="AP50" s="539"/>
      <c r="AQ50" s="540">
        <f>SUMIFS(Input[Fed G&amp;C E&amp;G],Input[Institution Name],$AI$1)+SUMIFS(Input[Fed G&amp;C Desg],Input[Institution Name],$AI$1)+SUMIFS(Input[Fed G&amp;C Aux],Input[Institution Name],$AI$1)+SUMIFS(Input[Fed G&amp;C R Exp],Input[Institution Name],$AI$1)+SUMIFS(Input[Fed G&amp;C Loan],Input[Institution Name],$AI$1)+SUMIFS(Input[Fed G&amp;C Annuity],Input[Institution Name],$AI$1)+SUMIFS(Input[Fed G&amp;C Unexp],Input[Institution Name],$AI$1)+SUMIFS(Input[Fed G&amp;C R of Ind],Input[Institution Name],$AI$1)+SUMIFS(Input[Fed G&amp;C Inv in P],Input[Institution Name],$AI$1)</f>
        <v>0</v>
      </c>
      <c r="AR50" s="540"/>
      <c r="AS50" s="540"/>
      <c r="AT50" s="541">
        <f>IFERROR(ROUND(AQ50/AT$6,0),0)</f>
        <v>0</v>
      </c>
      <c r="AU50" s="541"/>
      <c r="AV50" s="542"/>
      <c r="AW50" s="272"/>
      <c r="AX50" s="272"/>
      <c r="AY50" s="272"/>
    </row>
    <row r="51" spans="1:51" ht="27" customHeight="1" thickBot="1" x14ac:dyDescent="1.1000000000000001">
      <c r="A51" s="251"/>
      <c r="B51" s="251"/>
      <c r="C51" s="251"/>
      <c r="D51" s="251"/>
      <c r="E51" s="251"/>
      <c r="F51" s="251"/>
      <c r="G51" s="251"/>
      <c r="H51" s="251"/>
      <c r="I51" s="252"/>
      <c r="J51" s="252"/>
      <c r="K51" s="252"/>
      <c r="L51" s="252"/>
      <c r="M51" s="22"/>
      <c r="N51" s="22"/>
      <c r="O51" s="272"/>
      <c r="P51" s="319"/>
      <c r="Q51" s="272"/>
      <c r="R51" s="251"/>
      <c r="S51" s="251"/>
      <c r="T51" s="251"/>
      <c r="U51" s="251"/>
      <c r="V51" s="251"/>
      <c r="W51" s="251"/>
      <c r="X51" s="251"/>
      <c r="Y51" s="251"/>
      <c r="Z51" s="252"/>
      <c r="AA51" s="252"/>
      <c r="AB51" s="252"/>
      <c r="AC51" s="252"/>
      <c r="AD51" s="22"/>
      <c r="AE51" s="22"/>
      <c r="AF51" s="272"/>
      <c r="AG51" s="319"/>
      <c r="AH51" s="270"/>
      <c r="AI51" s="251"/>
      <c r="AJ51" s="251"/>
      <c r="AK51" s="251"/>
      <c r="AL51" s="251"/>
      <c r="AM51" s="251"/>
      <c r="AN51" s="251"/>
      <c r="AO51" s="251"/>
      <c r="AP51" s="251"/>
      <c r="AQ51" s="252"/>
      <c r="AR51" s="252"/>
      <c r="AS51" s="252"/>
      <c r="AT51" s="252"/>
      <c r="AU51" s="22"/>
      <c r="AV51" s="22"/>
      <c r="AW51" s="272"/>
      <c r="AX51" s="272"/>
      <c r="AY51" s="272"/>
    </row>
    <row r="52" spans="1:51" ht="27" customHeight="1" thickBot="1" x14ac:dyDescent="1.1000000000000001">
      <c r="A52" s="543" t="s">
        <v>112</v>
      </c>
      <c r="B52" s="544"/>
      <c r="C52" s="544"/>
      <c r="D52" s="544"/>
      <c r="E52" s="544"/>
      <c r="F52" s="544"/>
      <c r="G52" s="544"/>
      <c r="H52" s="544"/>
      <c r="I52" s="545" t="s">
        <v>135</v>
      </c>
      <c r="J52" s="546"/>
      <c r="K52" s="546"/>
      <c r="L52" s="545" t="s">
        <v>136</v>
      </c>
      <c r="M52" s="546"/>
      <c r="N52" s="547"/>
      <c r="O52" s="272"/>
      <c r="P52" s="319"/>
      <c r="Q52" s="272"/>
      <c r="R52" s="543" t="s">
        <v>112</v>
      </c>
      <c r="S52" s="544"/>
      <c r="T52" s="544"/>
      <c r="U52" s="544"/>
      <c r="V52" s="544"/>
      <c r="W52" s="544"/>
      <c r="X52" s="544"/>
      <c r="Y52" s="544"/>
      <c r="Z52" s="545" t="s">
        <v>135</v>
      </c>
      <c r="AA52" s="546"/>
      <c r="AB52" s="546"/>
      <c r="AC52" s="545" t="s">
        <v>136</v>
      </c>
      <c r="AD52" s="546"/>
      <c r="AE52" s="547"/>
      <c r="AF52" s="272"/>
      <c r="AG52" s="319"/>
      <c r="AH52" s="270"/>
      <c r="AI52" s="543" t="s">
        <v>112</v>
      </c>
      <c r="AJ52" s="544"/>
      <c r="AK52" s="544"/>
      <c r="AL52" s="544"/>
      <c r="AM52" s="544"/>
      <c r="AN52" s="544"/>
      <c r="AO52" s="544"/>
      <c r="AP52" s="544"/>
      <c r="AQ52" s="545" t="s">
        <v>135</v>
      </c>
      <c r="AR52" s="546"/>
      <c r="AS52" s="546"/>
      <c r="AT52" s="545" t="s">
        <v>136</v>
      </c>
      <c r="AU52" s="546"/>
      <c r="AV52" s="547"/>
      <c r="AW52" s="272"/>
      <c r="AX52" s="272"/>
      <c r="AY52" s="272"/>
    </row>
    <row r="53" spans="1:51" ht="27" customHeight="1" thickBot="1" x14ac:dyDescent="1.1000000000000001">
      <c r="A53" s="537" t="s">
        <v>836</v>
      </c>
      <c r="B53" s="538"/>
      <c r="C53" s="538"/>
      <c r="D53" s="538"/>
      <c r="E53" s="538"/>
      <c r="F53" s="538"/>
      <c r="G53" s="538"/>
      <c r="H53" s="539"/>
      <c r="I53" s="590">
        <f>SUMIFS(Input[Prof Fees E&amp;G],Input[Institution Name],$A$1)
+SUMIFS(Input[Prof Fees Desg],Input[Institution Name],$A$1)
+SUMIFS(Input[Prof Fees Aux],Input[Institution Name],$A$1)
+SUMIFS(Input[Prof Fees R Exp],Input[Institution Name],$A$1)
+SUMIFS(Input[Prof Fees Loan],Input[Institution Name],$A$1)
+SUMIFS(Input[Prof Fees Annuity],Input[Institution Name],$A$1)
+SUMIFS(Input[Prof Fees Unexp],Input[Institution Name],$A$1)
+SUMIFS(Input[Prof Fees R of Ind],Input[Institution Name],$A$1)
+SUMIFS(Input[Prof Fees Inv in P],Input[Institution Name],$A$1)</f>
        <v>0</v>
      </c>
      <c r="J53" s="590"/>
      <c r="K53" s="590"/>
      <c r="L53" s="541">
        <f>IFERROR(ROUND(I53/L$6,0),0)</f>
        <v>0</v>
      </c>
      <c r="M53" s="541"/>
      <c r="N53" s="542"/>
      <c r="O53" s="272"/>
      <c r="P53" s="319"/>
      <c r="Q53" s="272"/>
      <c r="R53" s="537" t="s">
        <v>836</v>
      </c>
      <c r="S53" s="538"/>
      <c r="T53" s="538"/>
      <c r="U53" s="538"/>
      <c r="V53" s="538"/>
      <c r="W53" s="538"/>
      <c r="X53" s="538"/>
      <c r="Y53" s="539"/>
      <c r="Z53" s="590">
        <f>SUMIFS(Input[Prof Fees E&amp;G],Input[Institution Name],$R$1)
+SUMIFS(Input[Prof Fees Desg],Input[Institution Name],$R$1)
+SUMIFS(Input[Prof Fees Aux],Input[Institution Name],$R$1)
+SUMIFS(Input[Prof Fees R Exp],Input[Institution Name],$R$1)
+SUMIFS(Input[Prof Fees Loan],Input[Institution Name],$R$1)
+SUMIFS(Input[Prof Fees Annuity],Input[Institution Name],$R$1)
+SUMIFS(Input[Prof Fees Unexp],Input[Institution Name],$R$1)
+SUMIFS(Input[Prof Fees R of Ind],Input[Institution Name],$R$1)
+SUMIFS(Input[Prof Fees Inv in P],Input[Institution Name],$R$1)</f>
        <v>0</v>
      </c>
      <c r="AA53" s="590"/>
      <c r="AB53" s="590"/>
      <c r="AC53" s="541">
        <f>IFERROR(ROUND(Z53/AC$6,0),0)</f>
        <v>0</v>
      </c>
      <c r="AD53" s="541"/>
      <c r="AE53" s="542"/>
      <c r="AF53" s="272"/>
      <c r="AG53" s="319"/>
      <c r="AH53" s="270"/>
      <c r="AI53" s="537" t="s">
        <v>836</v>
      </c>
      <c r="AJ53" s="538"/>
      <c r="AK53" s="538"/>
      <c r="AL53" s="538"/>
      <c r="AM53" s="538"/>
      <c r="AN53" s="538"/>
      <c r="AO53" s="538"/>
      <c r="AP53" s="539"/>
      <c r="AQ53" s="590">
        <f>SUMIFS(Input[Prof Fees E&amp;G],Input[Institution Name],$AI$1)
+SUMIFS(Input[Prof Fees Desg],Input[Institution Name],$AI$1)
+SUMIFS(Input[Prof Fees Aux],Input[Institution Name],$AI$1)
+SUMIFS(Input[Prof Fees R Exp],Input[Institution Name],$AI$1)
+SUMIFS(Input[Prof Fees Loan],Input[Institution Name],$AI$1)
+SUMIFS(Input[Prof Fees Annuity],Input[Institution Name],$AI$1)
+SUMIFS(Input[Prof Fees Unexp],Input[Institution Name],$AI$1)
+SUMIFS(Input[Prof Fees R of Ind],Input[Institution Name],$AI$1)
+SUMIFS(Input[Prof Fees Inv in P],Input[Institution Name],$AI$1)</f>
        <v>0</v>
      </c>
      <c r="AR53" s="590"/>
      <c r="AS53" s="590"/>
      <c r="AT53" s="541">
        <f>IFERROR(ROUND(AQ53/AT$6,0),0)</f>
        <v>0</v>
      </c>
      <c r="AU53" s="541"/>
      <c r="AV53" s="542"/>
      <c r="AW53" s="272"/>
      <c r="AX53" s="272"/>
      <c r="AY53" s="272"/>
    </row>
    <row r="54" spans="1:51" ht="27" customHeight="1" thickBot="1" x14ac:dyDescent="1.1000000000000001">
      <c r="A54" s="251"/>
      <c r="B54" s="251"/>
      <c r="C54" s="251"/>
      <c r="D54" s="251"/>
      <c r="E54" s="251"/>
      <c r="F54" s="251"/>
      <c r="G54" s="251"/>
      <c r="H54" s="251"/>
      <c r="I54" s="252"/>
      <c r="J54" s="252"/>
      <c r="K54" s="252"/>
      <c r="L54" s="252"/>
      <c r="M54" s="22"/>
      <c r="N54" s="22"/>
      <c r="O54" s="272"/>
      <c r="P54" s="319"/>
      <c r="Q54" s="272"/>
      <c r="R54" s="251"/>
      <c r="S54" s="251"/>
      <c r="T54" s="251"/>
      <c r="U54" s="251"/>
      <c r="V54" s="251"/>
      <c r="W54" s="251"/>
      <c r="X54" s="251"/>
      <c r="Y54" s="251"/>
      <c r="Z54" s="252"/>
      <c r="AA54" s="252"/>
      <c r="AB54" s="252"/>
      <c r="AC54" s="252"/>
      <c r="AD54" s="22"/>
      <c r="AE54" s="22"/>
      <c r="AF54" s="272"/>
      <c r="AG54" s="319"/>
      <c r="AH54" s="270"/>
      <c r="AI54" s="251"/>
      <c r="AJ54" s="251"/>
      <c r="AK54" s="251"/>
      <c r="AL54" s="251"/>
      <c r="AM54" s="251"/>
      <c r="AN54" s="251"/>
      <c r="AO54" s="251"/>
      <c r="AP54" s="251"/>
      <c r="AQ54" s="252"/>
      <c r="AR54" s="252"/>
      <c r="AS54" s="252"/>
      <c r="AT54" s="252"/>
      <c r="AU54" s="22"/>
      <c r="AV54" s="22"/>
      <c r="AW54" s="272"/>
      <c r="AX54" s="272"/>
      <c r="AY54" s="272"/>
    </row>
    <row r="55" spans="1:51" ht="27" customHeight="1" thickBot="1" x14ac:dyDescent="1.1000000000000001">
      <c r="A55" s="543" t="s">
        <v>113</v>
      </c>
      <c r="B55" s="544"/>
      <c r="C55" s="544"/>
      <c r="D55" s="544"/>
      <c r="E55" s="544"/>
      <c r="F55" s="544"/>
      <c r="G55" s="544"/>
      <c r="H55" s="544"/>
      <c r="I55" s="545" t="s">
        <v>135</v>
      </c>
      <c r="J55" s="546"/>
      <c r="K55" s="546"/>
      <c r="L55" s="545" t="s">
        <v>136</v>
      </c>
      <c r="M55" s="546"/>
      <c r="N55" s="547"/>
      <c r="O55" s="272"/>
      <c r="P55" s="319"/>
      <c r="Q55" s="272"/>
      <c r="R55" s="543" t="s">
        <v>113</v>
      </c>
      <c r="S55" s="544"/>
      <c r="T55" s="544"/>
      <c r="U55" s="544"/>
      <c r="V55" s="544"/>
      <c r="W55" s="544"/>
      <c r="X55" s="544"/>
      <c r="Y55" s="544"/>
      <c r="Z55" s="545" t="s">
        <v>135</v>
      </c>
      <c r="AA55" s="546"/>
      <c r="AB55" s="546"/>
      <c r="AC55" s="545" t="s">
        <v>136</v>
      </c>
      <c r="AD55" s="546"/>
      <c r="AE55" s="547"/>
      <c r="AF55" s="272"/>
      <c r="AG55" s="319"/>
      <c r="AH55" s="270"/>
      <c r="AI55" s="543" t="s">
        <v>113</v>
      </c>
      <c r="AJ55" s="544"/>
      <c r="AK55" s="544"/>
      <c r="AL55" s="544"/>
      <c r="AM55" s="544"/>
      <c r="AN55" s="544"/>
      <c r="AO55" s="544"/>
      <c r="AP55" s="544"/>
      <c r="AQ55" s="545" t="s">
        <v>135</v>
      </c>
      <c r="AR55" s="546"/>
      <c r="AS55" s="546"/>
      <c r="AT55" s="545" t="s">
        <v>136</v>
      </c>
      <c r="AU55" s="546"/>
      <c r="AV55" s="547"/>
      <c r="AW55" s="272"/>
      <c r="AX55" s="272"/>
      <c r="AY55" s="272"/>
    </row>
    <row r="56" spans="1:51" ht="27" customHeight="1" thickBot="1" x14ac:dyDescent="1.1000000000000001">
      <c r="A56" s="537" t="s">
        <v>836</v>
      </c>
      <c r="B56" s="538"/>
      <c r="C56" s="538"/>
      <c r="D56" s="538"/>
      <c r="E56" s="538"/>
      <c r="F56" s="538"/>
      <c r="G56" s="538"/>
      <c r="H56" s="539"/>
      <c r="I56" s="540">
        <f>SUMIFS(Input[H&amp;C (OS) E&amp;G],Input[Institution Name],$A$1)
+SUMIFS(Input[H&amp;C (OS) Desg],Input[Institution Name],$A$1)
+SUMIFS(Input[H&amp;C (OS) Aux],Input[Institution Name],$A$1)
+SUMIFS(Input[H&amp;C (OS) R Exp],Input[Institution Name],$A$1)
+SUMIFS(Input[H&amp;C (OS) Loan],Input[Institution Name],$A$1)
+SUMIFS(Input[H&amp;C (OS) Annuity],Input[Institution Name],$A$1)
+SUMIFS(Input[H&amp;C (OS) Unexp],Input[Institution Name],$A$1)
+SUMIFS(Input[H&amp;C (OS) R of Ind],Input[Institution Name],$A$1)
+SUMIFS(Input[H&amp;C (OS) Inv in P],Input[Institution Name],$A$1)</f>
        <v>0</v>
      </c>
      <c r="J56" s="540"/>
      <c r="K56" s="540"/>
      <c r="L56" s="541">
        <f>IFERROR(ROUND(I56/L$6,0),0)</f>
        <v>0</v>
      </c>
      <c r="M56" s="541"/>
      <c r="N56" s="542"/>
      <c r="O56" s="272"/>
      <c r="P56" s="319"/>
      <c r="Q56" s="272"/>
      <c r="R56" s="537" t="s">
        <v>836</v>
      </c>
      <c r="S56" s="538"/>
      <c r="T56" s="538"/>
      <c r="U56" s="538"/>
      <c r="V56" s="538"/>
      <c r="W56" s="538"/>
      <c r="X56" s="538"/>
      <c r="Y56" s="539"/>
      <c r="Z56" s="540">
        <f>SUMIFS(Input[H&amp;C (OS) E&amp;G],Input[Institution Name],$R$1)
+SUMIFS(Input[H&amp;C (OS) Desg],Input[Institution Name],$R$1)
+SUMIFS(Input[H&amp;C (OS) Aux],Input[Institution Name],$R$1)
+SUMIFS(Input[H&amp;C (OS) R Exp],Input[Institution Name],$R$1)
+SUMIFS(Input[H&amp;C (OS) Loan],Input[Institution Name],$R$1)
+SUMIFS(Input[H&amp;C (OS) Annuity],Input[Institution Name],$R$1)
+SUMIFS(Input[H&amp;C (OS) Unexp],Input[Institution Name],$R$1)
+SUMIFS(Input[H&amp;C (OS) R of Ind],Input[Institution Name],$R$1)
+SUMIFS(Input[H&amp;C (OS) Inv in P],Input[Institution Name],$R$1)</f>
        <v>0</v>
      </c>
      <c r="AA56" s="540"/>
      <c r="AB56" s="540"/>
      <c r="AC56" s="541">
        <f>IFERROR(ROUND(Z56/AC$6,0),0)</f>
        <v>0</v>
      </c>
      <c r="AD56" s="541"/>
      <c r="AE56" s="542"/>
      <c r="AF56" s="272"/>
      <c r="AG56" s="319"/>
      <c r="AH56" s="270"/>
      <c r="AI56" s="537" t="s">
        <v>836</v>
      </c>
      <c r="AJ56" s="538"/>
      <c r="AK56" s="538"/>
      <c r="AL56" s="538"/>
      <c r="AM56" s="538"/>
      <c r="AN56" s="538"/>
      <c r="AO56" s="538"/>
      <c r="AP56" s="539"/>
      <c r="AQ56" s="540">
        <f>SUMIFS(Input[H&amp;C (OS) E&amp;G],Input[Institution Name],$AI$1)
+SUMIFS(Input[H&amp;C (OS) Desg],Input[Institution Name],$AI$1)
+SUMIFS(Input[H&amp;C (OS) Aux],Input[Institution Name],$AI$1)
+SUMIFS(Input[H&amp;C (OS) R Exp],Input[Institution Name],$AI$1)
+SUMIFS(Input[H&amp;C (OS) Loan],Input[Institution Name],$AI$1)
+SUMIFS(Input[H&amp;C (OS) Annuity],Input[Institution Name],$AI$1)
+SUMIFS(Input[H&amp;C (OS) Unexp],Input[Institution Name],$AI$1)
+SUMIFS(Input[H&amp;C (OS) R of Ind],Input[Institution Name],$AI$1)
+SUMIFS(Input[H&amp;C (OS) Inv in P],Input[Institution Name],$AI$1)</f>
        <v>0</v>
      </c>
      <c r="AR56" s="540"/>
      <c r="AS56" s="540"/>
      <c r="AT56" s="541">
        <f>IFERROR(ROUND(AQ56/AT$6,0),0)</f>
        <v>0</v>
      </c>
      <c r="AU56" s="541"/>
      <c r="AV56" s="542"/>
      <c r="AW56" s="272"/>
      <c r="AX56" s="272"/>
      <c r="AY56" s="272"/>
    </row>
    <row r="57" spans="1:51" ht="27" customHeight="1" thickBot="1" x14ac:dyDescent="1.1000000000000001">
      <c r="A57" s="274"/>
      <c r="B57" s="275"/>
      <c r="C57" s="275"/>
      <c r="D57" s="275"/>
      <c r="E57" s="275"/>
      <c r="F57" s="275"/>
      <c r="G57" s="275"/>
      <c r="H57" s="275"/>
      <c r="I57" s="275"/>
      <c r="J57" s="275"/>
      <c r="K57" s="275"/>
      <c r="L57" s="276"/>
      <c r="M57" s="22"/>
      <c r="N57" s="22"/>
      <c r="O57" s="272"/>
      <c r="P57" s="319"/>
      <c r="Q57" s="272"/>
      <c r="R57" s="274"/>
      <c r="S57" s="275"/>
      <c r="T57" s="275"/>
      <c r="U57" s="275"/>
      <c r="V57" s="275"/>
      <c r="W57" s="275"/>
      <c r="X57" s="275"/>
      <c r="Y57" s="275"/>
      <c r="Z57" s="275"/>
      <c r="AA57" s="275"/>
      <c r="AB57" s="275"/>
      <c r="AC57" s="276"/>
      <c r="AD57" s="22"/>
      <c r="AE57" s="22"/>
      <c r="AF57" s="272"/>
      <c r="AG57" s="319"/>
      <c r="AH57" s="270"/>
      <c r="AI57" s="274"/>
      <c r="AJ57" s="275"/>
      <c r="AK57" s="275"/>
      <c r="AL57" s="275"/>
      <c r="AM57" s="275"/>
      <c r="AN57" s="275"/>
      <c r="AO57" s="275"/>
      <c r="AP57" s="275"/>
      <c r="AQ57" s="275"/>
      <c r="AR57" s="275"/>
      <c r="AS57" s="275"/>
      <c r="AT57" s="276"/>
      <c r="AU57" s="22"/>
      <c r="AV57" s="22"/>
      <c r="AW57" s="272"/>
      <c r="AX57" s="272"/>
      <c r="AY57" s="272"/>
    </row>
    <row r="58" spans="1:51" ht="27" customHeight="1" thickBot="1" x14ac:dyDescent="1.1000000000000001">
      <c r="A58" s="543" t="s">
        <v>114</v>
      </c>
      <c r="B58" s="544"/>
      <c r="C58" s="544"/>
      <c r="D58" s="544"/>
      <c r="E58" s="544"/>
      <c r="F58" s="544"/>
      <c r="G58" s="544"/>
      <c r="H58" s="589"/>
      <c r="I58" s="545" t="s">
        <v>135</v>
      </c>
      <c r="J58" s="546"/>
      <c r="K58" s="546"/>
      <c r="L58" s="545" t="s">
        <v>136</v>
      </c>
      <c r="M58" s="546"/>
      <c r="N58" s="547"/>
      <c r="O58" s="272"/>
      <c r="P58" s="319"/>
      <c r="Q58" s="272"/>
      <c r="R58" s="543" t="s">
        <v>114</v>
      </c>
      <c r="S58" s="544"/>
      <c r="T58" s="544"/>
      <c r="U58" s="544"/>
      <c r="V58" s="544"/>
      <c r="W58" s="544"/>
      <c r="X58" s="544"/>
      <c r="Y58" s="589"/>
      <c r="Z58" s="545" t="s">
        <v>135</v>
      </c>
      <c r="AA58" s="546"/>
      <c r="AB58" s="546"/>
      <c r="AC58" s="545" t="s">
        <v>136</v>
      </c>
      <c r="AD58" s="546"/>
      <c r="AE58" s="547"/>
      <c r="AF58" s="272"/>
      <c r="AG58" s="319"/>
      <c r="AH58" s="270"/>
      <c r="AI58" s="543" t="s">
        <v>114</v>
      </c>
      <c r="AJ58" s="544"/>
      <c r="AK58" s="544"/>
      <c r="AL58" s="544"/>
      <c r="AM58" s="544"/>
      <c r="AN58" s="544"/>
      <c r="AO58" s="544"/>
      <c r="AP58" s="589"/>
      <c r="AQ58" s="545" t="s">
        <v>135</v>
      </c>
      <c r="AR58" s="546"/>
      <c r="AS58" s="546"/>
      <c r="AT58" s="545" t="s">
        <v>136</v>
      </c>
      <c r="AU58" s="546"/>
      <c r="AV58" s="547"/>
      <c r="AW58" s="272"/>
      <c r="AX58" s="272"/>
      <c r="AY58" s="272"/>
    </row>
    <row r="59" spans="1:51" ht="27" customHeight="1" x14ac:dyDescent="1.05">
      <c r="A59" s="522" t="s">
        <v>151</v>
      </c>
      <c r="B59" s="523"/>
      <c r="C59" s="523"/>
      <c r="D59" s="523"/>
      <c r="E59" s="523"/>
      <c r="F59" s="523"/>
      <c r="G59" s="523"/>
      <c r="H59" s="524"/>
      <c r="I59" s="518">
        <f>SUMIFS(Input[End &amp; Int Inc E&amp;G],Input[Institution Name],$A$1)+SUMIFS(Input[End &amp; Int Inc Desg],Input[Institution Name],$A$1)+SUMIFS(Input[End &amp; Int Inc Aux],Input[Institution Name],$A$1)+SUMIFS(Input[End &amp; Int Inc R Exp],Input[Institution Name],$A$1)+SUMIFS(Input[End &amp; Int Inc Loan],Input[Institution Name],$A$1)+SUMIFS(Input[End &amp; Int Inc Annuity],Input[Institution Name],$A$1)+SUMIFS(Input[End &amp; Int Inc Unexp],Input[Institution Name],$A$1)+SUMIFS(Input[End &amp; Int Inc R of Ind],Input[Institution Name],$A$1)+SUMIFS(Input[End &amp; Int Inc Inv in P],Input[Institution Name],$A$1)</f>
        <v>0</v>
      </c>
      <c r="J59" s="518"/>
      <c r="K59" s="518"/>
      <c r="L59" s="529">
        <f t="shared" ref="L59:L65" si="15">IFERROR(ROUND(I59/L$6,0),0)</f>
        <v>0</v>
      </c>
      <c r="M59" s="529"/>
      <c r="N59" s="530"/>
      <c r="O59" s="272"/>
      <c r="P59" s="319"/>
      <c r="Q59" s="272"/>
      <c r="R59" s="522" t="s">
        <v>151</v>
      </c>
      <c r="S59" s="523"/>
      <c r="T59" s="523"/>
      <c r="U59" s="523"/>
      <c r="V59" s="523"/>
      <c r="W59" s="523"/>
      <c r="X59" s="523"/>
      <c r="Y59" s="524"/>
      <c r="Z59" s="518">
        <f>SUMIFS(Input[End &amp; Int Inc E&amp;G],Input[Institution Name],$R$1)+SUMIFS(Input[End &amp; Int Inc Desg],Input[Institution Name],$R$1)+SUMIFS(Input[End &amp; Int Inc Aux],Input[Institution Name],$R$1)+SUMIFS(Input[End &amp; Int Inc R Exp],Input[Institution Name],$R$1)+SUMIFS(Input[End &amp; Int Inc Loan],Input[Institution Name],$R$1)+SUMIFS(Input[End &amp; Int Inc Annuity],Input[Institution Name],$R$1)+SUMIFS(Input[End &amp; Int Inc Unexp],Input[Institution Name],$R$1)+SUMIFS(Input[End &amp; Int Inc R of Ind],Input[Institution Name],$R$1)+SUMIFS(Input[End &amp; Int Inc Inv in P],Input[Institution Name],$R$1)</f>
        <v>0</v>
      </c>
      <c r="AA59" s="518"/>
      <c r="AB59" s="518"/>
      <c r="AC59" s="529">
        <f t="shared" ref="AC59:AC65" si="16">IFERROR(ROUND(Z59/AC$6,0),0)</f>
        <v>0</v>
      </c>
      <c r="AD59" s="529"/>
      <c r="AE59" s="530"/>
      <c r="AF59" s="272"/>
      <c r="AG59" s="319"/>
      <c r="AH59" s="270"/>
      <c r="AI59" s="522" t="s">
        <v>151</v>
      </c>
      <c r="AJ59" s="523"/>
      <c r="AK59" s="523"/>
      <c r="AL59" s="523"/>
      <c r="AM59" s="523"/>
      <c r="AN59" s="523"/>
      <c r="AO59" s="523"/>
      <c r="AP59" s="524"/>
      <c r="AQ59" s="518">
        <f>SUMIFS(Input[End &amp; Int Inc E&amp;G],Input[Institution Name],$AI$1)+SUMIFS(Input[End &amp; Int Inc Desg],Input[Institution Name],$AI$1)+SUMIFS(Input[End &amp; Int Inc Aux],Input[Institution Name],$AI$1)+SUMIFS(Input[End &amp; Int Inc R Exp],Input[Institution Name],$AI$1)+SUMIFS(Input[End &amp; Int Inc Loan],Input[Institution Name],$AI$1)+SUMIFS(Input[End &amp; Int Inc Annuity],Input[Institution Name],$AI$1)+SUMIFS(Input[End &amp; Int Inc Unexp],Input[Institution Name],$AI$1)+SUMIFS(Input[End &amp; Int Inc R of Ind],Input[Institution Name],$AI$1)+SUMIFS(Input[End &amp; Int Inc Inv in P],Input[Institution Name],$AI$1)</f>
        <v>0</v>
      </c>
      <c r="AR59" s="518"/>
      <c r="AS59" s="518"/>
      <c r="AT59" s="529">
        <f t="shared" ref="AT59:AT65" si="17">IFERROR(ROUND(AQ59/AT$6,0),0)</f>
        <v>0</v>
      </c>
      <c r="AU59" s="529"/>
      <c r="AV59" s="530"/>
      <c r="AW59" s="272"/>
      <c r="AX59" s="272"/>
      <c r="AY59" s="272"/>
    </row>
    <row r="60" spans="1:51" ht="27" customHeight="1" x14ac:dyDescent="1.05">
      <c r="A60" s="525" t="s">
        <v>146</v>
      </c>
      <c r="B60" s="434"/>
      <c r="C60" s="434"/>
      <c r="D60" s="434"/>
      <c r="E60" s="434"/>
      <c r="F60" s="434"/>
      <c r="G60" s="434"/>
      <c r="H60" s="435"/>
      <c r="I60" s="519">
        <f>SUMIFS(Input[Loc Gov G E&amp;G],Input[Institution Name],$A$1)+SUMIFS(Input[Loc Gov G Desg],Input[Institution Name],$A$1)+SUMIFS(Input[Loc Gov G Aux],Input[Institution Name],$A$1)+SUMIFS(Input[Loc Gov G R Exp],Input[Institution Name],$A$1)+SUMIFS(Input[Loc Gov G Loan],Input[Institution Name],$A$1)+SUMIFS(Input[Loc Gov G Annuity],Input[Institution Name],$A$1)+SUMIFS(Input[Loc Gov G Unexp],Input[Institution Name],$A$1)+SUMIFS(Input[Loc Gov G R of Ind],Input[Institution Name],$A$1)+SUMIFS(Input[Loc Gov G Inv in P],Input[Institution Name],$A$1)</f>
        <v>0</v>
      </c>
      <c r="J60" s="519"/>
      <c r="K60" s="519"/>
      <c r="L60" s="432">
        <f t="shared" si="15"/>
        <v>0</v>
      </c>
      <c r="M60" s="432"/>
      <c r="N60" s="536"/>
      <c r="O60" s="272"/>
      <c r="P60" s="319"/>
      <c r="Q60" s="272"/>
      <c r="R60" s="525" t="s">
        <v>146</v>
      </c>
      <c r="S60" s="434"/>
      <c r="T60" s="434"/>
      <c r="U60" s="434"/>
      <c r="V60" s="434"/>
      <c r="W60" s="434"/>
      <c r="X60" s="434"/>
      <c r="Y60" s="435"/>
      <c r="Z60" s="519">
        <f>SUMIFS(Input[Loc Gov G E&amp;G],Input[Institution Name],$R$1)+SUMIFS(Input[Loc Gov G Desg],Input[Institution Name],$R$1)+SUMIFS(Input[Loc Gov G Aux],Input[Institution Name],$R$1)+SUMIFS(Input[Loc Gov G R Exp],Input[Institution Name],$R$1)+SUMIFS(Input[Loc Gov G Loan],Input[Institution Name],$R$1)+SUMIFS(Input[Loc Gov G Annuity],Input[Institution Name],$R$1)+SUMIFS(Input[Loc Gov G Unexp],Input[Institution Name],$R$1)+SUMIFS(Input[Loc Gov G R of Ind],Input[Institution Name],$R$1)+SUMIFS(Input[Loc Gov G Inv in P],Input[Institution Name],$R$1)</f>
        <v>0</v>
      </c>
      <c r="AA60" s="519"/>
      <c r="AB60" s="519"/>
      <c r="AC60" s="432">
        <f t="shared" si="16"/>
        <v>0</v>
      </c>
      <c r="AD60" s="432"/>
      <c r="AE60" s="536"/>
      <c r="AF60" s="272"/>
      <c r="AG60" s="319"/>
      <c r="AH60" s="270"/>
      <c r="AI60" s="525" t="s">
        <v>146</v>
      </c>
      <c r="AJ60" s="434"/>
      <c r="AK60" s="434"/>
      <c r="AL60" s="434"/>
      <c r="AM60" s="434"/>
      <c r="AN60" s="434"/>
      <c r="AO60" s="434"/>
      <c r="AP60" s="435"/>
      <c r="AQ60" s="519">
        <f>SUMIFS(Input[Loc Gov G E&amp;G],Input[Institution Name],$AI$1)+SUMIFS(Input[Loc Gov G Desg],Input[Institution Name],$AI$1)+SUMIFS(Input[Loc Gov G Aux],Input[Institution Name],$AI$1)+SUMIFS(Input[Loc Gov G R Exp],Input[Institution Name],$AI$1)+SUMIFS(Input[Loc Gov G Loan],Input[Institution Name],$AI$1)+SUMIFS(Input[Loc Gov G Annuity],Input[Institution Name],$AI$1)+SUMIFS(Input[Loc Gov G Unexp],Input[Institution Name],$AI$1)+SUMIFS(Input[Loc Gov G R of Ind],Input[Institution Name],$AI$1)+SUMIFS(Input[Loc Gov G Inv in P],Input[Institution Name],$AI$1)</f>
        <v>0</v>
      </c>
      <c r="AR60" s="519"/>
      <c r="AS60" s="519"/>
      <c r="AT60" s="432">
        <f t="shared" si="17"/>
        <v>0</v>
      </c>
      <c r="AU60" s="432"/>
      <c r="AV60" s="536"/>
      <c r="AW60" s="272"/>
      <c r="AX60" s="272"/>
      <c r="AY60" s="272"/>
    </row>
    <row r="61" spans="1:51" ht="27" customHeight="1" x14ac:dyDescent="1.05">
      <c r="A61" s="525" t="s">
        <v>851</v>
      </c>
      <c r="B61" s="434"/>
      <c r="C61" s="434"/>
      <c r="D61" s="434"/>
      <c r="E61" s="434"/>
      <c r="F61" s="434"/>
      <c r="G61" s="434"/>
      <c r="H61" s="435"/>
      <c r="I61" s="519">
        <f>SUMIFS(Input[Pvt G&amp;G E&amp;G],Input[Institution Name],$A$1)+SUMIFS(Input[Pvt G&amp;G Desg],Input[Institution Name],$A$1)+SUMIFS(Input[Pvt G&amp;G Aux],Input[Institution Name],$A$1)+SUMIFS(Input[Pvt G&amp;G R Exp],Input[Institution Name],$A$1)+SUMIFS(Input[Pvt G&amp;G Loan],Input[Institution Name],$A$1)+SUMIFS(Input[Pvt G&amp;G Annuity],Input[Institution Name],$A$1)+SUMIFS(Input[Pvt G&amp;G Unexp],Input[Institution Name],$A$1)+SUMIFS(Input[Pvt G&amp;G R of Ind],Input[Institution Name],$A$1)+SUMIFS(Input[Pvt G&amp;G Inv in P],Input[Institution Name],$A$1)</f>
        <v>0</v>
      </c>
      <c r="J61" s="519"/>
      <c r="K61" s="519"/>
      <c r="L61" s="432">
        <f t="shared" si="15"/>
        <v>0</v>
      </c>
      <c r="M61" s="432"/>
      <c r="N61" s="536"/>
      <c r="O61" s="272"/>
      <c r="P61" s="319"/>
      <c r="Q61" s="272"/>
      <c r="R61" s="525" t="s">
        <v>851</v>
      </c>
      <c r="S61" s="434"/>
      <c r="T61" s="434"/>
      <c r="U61" s="434"/>
      <c r="V61" s="434"/>
      <c r="W61" s="434"/>
      <c r="X61" s="434"/>
      <c r="Y61" s="435"/>
      <c r="Z61" s="519">
        <f>SUMIFS(Input[Pvt G&amp;G E&amp;G],Input[Institution Name],$R$1)+SUMIFS(Input[Pvt G&amp;G Desg],Input[Institution Name],$R$1)+SUMIFS(Input[Pvt G&amp;G Aux],Input[Institution Name],$R$1)+SUMIFS(Input[Pvt G&amp;G R Exp],Input[Institution Name],$R$1)+SUMIFS(Input[Pvt G&amp;G Loan],Input[Institution Name],$R$1)+SUMIFS(Input[Pvt G&amp;G Annuity],Input[Institution Name],$R$1)+SUMIFS(Input[Pvt G&amp;G Unexp],Input[Institution Name],$R$1)+SUMIFS(Input[Pvt G&amp;G R of Ind],Input[Institution Name],$R$1)+SUMIFS(Input[Pvt G&amp;G Inv in P],Input[Institution Name],$R$1)</f>
        <v>0</v>
      </c>
      <c r="AA61" s="519"/>
      <c r="AB61" s="519"/>
      <c r="AC61" s="432">
        <f t="shared" si="16"/>
        <v>0</v>
      </c>
      <c r="AD61" s="432"/>
      <c r="AE61" s="536"/>
      <c r="AF61" s="272"/>
      <c r="AG61" s="319"/>
      <c r="AH61" s="270"/>
      <c r="AI61" s="525" t="s">
        <v>851</v>
      </c>
      <c r="AJ61" s="434"/>
      <c r="AK61" s="434"/>
      <c r="AL61" s="434"/>
      <c r="AM61" s="434"/>
      <c r="AN61" s="434"/>
      <c r="AO61" s="434"/>
      <c r="AP61" s="435"/>
      <c r="AQ61" s="519">
        <f>SUMIFS(Input[Pvt G&amp;G E&amp;G],Input[Institution Name],$AI$1)+SUMIFS(Input[Pvt G&amp;G Desg],Input[Institution Name],$AI$1)+SUMIFS(Input[Pvt G&amp;G Aux],Input[Institution Name],$AI$1)+SUMIFS(Input[Pvt G&amp;G R Exp],Input[Institution Name],$AI$1)+SUMIFS(Input[Pvt G&amp;G Loan],Input[Institution Name],$AI$1)+SUMIFS(Input[Pvt G&amp;G Annuity],Input[Institution Name],$AI$1)+SUMIFS(Input[Pvt G&amp;G Unexp],Input[Institution Name],$AI$1)+SUMIFS(Input[Pvt G&amp;G R of Ind],Input[Institution Name],$AI$1)+SUMIFS(Input[Pvt G&amp;G Inv in P],Input[Institution Name],$AI$1)</f>
        <v>0</v>
      </c>
      <c r="AR61" s="519"/>
      <c r="AS61" s="519"/>
      <c r="AT61" s="432">
        <f t="shared" si="17"/>
        <v>0</v>
      </c>
      <c r="AU61" s="432"/>
      <c r="AV61" s="536"/>
      <c r="AW61" s="272"/>
      <c r="AX61" s="272"/>
      <c r="AY61" s="272"/>
    </row>
    <row r="62" spans="1:51" ht="27" customHeight="1" x14ac:dyDescent="1.05">
      <c r="A62" s="525" t="s">
        <v>115</v>
      </c>
      <c r="B62" s="434"/>
      <c r="C62" s="434"/>
      <c r="D62" s="434"/>
      <c r="E62" s="434"/>
      <c r="F62" s="434"/>
      <c r="G62" s="434"/>
      <c r="H62" s="435"/>
      <c r="I62" s="519">
        <f>SUMIFS(Input[S&amp;S E&amp;G],Input[Institution Name],$A$1)+SUMIFS(Input[S&amp;S Desg],Input[Institution Name],$A$1)+SUMIFS(Input[S&amp;S Aux],Input[Institution Name],$A$1)+SUMIFS(Input[S&amp;S R Exp],Input[Institution Name],$A$1)+SUMIFS(Input[S&amp;S Loan],Input[Institution Name],$A$1)+SUMIFS(Input[S&amp;S Annuity],Input[Institution Name],$A$1)+SUMIFS(Input[S&amp;S Unexp],Input[Institution Name],$A$1)+SUMIFS(Input[S&amp;S R of Ind],Input[Institution Name],$A$1)+SUMIFS(Input[S&amp;S Inv in P],Input[Institution Name],$A$1)</f>
        <v>0</v>
      </c>
      <c r="J62" s="519"/>
      <c r="K62" s="519"/>
      <c r="L62" s="432">
        <f t="shared" si="15"/>
        <v>0</v>
      </c>
      <c r="M62" s="432"/>
      <c r="N62" s="536"/>
      <c r="O62" s="272"/>
      <c r="P62" s="319"/>
      <c r="Q62" s="272"/>
      <c r="R62" s="525" t="s">
        <v>115</v>
      </c>
      <c r="S62" s="434"/>
      <c r="T62" s="434"/>
      <c r="U62" s="434"/>
      <c r="V62" s="434"/>
      <c r="W62" s="434"/>
      <c r="X62" s="434"/>
      <c r="Y62" s="435"/>
      <c r="Z62" s="519">
        <f>SUMIFS(Input[S&amp;S E&amp;G],Input[Institution Name],$R$1)+SUMIFS(Input[S&amp;S Desg],Input[Institution Name],$R$1)+SUMIFS(Input[S&amp;S Aux],Input[Institution Name],$R$1)+SUMIFS(Input[S&amp;S R Exp],Input[Institution Name],$R$1)+SUMIFS(Input[S&amp;S Loan],Input[Institution Name],$R$1)+SUMIFS(Input[S&amp;S Annuity],Input[Institution Name],$R$1)+SUMIFS(Input[S&amp;S Unexp],Input[Institution Name],$R$1)+SUMIFS(Input[S&amp;S R of Ind],Input[Institution Name],$R$1)+SUMIFS(Input[S&amp;S Inv in P],Input[Institution Name],$R$1)</f>
        <v>0</v>
      </c>
      <c r="AA62" s="519"/>
      <c r="AB62" s="519"/>
      <c r="AC62" s="432">
        <f t="shared" si="16"/>
        <v>0</v>
      </c>
      <c r="AD62" s="432"/>
      <c r="AE62" s="536"/>
      <c r="AF62" s="272"/>
      <c r="AG62" s="319"/>
      <c r="AH62" s="270"/>
      <c r="AI62" s="525" t="s">
        <v>115</v>
      </c>
      <c r="AJ62" s="434"/>
      <c r="AK62" s="434"/>
      <c r="AL62" s="434"/>
      <c r="AM62" s="434"/>
      <c r="AN62" s="434"/>
      <c r="AO62" s="434"/>
      <c r="AP62" s="435"/>
      <c r="AQ62" s="519">
        <f>SUMIFS(Input[S&amp;S E&amp;G],Input[Institution Name],$AI$1)+SUMIFS(Input[S&amp;S Desg],Input[Institution Name],$AI$1)+SUMIFS(Input[S&amp;S Aux],Input[Institution Name],$AI$1)+SUMIFS(Input[S&amp;S R Exp],Input[Institution Name],$AI$1)+SUMIFS(Input[S&amp;S Loan],Input[Institution Name],$AI$1)+SUMIFS(Input[S&amp;S Annuity],Input[Institution Name],$AI$1)+SUMIFS(Input[S&amp;S Unexp],Input[Institution Name],$AI$1)+SUMIFS(Input[S&amp;S R of Ind],Input[Institution Name],$AI$1)+SUMIFS(Input[S&amp;S Inv in P],Input[Institution Name],$AI$1)</f>
        <v>0</v>
      </c>
      <c r="AR62" s="519"/>
      <c r="AS62" s="519"/>
      <c r="AT62" s="432">
        <f t="shared" si="17"/>
        <v>0</v>
      </c>
      <c r="AU62" s="432"/>
      <c r="AV62" s="536"/>
      <c r="AW62" s="272"/>
      <c r="AX62" s="272"/>
      <c r="AY62" s="272"/>
    </row>
    <row r="63" spans="1:51" ht="27" customHeight="1" x14ac:dyDescent="1.05">
      <c r="A63" s="525" t="s">
        <v>116</v>
      </c>
      <c r="B63" s="434"/>
      <c r="C63" s="434"/>
      <c r="D63" s="434"/>
      <c r="E63" s="434"/>
      <c r="F63" s="434"/>
      <c r="G63" s="434"/>
      <c r="H63" s="435"/>
      <c r="I63" s="519">
        <f>SUMIFS(Input[Net Aux Ent E&amp;G],Input[Institution Name],$A$1)+SUMIFS(Input[Net Aux Ent Desg],Input[Institution Name],$A$1)+SUMIFS(Input[Net Aux Ent Aux],Input[Institution Name],$A$1)+SUMIFS(Input[Net Aux Ent R Exp],Input[Institution Name],$A$1)+SUMIFS(Input[Net Aux Ent Loan],Input[Institution Name],$A$1)+SUMIFS(Input[Net Aux Ent Annuity],Input[Institution Name],$A$1)+SUMIFS(Input[Net Aux Ent Unexp],Input[Institution Name],$A$1)+SUMIFS(Input[Net Aux Ent R of Ind],Input[Institution Name],$A$1)+SUMIFS(Input[Net Aux Ent Inv in P],Input[Institution Name],$A$1)</f>
        <v>0</v>
      </c>
      <c r="J63" s="519"/>
      <c r="K63" s="519"/>
      <c r="L63" s="432">
        <f t="shared" si="15"/>
        <v>0</v>
      </c>
      <c r="M63" s="432"/>
      <c r="N63" s="536"/>
      <c r="O63" s="272"/>
      <c r="P63" s="319"/>
      <c r="Q63" s="272"/>
      <c r="R63" s="525" t="s">
        <v>116</v>
      </c>
      <c r="S63" s="434"/>
      <c r="T63" s="434"/>
      <c r="U63" s="434"/>
      <c r="V63" s="434"/>
      <c r="W63" s="434"/>
      <c r="X63" s="434"/>
      <c r="Y63" s="435"/>
      <c r="Z63" s="519">
        <f>SUMIFS(Input[Net Aux Ent E&amp;G],Input[Institution Name],$R$1)+SUMIFS(Input[Net Aux Ent Desg],Input[Institution Name],$R$1)+SUMIFS(Input[Net Aux Ent Aux],Input[Institution Name],$R$1)+SUMIFS(Input[Net Aux Ent R Exp],Input[Institution Name],$R$1)+SUMIFS(Input[Net Aux Ent Loan],Input[Institution Name],$R$1)+SUMIFS(Input[Net Aux Ent Annuity],Input[Institution Name],$R$1)+SUMIFS(Input[Net Aux Ent Unexp],Input[Institution Name],$R$1)+SUMIFS(Input[Net Aux Ent R of Ind],Input[Institution Name],$R$1)+SUMIFS(Input[Net Aux Ent Inv in P],Input[Institution Name],$R$1)</f>
        <v>0</v>
      </c>
      <c r="AA63" s="519"/>
      <c r="AB63" s="519"/>
      <c r="AC63" s="432">
        <f t="shared" si="16"/>
        <v>0</v>
      </c>
      <c r="AD63" s="432"/>
      <c r="AE63" s="536"/>
      <c r="AF63" s="272"/>
      <c r="AG63" s="319"/>
      <c r="AH63" s="270"/>
      <c r="AI63" s="525" t="s">
        <v>116</v>
      </c>
      <c r="AJ63" s="434"/>
      <c r="AK63" s="434"/>
      <c r="AL63" s="434"/>
      <c r="AM63" s="434"/>
      <c r="AN63" s="434"/>
      <c r="AO63" s="434"/>
      <c r="AP63" s="435"/>
      <c r="AQ63" s="519">
        <f>SUMIFS(Input[Net Aux Ent E&amp;G],Input[Institution Name],$AI$1)+SUMIFS(Input[Net Aux Ent Desg],Input[Institution Name],$AI$1)+SUMIFS(Input[Net Aux Ent Aux],Input[Institution Name],$AI$1)+SUMIFS(Input[Net Aux Ent R Exp],Input[Institution Name],$AI$1)+SUMIFS(Input[Net Aux Ent Loan],Input[Institution Name],$AI$1)+SUMIFS(Input[Net Aux Ent Annuity],Input[Institution Name],$AI$1)+SUMIFS(Input[Net Aux Ent Unexp],Input[Institution Name],$AI$1)+SUMIFS(Input[Net Aux Ent R of Ind],Input[Institution Name],$AI$1)+SUMIFS(Input[Net Aux Ent Inv in P],Input[Institution Name],$AI$1)</f>
        <v>0</v>
      </c>
      <c r="AR63" s="519"/>
      <c r="AS63" s="519"/>
      <c r="AT63" s="432">
        <f t="shared" si="17"/>
        <v>0</v>
      </c>
      <c r="AU63" s="432"/>
      <c r="AV63" s="536"/>
      <c r="AW63" s="272"/>
      <c r="AX63" s="272"/>
      <c r="AY63" s="272"/>
    </row>
    <row r="64" spans="1:51" ht="27" customHeight="1" thickBot="1" x14ac:dyDescent="1.1000000000000001">
      <c r="A64" s="525" t="s">
        <v>149</v>
      </c>
      <c r="B64" s="434"/>
      <c r="C64" s="434"/>
      <c r="D64" s="434"/>
      <c r="E64" s="434"/>
      <c r="F64" s="434"/>
      <c r="G64" s="434"/>
      <c r="H64" s="435"/>
      <c r="I64" s="520">
        <f>SUMIFS(Input[Oth Inc E&amp;G],Input[Institution Name],$A$1)+SUMIFS(Input[Oth Inc Desg],Input[Institution Name],$A$1)+SUMIFS(Input[Oth Inc Aux],Input[Institution Name],$A$1)+SUMIFS(Input[Oth Inc R Exp],Input[Institution Name],$A$1)+SUMIFS(Input[Oth Inc Loan],Input[Institution Name],$A$1)+SUMIFS(Input[Oth Inc Annuity],Input[Institution Name],$A$1)+SUMIFS(Input[Oth Inc Unexp],Input[Institution Name],$A$1)+SUMIFS(Input[Oth Inc R of Ind],Input[Institution Name],$A$1)+SUMIFS(Input[Oth Inc Inv in P],Input[Institution Name],$A$1)</f>
        <v>0</v>
      </c>
      <c r="J64" s="520"/>
      <c r="K64" s="520"/>
      <c r="L64" s="534">
        <f t="shared" si="15"/>
        <v>0</v>
      </c>
      <c r="M64" s="534"/>
      <c r="N64" s="535"/>
      <c r="O64" s="272"/>
      <c r="P64" s="319"/>
      <c r="Q64" s="272"/>
      <c r="R64" s="525" t="s">
        <v>149</v>
      </c>
      <c r="S64" s="434"/>
      <c r="T64" s="434"/>
      <c r="U64" s="434"/>
      <c r="V64" s="434"/>
      <c r="W64" s="434"/>
      <c r="X64" s="434"/>
      <c r="Y64" s="435"/>
      <c r="Z64" s="520">
        <f>SUMIFS(Input[Oth Inc E&amp;G],Input[Institution Name],$R$1)+SUMIFS(Input[Oth Inc Desg],Input[Institution Name],$R$1)+SUMIFS(Input[Oth Inc Aux],Input[Institution Name],$R$1)+SUMIFS(Input[Oth Inc R Exp],Input[Institution Name],$R$1)+SUMIFS(Input[Oth Inc Loan],Input[Institution Name],$R$1)+SUMIFS(Input[Oth Inc Annuity],Input[Institution Name],$R$1)+SUMIFS(Input[Oth Inc Unexp],Input[Institution Name],$R$1)+SUMIFS(Input[Oth Inc R of Ind],Input[Institution Name],$R$1)+SUMIFS(Input[Oth Inc Inv in P],Input[Institution Name],$R$1)</f>
        <v>0</v>
      </c>
      <c r="AA64" s="520"/>
      <c r="AB64" s="520"/>
      <c r="AC64" s="534">
        <f t="shared" si="16"/>
        <v>0</v>
      </c>
      <c r="AD64" s="534"/>
      <c r="AE64" s="535"/>
      <c r="AF64" s="272"/>
      <c r="AG64" s="319"/>
      <c r="AH64" s="270"/>
      <c r="AI64" s="525" t="s">
        <v>149</v>
      </c>
      <c r="AJ64" s="434"/>
      <c r="AK64" s="434"/>
      <c r="AL64" s="434"/>
      <c r="AM64" s="434"/>
      <c r="AN64" s="434"/>
      <c r="AO64" s="434"/>
      <c r="AP64" s="435"/>
      <c r="AQ64" s="520">
        <f>SUMIFS(Input[Oth Inc E&amp;G],Input[Institution Name],$AI$1)+SUMIFS(Input[Oth Inc Desg],Input[Institution Name],$AI$1)+SUMIFS(Input[Oth Inc Aux],Input[Institution Name],$AI$1)+SUMIFS(Input[Oth Inc R Exp],Input[Institution Name],$AI$1)+SUMIFS(Input[Oth Inc Loan],Input[Institution Name],$AI$1)+SUMIFS(Input[Oth Inc Annuity],Input[Institution Name],$AI$1)+SUMIFS(Input[Oth Inc Unexp],Input[Institution Name],$AI$1)+SUMIFS(Input[Oth Inc R of Ind],Input[Institution Name],$AI$1)+SUMIFS(Input[Oth Inc Inv in P],Input[Institution Name],$AI$1)</f>
        <v>0</v>
      </c>
      <c r="AR64" s="520"/>
      <c r="AS64" s="520"/>
      <c r="AT64" s="534">
        <f t="shared" si="17"/>
        <v>0</v>
      </c>
      <c r="AU64" s="534"/>
      <c r="AV64" s="535"/>
      <c r="AW64" s="272"/>
      <c r="AX64" s="272"/>
      <c r="AY64" s="272"/>
    </row>
    <row r="65" spans="1:51" ht="27" customHeight="1" thickBot="1" x14ac:dyDescent="1.1000000000000001">
      <c r="A65" s="509" t="s">
        <v>99</v>
      </c>
      <c r="B65" s="510"/>
      <c r="C65" s="510"/>
      <c r="D65" s="510"/>
      <c r="E65" s="510"/>
      <c r="F65" s="510"/>
      <c r="G65" s="510"/>
      <c r="H65" s="510"/>
      <c r="I65" s="516">
        <f>SUM(I59:I64)</f>
        <v>0</v>
      </c>
      <c r="J65" s="516"/>
      <c r="K65" s="516"/>
      <c r="L65" s="516">
        <f t="shared" si="15"/>
        <v>0</v>
      </c>
      <c r="M65" s="516"/>
      <c r="N65" s="517"/>
      <c r="O65" s="272"/>
      <c r="P65" s="319"/>
      <c r="Q65" s="272"/>
      <c r="R65" s="509" t="s">
        <v>99</v>
      </c>
      <c r="S65" s="510"/>
      <c r="T65" s="510"/>
      <c r="U65" s="510"/>
      <c r="V65" s="510"/>
      <c r="W65" s="510"/>
      <c r="X65" s="510"/>
      <c r="Y65" s="510"/>
      <c r="Z65" s="516">
        <f>SUM(Z59:Z64)</f>
        <v>0</v>
      </c>
      <c r="AA65" s="516"/>
      <c r="AB65" s="516"/>
      <c r="AC65" s="516">
        <f t="shared" si="16"/>
        <v>0</v>
      </c>
      <c r="AD65" s="516"/>
      <c r="AE65" s="517"/>
      <c r="AF65" s="272"/>
      <c r="AG65" s="319"/>
      <c r="AH65" s="270"/>
      <c r="AI65" s="509" t="s">
        <v>99</v>
      </c>
      <c r="AJ65" s="510"/>
      <c r="AK65" s="510"/>
      <c r="AL65" s="510"/>
      <c r="AM65" s="510"/>
      <c r="AN65" s="510"/>
      <c r="AO65" s="510"/>
      <c r="AP65" s="510"/>
      <c r="AQ65" s="516">
        <f>SUM(AQ59:AQ64)</f>
        <v>0</v>
      </c>
      <c r="AR65" s="516"/>
      <c r="AS65" s="516"/>
      <c r="AT65" s="516">
        <f t="shared" si="17"/>
        <v>0</v>
      </c>
      <c r="AU65" s="516"/>
      <c r="AV65" s="517"/>
      <c r="AW65" s="272"/>
      <c r="AX65" s="272"/>
      <c r="AY65" s="272"/>
    </row>
    <row r="66" spans="1:51" ht="27" customHeight="1" thickBot="1" x14ac:dyDescent="1.1000000000000001">
      <c r="A66" s="274"/>
      <c r="B66" s="275"/>
      <c r="C66" s="275"/>
      <c r="D66" s="275"/>
      <c r="E66" s="275"/>
      <c r="F66" s="275"/>
      <c r="G66" s="275"/>
      <c r="H66" s="275"/>
      <c r="I66" s="275"/>
      <c r="J66" s="275"/>
      <c r="K66" s="275"/>
      <c r="L66" s="276"/>
      <c r="M66" s="22"/>
      <c r="N66" s="22"/>
      <c r="O66" s="272"/>
      <c r="P66" s="319"/>
      <c r="Q66" s="272"/>
      <c r="R66" s="274"/>
      <c r="S66" s="275"/>
      <c r="T66" s="275"/>
      <c r="U66" s="275"/>
      <c r="V66" s="275"/>
      <c r="W66" s="275"/>
      <c r="X66" s="275"/>
      <c r="Y66" s="275"/>
      <c r="Z66" s="275"/>
      <c r="AA66" s="275"/>
      <c r="AB66" s="275"/>
      <c r="AC66" s="276"/>
      <c r="AD66" s="22"/>
      <c r="AE66" s="22"/>
      <c r="AF66" s="272"/>
      <c r="AG66" s="319"/>
      <c r="AH66" s="270"/>
      <c r="AI66" s="274"/>
      <c r="AJ66" s="275"/>
      <c r="AK66" s="275"/>
      <c r="AL66" s="275"/>
      <c r="AM66" s="275"/>
      <c r="AN66" s="275"/>
      <c r="AO66" s="275"/>
      <c r="AP66" s="275"/>
      <c r="AQ66" s="275"/>
      <c r="AR66" s="275"/>
      <c r="AS66" s="275"/>
      <c r="AT66" s="276"/>
      <c r="AU66" s="22"/>
      <c r="AV66" s="22"/>
      <c r="AW66" s="272"/>
      <c r="AX66" s="272"/>
      <c r="AY66" s="272"/>
    </row>
    <row r="67" spans="1:51" ht="27" customHeight="1" thickBot="1" x14ac:dyDescent="1.1000000000000001">
      <c r="A67" s="509" t="s">
        <v>117</v>
      </c>
      <c r="B67" s="510"/>
      <c r="C67" s="510"/>
      <c r="D67" s="510"/>
      <c r="E67" s="510"/>
      <c r="F67" s="510"/>
      <c r="G67" s="510"/>
      <c r="H67" s="510"/>
      <c r="I67" s="516">
        <f>SUM(I14,I30,I45,I50,I53,I56,I65)</f>
        <v>0</v>
      </c>
      <c r="J67" s="516"/>
      <c r="K67" s="516"/>
      <c r="L67" s="516">
        <f>IFERROR(ROUND(I67/L$6,0),0)</f>
        <v>0</v>
      </c>
      <c r="M67" s="516"/>
      <c r="N67" s="517"/>
      <c r="O67" s="272"/>
      <c r="P67" s="319"/>
      <c r="Q67" s="272"/>
      <c r="R67" s="509" t="s">
        <v>117</v>
      </c>
      <c r="S67" s="510"/>
      <c r="T67" s="510"/>
      <c r="U67" s="510"/>
      <c r="V67" s="510"/>
      <c r="W67" s="510"/>
      <c r="X67" s="510"/>
      <c r="Y67" s="510"/>
      <c r="Z67" s="516">
        <f>SUM(Z14,Z30,Z45,Z50,Z53,Z56,Z65)</f>
        <v>0</v>
      </c>
      <c r="AA67" s="516"/>
      <c r="AB67" s="516"/>
      <c r="AC67" s="516">
        <f>IFERROR(ROUND(Z67/AC$6,0),0)</f>
        <v>0</v>
      </c>
      <c r="AD67" s="516"/>
      <c r="AE67" s="517"/>
      <c r="AF67" s="272"/>
      <c r="AG67" s="319"/>
      <c r="AH67" s="270"/>
      <c r="AI67" s="509" t="s">
        <v>117</v>
      </c>
      <c r="AJ67" s="510"/>
      <c r="AK67" s="510"/>
      <c r="AL67" s="510"/>
      <c r="AM67" s="510"/>
      <c r="AN67" s="510"/>
      <c r="AO67" s="510"/>
      <c r="AP67" s="510"/>
      <c r="AQ67" s="516">
        <f>SUM(AQ14,AQ30,AQ45,AQ50,AQ53,AQ56,AQ65)</f>
        <v>0</v>
      </c>
      <c r="AR67" s="516"/>
      <c r="AS67" s="516"/>
      <c r="AT67" s="516">
        <f>IFERROR(ROUND(AQ67/AT$6,0),0)</f>
        <v>0</v>
      </c>
      <c r="AU67" s="516"/>
      <c r="AV67" s="517"/>
      <c r="AW67" s="272"/>
      <c r="AX67" s="272"/>
      <c r="AY67" s="272"/>
    </row>
    <row r="68" spans="1:51" ht="27" customHeight="1" thickBot="1" x14ac:dyDescent="1.1000000000000001">
      <c r="A68" s="274"/>
      <c r="B68" s="275"/>
      <c r="C68" s="275"/>
      <c r="D68" s="275"/>
      <c r="E68" s="275"/>
      <c r="F68" s="275"/>
      <c r="G68" s="275"/>
      <c r="H68" s="275"/>
      <c r="I68" s="275"/>
      <c r="J68" s="275"/>
      <c r="K68" s="275"/>
      <c r="L68" s="276"/>
      <c r="M68" s="22"/>
      <c r="N68" s="22"/>
      <c r="O68" s="272"/>
      <c r="P68" s="319"/>
      <c r="Q68" s="272"/>
      <c r="R68" s="274"/>
      <c r="S68" s="275"/>
      <c r="T68" s="275"/>
      <c r="U68" s="275"/>
      <c r="V68" s="275"/>
      <c r="W68" s="275"/>
      <c r="X68" s="275"/>
      <c r="Y68" s="275"/>
      <c r="Z68" s="275"/>
      <c r="AA68" s="275"/>
      <c r="AB68" s="275"/>
      <c r="AC68" s="276"/>
      <c r="AD68" s="22"/>
      <c r="AE68" s="22"/>
      <c r="AF68" s="272"/>
      <c r="AG68" s="319"/>
      <c r="AH68" s="270"/>
      <c r="AI68" s="274"/>
      <c r="AJ68" s="275"/>
      <c r="AK68" s="275"/>
      <c r="AL68" s="275"/>
      <c r="AM68" s="275"/>
      <c r="AN68" s="275"/>
      <c r="AO68" s="275"/>
      <c r="AP68" s="275"/>
      <c r="AQ68" s="275"/>
      <c r="AR68" s="275"/>
      <c r="AS68" s="275"/>
      <c r="AT68" s="276"/>
      <c r="AU68" s="22"/>
      <c r="AV68" s="22"/>
      <c r="AW68" s="272"/>
      <c r="AX68" s="272"/>
      <c r="AY68" s="272"/>
    </row>
    <row r="69" spans="1:51" ht="31.95" customHeight="1" thickBot="1" x14ac:dyDescent="1.1000000000000001">
      <c r="A69" s="565" t="s">
        <v>118</v>
      </c>
      <c r="B69" s="566"/>
      <c r="C69" s="566"/>
      <c r="D69" s="566"/>
      <c r="E69" s="566"/>
      <c r="F69" s="566"/>
      <c r="G69" s="566"/>
      <c r="H69" s="566"/>
      <c r="I69" s="566"/>
      <c r="J69" s="566"/>
      <c r="K69" s="566"/>
      <c r="L69" s="566"/>
      <c r="M69" s="566"/>
      <c r="N69" s="567"/>
      <c r="O69" s="272"/>
      <c r="P69" s="319"/>
      <c r="Q69" s="272"/>
      <c r="R69" s="565" t="s">
        <v>118</v>
      </c>
      <c r="S69" s="566"/>
      <c r="T69" s="566"/>
      <c r="U69" s="566"/>
      <c r="V69" s="566"/>
      <c r="W69" s="566"/>
      <c r="X69" s="566"/>
      <c r="Y69" s="566"/>
      <c r="Z69" s="566"/>
      <c r="AA69" s="566"/>
      <c r="AB69" s="566"/>
      <c r="AC69" s="566"/>
      <c r="AD69" s="566"/>
      <c r="AE69" s="567"/>
      <c r="AF69" s="272"/>
      <c r="AG69" s="319"/>
      <c r="AH69" s="270"/>
      <c r="AI69" s="565" t="s">
        <v>118</v>
      </c>
      <c r="AJ69" s="566"/>
      <c r="AK69" s="566"/>
      <c r="AL69" s="566"/>
      <c r="AM69" s="566"/>
      <c r="AN69" s="566"/>
      <c r="AO69" s="566"/>
      <c r="AP69" s="566"/>
      <c r="AQ69" s="566"/>
      <c r="AR69" s="566"/>
      <c r="AS69" s="566"/>
      <c r="AT69" s="566"/>
      <c r="AU69" s="566"/>
      <c r="AV69" s="567"/>
      <c r="AW69" s="272"/>
      <c r="AX69" s="272"/>
      <c r="AY69" s="272"/>
    </row>
    <row r="70" spans="1:51" ht="27" customHeight="1" thickBot="1" x14ac:dyDescent="1.1000000000000001">
      <c r="A70" s="543" t="s">
        <v>119</v>
      </c>
      <c r="B70" s="544"/>
      <c r="C70" s="544"/>
      <c r="D70" s="544"/>
      <c r="E70" s="544"/>
      <c r="F70" s="544"/>
      <c r="G70" s="544"/>
      <c r="H70" s="544"/>
      <c r="I70" s="545" t="s">
        <v>135</v>
      </c>
      <c r="J70" s="546"/>
      <c r="K70" s="546"/>
      <c r="L70" s="545" t="s">
        <v>136</v>
      </c>
      <c r="M70" s="546"/>
      <c r="N70" s="547"/>
      <c r="O70" s="272"/>
      <c r="P70" s="319"/>
      <c r="Q70" s="272"/>
      <c r="R70" s="543" t="s">
        <v>119</v>
      </c>
      <c r="S70" s="544"/>
      <c r="T70" s="544"/>
      <c r="U70" s="544"/>
      <c r="V70" s="544"/>
      <c r="W70" s="544"/>
      <c r="X70" s="544"/>
      <c r="Y70" s="544"/>
      <c r="Z70" s="545" t="s">
        <v>135</v>
      </c>
      <c r="AA70" s="546"/>
      <c r="AB70" s="546"/>
      <c r="AC70" s="545" t="s">
        <v>136</v>
      </c>
      <c r="AD70" s="546"/>
      <c r="AE70" s="547"/>
      <c r="AF70" s="272"/>
      <c r="AG70" s="319"/>
      <c r="AH70" s="270"/>
      <c r="AI70" s="543" t="s">
        <v>119</v>
      </c>
      <c r="AJ70" s="544"/>
      <c r="AK70" s="544"/>
      <c r="AL70" s="544"/>
      <c r="AM70" s="544"/>
      <c r="AN70" s="544"/>
      <c r="AO70" s="544"/>
      <c r="AP70" s="544"/>
      <c r="AQ70" s="545" t="s">
        <v>135</v>
      </c>
      <c r="AR70" s="546"/>
      <c r="AS70" s="546"/>
      <c r="AT70" s="545" t="s">
        <v>136</v>
      </c>
      <c r="AU70" s="546"/>
      <c r="AV70" s="547"/>
      <c r="AW70" s="272"/>
      <c r="AX70" s="272"/>
      <c r="AY70" s="272"/>
    </row>
    <row r="71" spans="1:51" ht="27" customHeight="1" x14ac:dyDescent="1.05">
      <c r="A71" s="522" t="s">
        <v>34</v>
      </c>
      <c r="B71" s="523"/>
      <c r="C71" s="523"/>
      <c r="D71" s="523"/>
      <c r="E71" s="523"/>
      <c r="F71" s="523"/>
      <c r="G71" s="523"/>
      <c r="H71" s="524"/>
      <c r="I71" s="518">
        <f>SUMIFS(Input[Instr E&amp;G],Input[Institution Name],$A$1)+SUMIFS(Input[Instr Desg],Input[Institution Name],$A$1)+SUMIFS(Input[Instr Aux],Input[Institution Name],$A$1)+SUMIFS(Input[Instr R Exp],Input[Institution Name],$A$1)+SUMIFS(Input[Instr Loan],Input[Institution Name],$A$1)+SUMIFS(Input[Instr Annuity],Input[Institution Name],$A$1)+SUMIFS(Input[Instr Unexp],Input[Institution Name],$A$1)+SUMIFS(Input[Instr R of Ind],Input[Institution Name],$A$1)+SUMIFS(Input[Instr Inv in P],Input[Institution Name],$A$1)</f>
        <v>0</v>
      </c>
      <c r="J71" s="518"/>
      <c r="K71" s="518"/>
      <c r="L71" s="529">
        <f t="shared" ref="L71:L83" si="18">IFERROR(ROUND(I71/L$6,0),0)</f>
        <v>0</v>
      </c>
      <c r="M71" s="529"/>
      <c r="N71" s="530"/>
      <c r="O71" s="272"/>
      <c r="P71" s="319"/>
      <c r="Q71" s="272"/>
      <c r="R71" s="522" t="s">
        <v>34</v>
      </c>
      <c r="S71" s="523"/>
      <c r="T71" s="523"/>
      <c r="U71" s="523"/>
      <c r="V71" s="523"/>
      <c r="W71" s="523"/>
      <c r="X71" s="523"/>
      <c r="Y71" s="524"/>
      <c r="Z71" s="518">
        <f>SUMIFS(Input[Instr E&amp;G],Input[Institution Name],$R$1)+SUMIFS(Input[Instr Desg],Input[Institution Name],$R$1)+SUMIFS(Input[Instr Aux],Input[Institution Name],$R$1)+SUMIFS(Input[Instr R Exp],Input[Institution Name],$R$1)+SUMIFS(Input[Instr Loan],Input[Institution Name],$R$1)+SUMIFS(Input[Instr Annuity],Input[Institution Name],$R$1)+SUMIFS(Input[Instr Unexp],Input[Institution Name],$R$1)+SUMIFS(Input[Instr R of Ind],Input[Institution Name],$R$1)+SUMIFS(Input[Instr Inv in P],Input[Institution Name],$R$1)</f>
        <v>0</v>
      </c>
      <c r="AA71" s="518"/>
      <c r="AB71" s="518"/>
      <c r="AC71" s="529">
        <f t="shared" ref="AC71:AC83" si="19">IFERROR(ROUND(Z71/AC$6,0),0)</f>
        <v>0</v>
      </c>
      <c r="AD71" s="529"/>
      <c r="AE71" s="530"/>
      <c r="AF71" s="272"/>
      <c r="AG71" s="319"/>
      <c r="AH71" s="270"/>
      <c r="AI71" s="522" t="s">
        <v>34</v>
      </c>
      <c r="AJ71" s="523"/>
      <c r="AK71" s="523"/>
      <c r="AL71" s="523"/>
      <c r="AM71" s="523"/>
      <c r="AN71" s="523"/>
      <c r="AO71" s="523"/>
      <c r="AP71" s="524"/>
      <c r="AQ71" s="518">
        <f>SUMIFS(Input[Instr E&amp;G],Input[Institution Name],$AI$1)+SUMIFS(Input[Instr Desg],Input[Institution Name],$AI$1)+SUMIFS(Input[Instr Aux],Input[Institution Name],$AI$1)+SUMIFS(Input[Instr R Exp],Input[Institution Name],$AI$1)+SUMIFS(Input[Instr Loan],Input[Institution Name],$AI$1)+SUMIFS(Input[Instr Annuity],Input[Institution Name],$AI$1)+SUMIFS(Input[Instr Unexp],Input[Institution Name],$AI$1)+SUMIFS(Input[Instr R of Ind],Input[Institution Name],$AI$1)+SUMIFS(Input[Instr Inv in P],Input[Institution Name],$AI$1)</f>
        <v>0</v>
      </c>
      <c r="AR71" s="518"/>
      <c r="AS71" s="518"/>
      <c r="AT71" s="529">
        <f t="shared" ref="AT71:AT83" si="20">IFERROR(ROUND(AQ71/AT$6,0),0)</f>
        <v>0</v>
      </c>
      <c r="AU71" s="529"/>
      <c r="AV71" s="530"/>
      <c r="AW71" s="272"/>
      <c r="AX71" s="272"/>
      <c r="AY71" s="272"/>
    </row>
    <row r="72" spans="1:51" ht="27" customHeight="1" x14ac:dyDescent="1.05">
      <c r="A72" s="525" t="s">
        <v>35</v>
      </c>
      <c r="B72" s="434"/>
      <c r="C72" s="434"/>
      <c r="D72" s="434"/>
      <c r="E72" s="434"/>
      <c r="F72" s="434"/>
      <c r="G72" s="434"/>
      <c r="H72" s="435"/>
      <c r="I72" s="519">
        <f>SUMIFS(Input[Res E&amp;G],Input[Institution Name],$A$1)+SUMIFS(Input[Res Desg],Input[Institution Name],$A$1)+SUMIFS(Input[Res Aux],Input[Institution Name],$A$1)+SUMIFS(Input[Res R Exp],Input[Institution Name],$A$1)+SUMIFS(Input[Res Loan],Input[Institution Name],$A$1)+SUMIFS(Input[Res Annuity],Input[Institution Name],$A$1)+SUMIFS(Input[Res Unexp],Input[Institution Name],$A$1)+SUMIFS(Input[Res R of Ind],Input[Institution Name],$A$1)+SUMIFS(Input[Res Inv in P],Input[Institution Name],$A$1)</f>
        <v>0</v>
      </c>
      <c r="J72" s="519"/>
      <c r="K72" s="519"/>
      <c r="L72" s="432">
        <f t="shared" si="18"/>
        <v>0</v>
      </c>
      <c r="M72" s="432"/>
      <c r="N72" s="536"/>
      <c r="O72" s="272"/>
      <c r="P72" s="319"/>
      <c r="Q72" s="272"/>
      <c r="R72" s="525" t="s">
        <v>35</v>
      </c>
      <c r="S72" s="434"/>
      <c r="T72" s="434"/>
      <c r="U72" s="434"/>
      <c r="V72" s="434"/>
      <c r="W72" s="434"/>
      <c r="X72" s="434"/>
      <c r="Y72" s="435"/>
      <c r="Z72" s="519">
        <f>SUMIFS(Input[Res E&amp;G],Input[Institution Name],$R$1)+SUMIFS(Input[Res Desg],Input[Institution Name],$R$1)+SUMIFS(Input[Res Aux],Input[Institution Name],$R$1)+SUMIFS(Input[Res R Exp],Input[Institution Name],$R$1)+SUMIFS(Input[Res Loan],Input[Institution Name],$R$1)+SUMIFS(Input[Res Annuity],Input[Institution Name],$R$1)+SUMIFS(Input[Res Unexp],Input[Institution Name],$R$1)+SUMIFS(Input[Res R of Ind],Input[Institution Name],$R$1)+SUMIFS(Input[Res Inv in P],Input[Institution Name],$R$1)</f>
        <v>0</v>
      </c>
      <c r="AA72" s="519"/>
      <c r="AB72" s="519"/>
      <c r="AC72" s="432">
        <f t="shared" si="19"/>
        <v>0</v>
      </c>
      <c r="AD72" s="432"/>
      <c r="AE72" s="536"/>
      <c r="AF72" s="272"/>
      <c r="AG72" s="319"/>
      <c r="AH72" s="270"/>
      <c r="AI72" s="525" t="s">
        <v>35</v>
      </c>
      <c r="AJ72" s="434"/>
      <c r="AK72" s="434"/>
      <c r="AL72" s="434"/>
      <c r="AM72" s="434"/>
      <c r="AN72" s="434"/>
      <c r="AO72" s="434"/>
      <c r="AP72" s="435"/>
      <c r="AQ72" s="519">
        <f>SUMIFS(Input[Res E&amp;G],Input[Institution Name],$AI$1)+SUMIFS(Input[Res Desg],Input[Institution Name],$AI$1)+SUMIFS(Input[Res Aux],Input[Institution Name],$AI$1)+SUMIFS(Input[Res R Exp],Input[Institution Name],$AI$1)+SUMIFS(Input[Res Loan],Input[Institution Name],$AI$1)+SUMIFS(Input[Res Annuity],Input[Institution Name],$AI$1)+SUMIFS(Input[Res Unexp],Input[Institution Name],$AI$1)+SUMIFS(Input[Res R of Ind],Input[Institution Name],$AI$1)+SUMIFS(Input[Res Inv in P],Input[Institution Name],$AI$1)</f>
        <v>0</v>
      </c>
      <c r="AR72" s="519"/>
      <c r="AS72" s="519"/>
      <c r="AT72" s="432">
        <f t="shared" si="20"/>
        <v>0</v>
      </c>
      <c r="AU72" s="432"/>
      <c r="AV72" s="536"/>
      <c r="AW72" s="272"/>
      <c r="AX72" s="272"/>
      <c r="AY72" s="272"/>
    </row>
    <row r="73" spans="1:51" ht="27" customHeight="1" x14ac:dyDescent="1.05">
      <c r="A73" s="525" t="s">
        <v>120</v>
      </c>
      <c r="B73" s="434"/>
      <c r="C73" s="434"/>
      <c r="D73" s="434"/>
      <c r="E73" s="434"/>
      <c r="F73" s="434"/>
      <c r="G73" s="434"/>
      <c r="H73" s="435"/>
      <c r="I73" s="519">
        <f>SUMIFS(Input[Pub Srv E&amp;G],Input[Institution Name],$A$1)+SUMIFS(Input[Pub Srv Desg],Input[Institution Name],$A$1)+SUMIFS(Input[Pub Srv Aux],Input[Institution Name],$A$1)+SUMIFS(Input[Pub Srv R Exp],Input[Institution Name],$A$1)+SUMIFS(Input[Pub Srv Loan],Input[Institution Name],$A$1)+SUMIFS(Input[Pub Srv Annuity],Input[Institution Name],$A$1)+SUMIFS(Input[Pub Srv Unexp],Input[Institution Name],$A$1)+SUMIFS(Input[Pub Srv R of Ind],Input[Institution Name],$A$1)+SUMIFS(Input[Pub Srv Inv in P],Input[Institution Name],$A$1)</f>
        <v>0</v>
      </c>
      <c r="J73" s="519"/>
      <c r="K73" s="519"/>
      <c r="L73" s="432">
        <f t="shared" si="18"/>
        <v>0</v>
      </c>
      <c r="M73" s="432"/>
      <c r="N73" s="536"/>
      <c r="O73" s="272"/>
      <c r="P73" s="319"/>
      <c r="Q73" s="272"/>
      <c r="R73" s="525" t="s">
        <v>120</v>
      </c>
      <c r="S73" s="434"/>
      <c r="T73" s="434"/>
      <c r="U73" s="434"/>
      <c r="V73" s="434"/>
      <c r="W73" s="434"/>
      <c r="X73" s="434"/>
      <c r="Y73" s="435"/>
      <c r="Z73" s="519">
        <f>SUMIFS(Input[Pub Srv E&amp;G],Input[Institution Name],$R$1)+SUMIFS(Input[Pub Srv Desg],Input[Institution Name],$R$1)+SUMIFS(Input[Pub Srv Aux],Input[Institution Name],$R$1)+SUMIFS(Input[Pub Srv R Exp],Input[Institution Name],$R$1)+SUMIFS(Input[Pub Srv Loan],Input[Institution Name],$R$1)+SUMIFS(Input[Pub Srv Annuity],Input[Institution Name],$R$1)+SUMIFS(Input[Pub Srv Unexp],Input[Institution Name],$R$1)+SUMIFS(Input[Pub Srv R of Ind],Input[Institution Name],$R$1)+SUMIFS(Input[Pub Srv Inv in P],Input[Institution Name],$R$1)</f>
        <v>0</v>
      </c>
      <c r="AA73" s="519"/>
      <c r="AB73" s="519"/>
      <c r="AC73" s="432">
        <f t="shared" si="19"/>
        <v>0</v>
      </c>
      <c r="AD73" s="432"/>
      <c r="AE73" s="536"/>
      <c r="AF73" s="272"/>
      <c r="AG73" s="319"/>
      <c r="AH73" s="270"/>
      <c r="AI73" s="525" t="s">
        <v>120</v>
      </c>
      <c r="AJ73" s="434"/>
      <c r="AK73" s="434"/>
      <c r="AL73" s="434"/>
      <c r="AM73" s="434"/>
      <c r="AN73" s="434"/>
      <c r="AO73" s="434"/>
      <c r="AP73" s="435"/>
      <c r="AQ73" s="519">
        <f>SUMIFS(Input[Pub Srv E&amp;G],Input[Institution Name],$AI$1)+SUMIFS(Input[Pub Srv Desg],Input[Institution Name],$AI$1)+SUMIFS(Input[Pub Srv Aux],Input[Institution Name],$AI$1)+SUMIFS(Input[Pub Srv R Exp],Input[Institution Name],$AI$1)+SUMIFS(Input[Pub Srv Loan],Input[Institution Name],$AI$1)+SUMIFS(Input[Pub Srv Annuity],Input[Institution Name],$AI$1)+SUMIFS(Input[Pub Srv Unexp],Input[Institution Name],$AI$1)+SUMIFS(Input[Pub Srv R of Ind],Input[Institution Name],$AI$1)+SUMIFS(Input[Pub Srv Inv in P],Input[Institution Name],$AI$1)</f>
        <v>0</v>
      </c>
      <c r="AR73" s="519"/>
      <c r="AS73" s="519"/>
      <c r="AT73" s="432">
        <f t="shared" si="20"/>
        <v>0</v>
      </c>
      <c r="AU73" s="432"/>
      <c r="AV73" s="536"/>
      <c r="AW73" s="272"/>
      <c r="AX73" s="272"/>
      <c r="AY73" s="272"/>
    </row>
    <row r="74" spans="1:51" ht="27" customHeight="1" x14ac:dyDescent="1.05">
      <c r="A74" s="525" t="s">
        <v>113</v>
      </c>
      <c r="B74" s="434"/>
      <c r="C74" s="434"/>
      <c r="D74" s="434"/>
      <c r="E74" s="434"/>
      <c r="F74" s="434"/>
      <c r="G74" s="434"/>
      <c r="H74" s="435"/>
      <c r="I74" s="519">
        <f>SUMIFS(Input[H&amp;C (OU) E&amp;G],Input[Institution Name],$A$1)
+SUMIFS(Input[H&amp;C (OU) Desg],Input[Institution Name],$A$1)
+SUMIFS(Input[H&amp;C (OU) Aux],Input[Institution Name],$A$1)
+SUMIFS(Input[H&amp;C (OU) R Exp],Input[Institution Name],$A$1)
+SUMIFS(Input[H&amp;C (OU) Loan],Input[Institution Name],$A$1)
+SUMIFS(Input[H&amp;C (OU) Annuity],Input[Institution Name],$A$1)
+SUMIFS(Input[H&amp;C (OU) Unexp],Input[Institution Name],$A$1)
+SUMIFS(Input[H&amp;C (OU) R of Ind],Input[Institution Name],$A$1)
+SUMIFS(Input[H&amp;C (OU) Inv in P],Input[Institution Name],$A$1)</f>
        <v>0</v>
      </c>
      <c r="J74" s="519"/>
      <c r="K74" s="519"/>
      <c r="L74" s="432">
        <f t="shared" si="18"/>
        <v>0</v>
      </c>
      <c r="M74" s="432"/>
      <c r="N74" s="536"/>
      <c r="O74" s="272"/>
      <c r="P74" s="319"/>
      <c r="Q74" s="272"/>
      <c r="R74" s="525" t="s">
        <v>113</v>
      </c>
      <c r="S74" s="434"/>
      <c r="T74" s="434"/>
      <c r="U74" s="434"/>
      <c r="V74" s="434"/>
      <c r="W74" s="434"/>
      <c r="X74" s="434"/>
      <c r="Y74" s="435"/>
      <c r="Z74" s="519">
        <f>SUMIFS(Input[H&amp;C (OU) E&amp;G],Input[Institution Name],$R$1)
+SUMIFS(Input[H&amp;C (OU) Desg],Input[Institution Name],$R$1)
+SUMIFS(Input[H&amp;C (OU) Aux],Input[Institution Name],$R$1)
+SUMIFS(Input[H&amp;C (OU) R Exp],Input[Institution Name],$R$1)
+SUMIFS(Input[H&amp;C (OU) Loan],Input[Institution Name],$R$1)
+SUMIFS(Input[H&amp;C (OU) Annuity],Input[Institution Name],$R$1)
+SUMIFS(Input[H&amp;C (OU) Unexp],Input[Institution Name],$R$1)
+SUMIFS(Input[H&amp;C (OU) R of Ind],Input[Institution Name],$R$1)
+SUMIFS(Input[H&amp;C (OU) Inv in P],Input[Institution Name],$R$1)</f>
        <v>0</v>
      </c>
      <c r="AA74" s="519"/>
      <c r="AB74" s="519"/>
      <c r="AC74" s="432">
        <f t="shared" si="19"/>
        <v>0</v>
      </c>
      <c r="AD74" s="432"/>
      <c r="AE74" s="536"/>
      <c r="AF74" s="272"/>
      <c r="AG74" s="319"/>
      <c r="AH74" s="270"/>
      <c r="AI74" s="525" t="s">
        <v>113</v>
      </c>
      <c r="AJ74" s="434"/>
      <c r="AK74" s="434"/>
      <c r="AL74" s="434"/>
      <c r="AM74" s="434"/>
      <c r="AN74" s="434"/>
      <c r="AO74" s="434"/>
      <c r="AP74" s="435"/>
      <c r="AQ74" s="519">
        <f>SUMIFS(Input[H&amp;C (OU) E&amp;G],Input[Institution Name],$AI$1)
+SUMIFS(Input[H&amp;C (OU) Desg],Input[Institution Name],$AI$1)
+SUMIFS(Input[H&amp;C (OU) Aux],Input[Institution Name],$AI$1)
+SUMIFS(Input[H&amp;C (OU) R Exp],Input[Institution Name],$AI$1)
+SUMIFS(Input[H&amp;C (OU) Loan],Input[Institution Name],$AI$1)
+SUMIFS(Input[H&amp;C (OU) Annuity],Input[Institution Name],$AI$1)
+SUMIFS(Input[H&amp;C (OU) Unexp],Input[Institution Name],$AI$1)
+SUMIFS(Input[H&amp;C (OU) R of Ind],Input[Institution Name],$AI$1)
+SUMIFS(Input[H&amp;C (OU) Inv in P],Input[Institution Name],$AI$1)</f>
        <v>0</v>
      </c>
      <c r="AR74" s="519"/>
      <c r="AS74" s="519"/>
      <c r="AT74" s="432">
        <f t="shared" si="20"/>
        <v>0</v>
      </c>
      <c r="AU74" s="432"/>
      <c r="AV74" s="536"/>
      <c r="AW74" s="272"/>
      <c r="AX74" s="272"/>
      <c r="AY74" s="272"/>
    </row>
    <row r="75" spans="1:51" ht="27" customHeight="1" x14ac:dyDescent="1.05">
      <c r="A75" s="525" t="s">
        <v>36</v>
      </c>
      <c r="B75" s="434"/>
      <c r="C75" s="434"/>
      <c r="D75" s="434"/>
      <c r="E75" s="434"/>
      <c r="F75" s="434"/>
      <c r="G75" s="434"/>
      <c r="H75" s="435"/>
      <c r="I75" s="519">
        <f>SUMIFS(Input[Acad Sup E&amp;G],Input[Institution Name],$A$1)+SUMIFS(Input[Acad Sup Desg],Input[Institution Name],$A$1)+SUMIFS(Input[Acad Sup Aux],Input[Institution Name],$A$1)+SUMIFS(Input[Acad Sup R Exp],Input[Institution Name],$A$1)+SUMIFS(Input[Acad Sup Loan],Input[Institution Name],$A$1)+SUMIFS(Input[Acad Sup Annuity],Input[Institution Name],$A$1)+SUMIFS(Input[Acad Sup Unexp],Input[Institution Name],$A$1)+SUMIFS(Input[Acad Sup R of Ind],Input[Institution Name],$A$1)+SUMIFS(Input[Acad Sup Inv in P],Input[Institution Name],$A$1)</f>
        <v>0</v>
      </c>
      <c r="J75" s="519"/>
      <c r="K75" s="519"/>
      <c r="L75" s="432">
        <f t="shared" si="18"/>
        <v>0</v>
      </c>
      <c r="M75" s="432"/>
      <c r="N75" s="536"/>
      <c r="O75" s="272"/>
      <c r="P75" s="319"/>
      <c r="Q75" s="272"/>
      <c r="R75" s="525" t="s">
        <v>36</v>
      </c>
      <c r="S75" s="434"/>
      <c r="T75" s="434"/>
      <c r="U75" s="434"/>
      <c r="V75" s="434"/>
      <c r="W75" s="434"/>
      <c r="X75" s="434"/>
      <c r="Y75" s="435"/>
      <c r="Z75" s="519">
        <f>SUMIFS(Input[Acad Sup E&amp;G],Input[Institution Name],$R$1)+SUMIFS(Input[Acad Sup Desg],Input[Institution Name],$R$1)+SUMIFS(Input[Acad Sup Aux],Input[Institution Name],$R$1)+SUMIFS(Input[Acad Sup R Exp],Input[Institution Name],$R$1)+SUMIFS(Input[Acad Sup Loan],Input[Institution Name],$R$1)+SUMIFS(Input[Acad Sup Annuity],Input[Institution Name],$R$1)+SUMIFS(Input[Acad Sup Unexp],Input[Institution Name],$R$1)+SUMIFS(Input[Acad Sup R of Ind],Input[Institution Name],$R$1)+SUMIFS(Input[Acad Sup Inv in P],Input[Institution Name],$R$1)</f>
        <v>0</v>
      </c>
      <c r="AA75" s="519"/>
      <c r="AB75" s="519"/>
      <c r="AC75" s="432">
        <f t="shared" si="19"/>
        <v>0</v>
      </c>
      <c r="AD75" s="432"/>
      <c r="AE75" s="536"/>
      <c r="AF75" s="272"/>
      <c r="AG75" s="319"/>
      <c r="AH75" s="270"/>
      <c r="AI75" s="525" t="s">
        <v>36</v>
      </c>
      <c r="AJ75" s="434"/>
      <c r="AK75" s="434"/>
      <c r="AL75" s="434"/>
      <c r="AM75" s="434"/>
      <c r="AN75" s="434"/>
      <c r="AO75" s="434"/>
      <c r="AP75" s="435"/>
      <c r="AQ75" s="519">
        <f>SUMIFS(Input[Acad Sup E&amp;G],Input[Institution Name],$AI$1)+SUMIFS(Input[Acad Sup Desg],Input[Institution Name],$AI$1)+SUMIFS(Input[Acad Sup Aux],Input[Institution Name],$AI$1)+SUMIFS(Input[Acad Sup R Exp],Input[Institution Name],$AI$1)+SUMIFS(Input[Acad Sup Loan],Input[Institution Name],$AI$1)+SUMIFS(Input[Acad Sup Annuity],Input[Institution Name],$AI$1)+SUMIFS(Input[Acad Sup Unexp],Input[Institution Name],$AI$1)+SUMIFS(Input[Acad Sup R of Ind],Input[Institution Name],$AI$1)+SUMIFS(Input[Acad Sup Inv in P],Input[Institution Name],$AI$1)</f>
        <v>0</v>
      </c>
      <c r="AR75" s="519"/>
      <c r="AS75" s="519"/>
      <c r="AT75" s="432">
        <f t="shared" si="20"/>
        <v>0</v>
      </c>
      <c r="AU75" s="432"/>
      <c r="AV75" s="536"/>
      <c r="AW75" s="272"/>
      <c r="AX75" s="272"/>
      <c r="AY75" s="272"/>
    </row>
    <row r="76" spans="1:51" ht="27" customHeight="1" x14ac:dyDescent="1.05">
      <c r="A76" s="525" t="s">
        <v>37</v>
      </c>
      <c r="B76" s="434"/>
      <c r="C76" s="434"/>
      <c r="D76" s="434"/>
      <c r="E76" s="434"/>
      <c r="F76" s="434"/>
      <c r="G76" s="434"/>
      <c r="H76" s="435"/>
      <c r="I76" s="519">
        <f>SUMIFS(Input[Stu Svc E&amp;G],Input[Institution Name],$A$1)+SUMIFS(Input[Stu Svc Desg],Input[Institution Name],$A$1)+SUMIFS(Input[Stu Svc Aux],Input[Institution Name],$A$1)+SUMIFS(Input[Stu Svc R Exp],Input[Institution Name],$A$1)+SUMIFS(Input[Stu Svc Loan],Input[Institution Name],$A$1)+SUMIFS(Input[Stu Svc Annuity],Input[Institution Name],$A$1)+SUMIFS(Input[Stu Svc Unexp],Input[Institution Name],$A$1)+SUMIFS(Input[Stu Svc R of Ind],Input[Institution Name],$A$1)+SUMIFS(Input[Stu Svc Inv in P],Input[Institution Name],$A$1)</f>
        <v>0</v>
      </c>
      <c r="J76" s="519"/>
      <c r="K76" s="519"/>
      <c r="L76" s="432">
        <f t="shared" si="18"/>
        <v>0</v>
      </c>
      <c r="M76" s="432"/>
      <c r="N76" s="536"/>
      <c r="O76" s="272"/>
      <c r="P76" s="319"/>
      <c r="Q76" s="272"/>
      <c r="R76" s="525" t="s">
        <v>37</v>
      </c>
      <c r="S76" s="434"/>
      <c r="T76" s="434"/>
      <c r="U76" s="434"/>
      <c r="V76" s="434"/>
      <c r="W76" s="434"/>
      <c r="X76" s="434"/>
      <c r="Y76" s="435"/>
      <c r="Z76" s="519">
        <f>SUMIFS(Input[Stu Svc E&amp;G],Input[Institution Name],$R$1)+SUMIFS(Input[Stu Svc Desg],Input[Institution Name],$R$1)+SUMIFS(Input[Stu Svc Aux],Input[Institution Name],$R$1)+SUMIFS(Input[Stu Svc R Exp],Input[Institution Name],$R$1)+SUMIFS(Input[Stu Svc Loan],Input[Institution Name],$R$1)+SUMIFS(Input[Stu Svc Annuity],Input[Institution Name],$R$1)+SUMIFS(Input[Stu Svc Unexp],Input[Institution Name],$R$1)+SUMIFS(Input[Stu Svc R of Ind],Input[Institution Name],$R$1)+SUMIFS(Input[Stu Svc Inv in P],Input[Institution Name],$R$1)</f>
        <v>0</v>
      </c>
      <c r="AA76" s="519"/>
      <c r="AB76" s="519"/>
      <c r="AC76" s="432">
        <f t="shared" si="19"/>
        <v>0</v>
      </c>
      <c r="AD76" s="432"/>
      <c r="AE76" s="536"/>
      <c r="AF76" s="272"/>
      <c r="AG76" s="319"/>
      <c r="AH76" s="270"/>
      <c r="AI76" s="525" t="s">
        <v>37</v>
      </c>
      <c r="AJ76" s="434"/>
      <c r="AK76" s="434"/>
      <c r="AL76" s="434"/>
      <c r="AM76" s="434"/>
      <c r="AN76" s="434"/>
      <c r="AO76" s="434"/>
      <c r="AP76" s="435"/>
      <c r="AQ76" s="519">
        <f>SUMIFS(Input[Stu Svc E&amp;G],Input[Institution Name],$AI$1)+SUMIFS(Input[Stu Svc Desg],Input[Institution Name],$AI$1)+SUMIFS(Input[Stu Svc Aux],Input[Institution Name],$AI$1)+SUMIFS(Input[Stu Svc R Exp],Input[Institution Name],$AI$1)+SUMIFS(Input[Stu Svc Loan],Input[Institution Name],$AI$1)+SUMIFS(Input[Stu Svc Annuity],Input[Institution Name],$AI$1)+SUMIFS(Input[Stu Svc Unexp],Input[Institution Name],$AI$1)+SUMIFS(Input[Stu Svc R of Ind],Input[Institution Name],$AI$1)+SUMIFS(Input[Stu Svc Inv in P],Input[Institution Name],$AI$1)</f>
        <v>0</v>
      </c>
      <c r="AR76" s="519"/>
      <c r="AS76" s="519"/>
      <c r="AT76" s="432">
        <f t="shared" si="20"/>
        <v>0</v>
      </c>
      <c r="AU76" s="432"/>
      <c r="AV76" s="536"/>
      <c r="AW76" s="272"/>
      <c r="AX76" s="272"/>
      <c r="AY76" s="272"/>
    </row>
    <row r="77" spans="1:51" ht="27" customHeight="1" x14ac:dyDescent="1.05">
      <c r="A77" s="525" t="s">
        <v>38</v>
      </c>
      <c r="B77" s="434"/>
      <c r="C77" s="434"/>
      <c r="D77" s="434"/>
      <c r="E77" s="434"/>
      <c r="F77" s="434"/>
      <c r="G77" s="434"/>
      <c r="H77" s="435"/>
      <c r="I77" s="519">
        <f>SUMIFS(Input[Inst. Spt E&amp;G],Input[Institution Name],$A$1)+SUMIFS(Input[Inst. Spt Desg],Input[Institution Name],$A$1)+SUMIFS(Input[Inst. Spt Aux],Input[Institution Name],$A$1)+SUMIFS(Input[Inst. Spt R Exp],Input[Institution Name],$A$1)+SUMIFS(Input[Inst. Spt Loan],Input[Institution Name],$A$1)+SUMIFS(Input[Inst. Spt Annuity],Input[Institution Name],$A$1)+SUMIFS(Input[Inst. Spt Unexp],Input[Institution Name],$A$1)+SUMIFS(Input[Inst. Spt R of Ind],Input[Institution Name],$A$1)+SUMIFS(Input[Inst. Spt Inv in P],Input[Institution Name],$A$1)</f>
        <v>0</v>
      </c>
      <c r="J77" s="519"/>
      <c r="K77" s="519"/>
      <c r="L77" s="432">
        <f t="shared" si="18"/>
        <v>0</v>
      </c>
      <c r="M77" s="432"/>
      <c r="N77" s="536"/>
      <c r="O77" s="272"/>
      <c r="P77" s="319"/>
      <c r="Q77" s="272"/>
      <c r="R77" s="525" t="s">
        <v>38</v>
      </c>
      <c r="S77" s="434"/>
      <c r="T77" s="434"/>
      <c r="U77" s="434"/>
      <c r="V77" s="434"/>
      <c r="W77" s="434"/>
      <c r="X77" s="434"/>
      <c r="Y77" s="435"/>
      <c r="Z77" s="519">
        <f>SUMIFS(Input[Inst. Spt E&amp;G],Input[Institution Name],$R$1)+SUMIFS(Input[Inst. Spt Desg],Input[Institution Name],$R$1)+SUMIFS(Input[Inst. Spt Aux],Input[Institution Name],$R$1)+SUMIFS(Input[Inst. Spt R Exp],Input[Institution Name],$R$1)+SUMIFS(Input[Inst. Spt Loan],Input[Institution Name],$R$1)+SUMIFS(Input[Inst. Spt Annuity],Input[Institution Name],$R$1)+SUMIFS(Input[Inst. Spt Unexp],Input[Institution Name],$R$1)+SUMIFS(Input[Inst. Spt R of Ind],Input[Institution Name],$R$1)+SUMIFS(Input[Inst. Spt Inv in P],Input[Institution Name],$R$1)</f>
        <v>0</v>
      </c>
      <c r="AA77" s="519"/>
      <c r="AB77" s="519"/>
      <c r="AC77" s="432">
        <f t="shared" si="19"/>
        <v>0</v>
      </c>
      <c r="AD77" s="432"/>
      <c r="AE77" s="536"/>
      <c r="AF77" s="272"/>
      <c r="AG77" s="319"/>
      <c r="AH77" s="270"/>
      <c r="AI77" s="525" t="s">
        <v>38</v>
      </c>
      <c r="AJ77" s="434"/>
      <c r="AK77" s="434"/>
      <c r="AL77" s="434"/>
      <c r="AM77" s="434"/>
      <c r="AN77" s="434"/>
      <c r="AO77" s="434"/>
      <c r="AP77" s="435"/>
      <c r="AQ77" s="519">
        <f>SUMIFS(Input[Inst. Spt E&amp;G],Input[Institution Name],$AI$1)+SUMIFS(Input[Inst. Spt Desg],Input[Institution Name],$AI$1)+SUMIFS(Input[Inst. Spt Aux],Input[Institution Name],$AI$1)+SUMIFS(Input[Inst. Spt R Exp],Input[Institution Name],$AI$1)+SUMIFS(Input[Inst. Spt Loan],Input[Institution Name],$AI$1)+SUMIFS(Input[Inst. Spt Annuity],Input[Institution Name],$AI$1)+SUMIFS(Input[Inst. Spt Unexp],Input[Institution Name],$AI$1)+SUMIFS(Input[Inst. Spt R of Ind],Input[Institution Name],$AI$1)+SUMIFS(Input[Inst. Spt Inv in P],Input[Institution Name],$AI$1)</f>
        <v>0</v>
      </c>
      <c r="AR77" s="519"/>
      <c r="AS77" s="519"/>
      <c r="AT77" s="432">
        <f t="shared" si="20"/>
        <v>0</v>
      </c>
      <c r="AU77" s="432"/>
      <c r="AV77" s="536"/>
      <c r="AW77" s="272"/>
      <c r="AX77" s="272"/>
      <c r="AY77" s="272"/>
    </row>
    <row r="78" spans="1:51" ht="27" customHeight="1" x14ac:dyDescent="1.05">
      <c r="A78" s="525" t="s">
        <v>121</v>
      </c>
      <c r="B78" s="434"/>
      <c r="C78" s="434"/>
      <c r="D78" s="434"/>
      <c r="E78" s="434"/>
      <c r="F78" s="434"/>
      <c r="G78" s="434"/>
      <c r="H78" s="435"/>
      <c r="I78" s="519">
        <f>SUMIFS(Input[M&amp;O Plnt E&amp;G],Input[Institution Name],$A$1)+SUMIFS(Input[M&amp;O Plnt Desg],Input[Institution Name],$A$1)+SUMIFS(Input[M&amp;O Plnt Aux],Input[Institution Name],$A$1)+SUMIFS(Input[M&amp;O Plnt R Exp],Input[Institution Name],$A$1)+SUMIFS(Input[M&amp;O Plnt Loan],Input[Institution Name],$A$1)+SUMIFS(Input[M&amp;O Plnt Annuity],Input[Institution Name],$A$1)+SUMIFS(Input[M&amp;O Plnt Unexp],Input[Institution Name],$A$1)+SUMIFS(Input[M&amp;O Plnt R of Ind],Input[Institution Name],$A$1)+SUMIFS(Input[M&amp;O Plnt Inv in P],Input[Institution Name],$A$1)</f>
        <v>0</v>
      </c>
      <c r="J78" s="519"/>
      <c r="K78" s="519"/>
      <c r="L78" s="432">
        <f t="shared" si="18"/>
        <v>0</v>
      </c>
      <c r="M78" s="432"/>
      <c r="N78" s="536"/>
      <c r="O78" s="272"/>
      <c r="P78" s="319"/>
      <c r="Q78" s="272"/>
      <c r="R78" s="525" t="s">
        <v>121</v>
      </c>
      <c r="S78" s="434"/>
      <c r="T78" s="434"/>
      <c r="U78" s="434"/>
      <c r="V78" s="434"/>
      <c r="W78" s="434"/>
      <c r="X78" s="434"/>
      <c r="Y78" s="435"/>
      <c r="Z78" s="519">
        <f>SUMIFS(Input[M&amp;O Plnt E&amp;G],Input[Institution Name],$R$1)+SUMIFS(Input[M&amp;O Plnt Desg],Input[Institution Name],$R$1)+SUMIFS(Input[M&amp;O Plnt Aux],Input[Institution Name],$R$1)+SUMIFS(Input[M&amp;O Plnt R Exp],Input[Institution Name],$R$1)+SUMIFS(Input[M&amp;O Plnt Loan],Input[Institution Name],$R$1)+SUMIFS(Input[M&amp;O Plnt Annuity],Input[Institution Name],$R$1)+SUMIFS(Input[M&amp;O Plnt Unexp],Input[Institution Name],$R$1)+SUMIFS(Input[M&amp;O Plnt R of Ind],Input[Institution Name],$R$1)+SUMIFS(Input[M&amp;O Plnt Inv in P],Input[Institution Name],$R$1)</f>
        <v>0</v>
      </c>
      <c r="AA78" s="519"/>
      <c r="AB78" s="519"/>
      <c r="AC78" s="432">
        <f t="shared" si="19"/>
        <v>0</v>
      </c>
      <c r="AD78" s="432"/>
      <c r="AE78" s="536"/>
      <c r="AF78" s="272"/>
      <c r="AG78" s="319"/>
      <c r="AH78" s="270"/>
      <c r="AI78" s="525" t="s">
        <v>121</v>
      </c>
      <c r="AJ78" s="434"/>
      <c r="AK78" s="434"/>
      <c r="AL78" s="434"/>
      <c r="AM78" s="434"/>
      <c r="AN78" s="434"/>
      <c r="AO78" s="434"/>
      <c r="AP78" s="435"/>
      <c r="AQ78" s="519">
        <f>SUMIFS(Input[M&amp;O Plnt E&amp;G],Input[Institution Name],$AI$1)+SUMIFS(Input[M&amp;O Plnt Desg],Input[Institution Name],$AI$1)+SUMIFS(Input[M&amp;O Plnt Aux],Input[Institution Name],$AI$1)+SUMIFS(Input[M&amp;O Plnt R Exp],Input[Institution Name],$AI$1)+SUMIFS(Input[M&amp;O Plnt Loan],Input[Institution Name],$AI$1)+SUMIFS(Input[M&amp;O Plnt Annuity],Input[Institution Name],$AI$1)+SUMIFS(Input[M&amp;O Plnt Unexp],Input[Institution Name],$AI$1)+SUMIFS(Input[M&amp;O Plnt R of Ind],Input[Institution Name],$AI$1)+SUMIFS(Input[M&amp;O Plnt Inv in P],Input[Institution Name],$AI$1)</f>
        <v>0</v>
      </c>
      <c r="AR78" s="519"/>
      <c r="AS78" s="519"/>
      <c r="AT78" s="432">
        <f t="shared" si="20"/>
        <v>0</v>
      </c>
      <c r="AU78" s="432"/>
      <c r="AV78" s="536"/>
      <c r="AW78" s="272"/>
      <c r="AX78" s="272"/>
      <c r="AY78" s="272"/>
    </row>
    <row r="79" spans="1:51" ht="27" customHeight="1" x14ac:dyDescent="1.05">
      <c r="A79" s="525" t="s">
        <v>122</v>
      </c>
      <c r="B79" s="434"/>
      <c r="C79" s="434"/>
      <c r="D79" s="434"/>
      <c r="E79" s="434"/>
      <c r="F79" s="434"/>
      <c r="G79" s="434"/>
      <c r="H79" s="435"/>
      <c r="I79" s="519">
        <f>SUMIFS(Input[Schl &amp; Fell E&amp;G],Input[Institution Name],$A$1)+SUMIFS(Input[Schl &amp; Fell Desg],Input[Institution Name],$A$1)+SUMIFS(Input[Schl &amp; Fell Aux],Input[Institution Name],$A$1)+SUMIFS(Input[Schl &amp; Fell R Exp],Input[Institution Name],$A$1)+SUMIFS(Input[Schl &amp; Fell Loan],Input[Institution Name],$A$1)+SUMIFS(Input[Schl &amp; Fell Annuity],Input[Institution Name],$A$1)+SUMIFS(Input[Schl &amp; Fell Unexp],Input[Institution Name],$A$1)+SUMIFS(Input[Schl &amp; Fell R of Ind],Input[Institution Name],$A$1)+SUMIFS(Input[Schl &amp; Fell Inv in P],Input[Institution Name],$A$1)</f>
        <v>0</v>
      </c>
      <c r="J79" s="519"/>
      <c r="K79" s="519"/>
      <c r="L79" s="432">
        <f t="shared" si="18"/>
        <v>0</v>
      </c>
      <c r="M79" s="432"/>
      <c r="N79" s="536"/>
      <c r="O79" s="272"/>
      <c r="P79" s="319"/>
      <c r="Q79" s="272"/>
      <c r="R79" s="525" t="s">
        <v>122</v>
      </c>
      <c r="S79" s="434"/>
      <c r="T79" s="434"/>
      <c r="U79" s="434"/>
      <c r="V79" s="434"/>
      <c r="W79" s="434"/>
      <c r="X79" s="434"/>
      <c r="Y79" s="435"/>
      <c r="Z79" s="519">
        <f>SUMIFS(Input[Schl &amp; Fell E&amp;G],Input[Institution Name],$R$1)+SUMIFS(Input[Schl &amp; Fell Desg],Input[Institution Name],$R$1)+SUMIFS(Input[Schl &amp; Fell Aux],Input[Institution Name],$R$1)+SUMIFS(Input[Schl &amp; Fell R Exp],Input[Institution Name],$R$1)+SUMIFS(Input[Schl &amp; Fell Loan],Input[Institution Name],$R$1)+SUMIFS(Input[Schl &amp; Fell Annuity],Input[Institution Name],$R$1)+SUMIFS(Input[Schl &amp; Fell Unexp],Input[Institution Name],$R$1)+SUMIFS(Input[Schl &amp; Fell R of Ind],Input[Institution Name],$R$1)+SUMIFS(Input[Schl &amp; Fell Inv in P],Input[Institution Name],$R$1)</f>
        <v>0</v>
      </c>
      <c r="AA79" s="519"/>
      <c r="AB79" s="519"/>
      <c r="AC79" s="432">
        <f t="shared" si="19"/>
        <v>0</v>
      </c>
      <c r="AD79" s="432"/>
      <c r="AE79" s="536"/>
      <c r="AF79" s="272"/>
      <c r="AG79" s="319"/>
      <c r="AH79" s="270"/>
      <c r="AI79" s="525" t="s">
        <v>122</v>
      </c>
      <c r="AJ79" s="434"/>
      <c r="AK79" s="434"/>
      <c r="AL79" s="434"/>
      <c r="AM79" s="434"/>
      <c r="AN79" s="434"/>
      <c r="AO79" s="434"/>
      <c r="AP79" s="435"/>
      <c r="AQ79" s="519">
        <f>SUMIFS(Input[Schl &amp; Fell E&amp;G],Input[Institution Name],$AI$1)+SUMIFS(Input[Schl &amp; Fell Desg],Input[Institution Name],$AI$1)+SUMIFS(Input[Schl &amp; Fell Aux],Input[Institution Name],$AI$1)+SUMIFS(Input[Schl &amp; Fell R Exp],Input[Institution Name],$AI$1)+SUMIFS(Input[Schl &amp; Fell Loan],Input[Institution Name],$AI$1)+SUMIFS(Input[Schl &amp; Fell Annuity],Input[Institution Name],$AI$1)+SUMIFS(Input[Schl &amp; Fell Unexp],Input[Institution Name],$AI$1)+SUMIFS(Input[Schl &amp; Fell R of Ind],Input[Institution Name],$AI$1)+SUMIFS(Input[Schl &amp; Fell Inv in P],Input[Institution Name],$AI$1)</f>
        <v>0</v>
      </c>
      <c r="AR79" s="519"/>
      <c r="AS79" s="519"/>
      <c r="AT79" s="432">
        <f t="shared" si="20"/>
        <v>0</v>
      </c>
      <c r="AU79" s="432"/>
      <c r="AV79" s="536"/>
      <c r="AW79" s="272"/>
      <c r="AX79" s="272"/>
      <c r="AY79" s="272"/>
    </row>
    <row r="80" spans="1:51" ht="27" customHeight="1" x14ac:dyDescent="1.05">
      <c r="A80" s="525" t="s">
        <v>152</v>
      </c>
      <c r="B80" s="434"/>
      <c r="C80" s="434"/>
      <c r="D80" s="434"/>
      <c r="E80" s="434"/>
      <c r="F80" s="434"/>
      <c r="G80" s="434"/>
      <c r="H80" s="435"/>
      <c r="I80" s="519">
        <f>SUMIFS(Input[Aux Ent E&amp;G],Input[Institution Name],$A$1)+SUMIFS(Input[Aux Ent Desg],Input[Institution Name],$A$1)+SUMIFS(Input[Aux Ent Aux],Input[Institution Name],$A$1)+SUMIFS(Input[Aux Ent R Exp],Input[Institution Name],$A$1)+SUMIFS(Input[Aux Ent Loan],Input[Institution Name],$A$1)+SUMIFS(Input[Aux Ent Annuity],Input[Institution Name],$A$1)+SUMIFS(Input[Aux Ent Unexp],Input[Institution Name],$A$1)+SUMIFS(Input[Aux Ent R of Ind],Input[Institution Name],$A$1)+SUMIFS(Input[Aux Ent Inv in P],Input[Institution Name],$A$1)</f>
        <v>0</v>
      </c>
      <c r="J80" s="519"/>
      <c r="K80" s="519"/>
      <c r="L80" s="432">
        <f t="shared" si="18"/>
        <v>0</v>
      </c>
      <c r="M80" s="432"/>
      <c r="N80" s="536"/>
      <c r="O80" s="272"/>
      <c r="P80" s="319"/>
      <c r="Q80" s="272"/>
      <c r="R80" s="525" t="s">
        <v>152</v>
      </c>
      <c r="S80" s="434"/>
      <c r="T80" s="434"/>
      <c r="U80" s="434"/>
      <c r="V80" s="434"/>
      <c r="W80" s="434"/>
      <c r="X80" s="434"/>
      <c r="Y80" s="435"/>
      <c r="Z80" s="519">
        <f>SUMIFS(Input[Aux Ent E&amp;G],Input[Institution Name],$R$1)+SUMIFS(Input[Aux Ent Desg],Input[Institution Name],$R$1)+SUMIFS(Input[Aux Ent Aux],Input[Institution Name],$R$1)+SUMIFS(Input[Aux Ent R Exp],Input[Institution Name],$R$1)+SUMIFS(Input[Aux Ent Loan],Input[Institution Name],$R$1)+SUMIFS(Input[Aux Ent Annuity],Input[Institution Name],$R$1)+SUMIFS(Input[Aux Ent Unexp],Input[Institution Name],$R$1)+SUMIFS(Input[Aux Ent R of Ind],Input[Institution Name],$R$1)+SUMIFS(Input[Aux Ent Inv in P],Input[Institution Name],$R$1)</f>
        <v>0</v>
      </c>
      <c r="AA80" s="519"/>
      <c r="AB80" s="519"/>
      <c r="AC80" s="432">
        <f t="shared" si="19"/>
        <v>0</v>
      </c>
      <c r="AD80" s="432"/>
      <c r="AE80" s="536"/>
      <c r="AF80" s="272"/>
      <c r="AG80" s="319"/>
      <c r="AH80" s="270"/>
      <c r="AI80" s="525" t="s">
        <v>152</v>
      </c>
      <c r="AJ80" s="434"/>
      <c r="AK80" s="434"/>
      <c r="AL80" s="434"/>
      <c r="AM80" s="434"/>
      <c r="AN80" s="434"/>
      <c r="AO80" s="434"/>
      <c r="AP80" s="435"/>
      <c r="AQ80" s="519">
        <f>SUMIFS(Input[Aux Ent E&amp;G],Input[Institution Name],$AI$1)+SUMIFS(Input[Aux Ent Desg],Input[Institution Name],$AI$1)+SUMIFS(Input[Aux Ent Aux],Input[Institution Name],$AI$1)+SUMIFS(Input[Aux Ent R Exp],Input[Institution Name],$AI$1)+SUMIFS(Input[Aux Ent Loan],Input[Institution Name],$AI$1)+SUMIFS(Input[Aux Ent Annuity],Input[Institution Name],$AI$1)+SUMIFS(Input[Aux Ent Unexp],Input[Institution Name],$AI$1)+SUMIFS(Input[Aux Ent R of Ind],Input[Institution Name],$AI$1)+SUMIFS(Input[Aux Ent Inv in P],Input[Institution Name],$AI$1)</f>
        <v>0</v>
      </c>
      <c r="AR80" s="519"/>
      <c r="AS80" s="519"/>
      <c r="AT80" s="432">
        <f t="shared" si="20"/>
        <v>0</v>
      </c>
      <c r="AU80" s="432"/>
      <c r="AV80" s="536"/>
      <c r="AW80" s="272"/>
      <c r="AX80" s="272"/>
      <c r="AY80" s="272"/>
    </row>
    <row r="81" spans="1:51" ht="27" customHeight="1" x14ac:dyDescent="1.05">
      <c r="A81" s="525" t="s">
        <v>123</v>
      </c>
      <c r="B81" s="434"/>
      <c r="C81" s="434"/>
      <c r="D81" s="434"/>
      <c r="E81" s="434"/>
      <c r="F81" s="434"/>
      <c r="G81" s="434"/>
      <c r="H81" s="435"/>
      <c r="I81" s="519">
        <f>SUMIFS(Input[Cap Out fund E&amp;G],Input[Institution Name],$A$1)+SUMIFS(Input[Cap Out fund Desg],Input[Institution Name],$A$1)+SUMIFS(Input[Cap Out fund Aux],Input[Institution Name],$A$1)+SUMIFS(Input[Cap Out fund R Exp],Input[Institution Name],$A$1)+SUMIFS(Input[Cap Out fund Loan],Input[Institution Name],$A$1)+SUMIFS(Input[Cap Out fund Annuity],Input[Institution Name],$A$1)+SUMIFS(Input[Cap Out fund Unexp],Input[Institution Name],$A$1)+SUMIFS(Input[Cap Out fund R of Ind],Input[Institution Name],$A$1)+SUMIFS(Input[Cap Out fund Inv in P],Input[Institution Name],$A$1)</f>
        <v>0</v>
      </c>
      <c r="J81" s="519"/>
      <c r="K81" s="519"/>
      <c r="L81" s="432">
        <f t="shared" si="18"/>
        <v>0</v>
      </c>
      <c r="M81" s="432"/>
      <c r="N81" s="536"/>
      <c r="O81" s="272"/>
      <c r="P81" s="319"/>
      <c r="Q81" s="272"/>
      <c r="R81" s="525" t="s">
        <v>123</v>
      </c>
      <c r="S81" s="434"/>
      <c r="T81" s="434"/>
      <c r="U81" s="434"/>
      <c r="V81" s="434"/>
      <c r="W81" s="434"/>
      <c r="X81" s="434"/>
      <c r="Y81" s="435"/>
      <c r="Z81" s="519">
        <f>SUMIFS(Input[Cap Out fund E&amp;G],Input[Institution Name],$R$1)+SUMIFS(Input[Cap Out fund Desg],Input[Institution Name],$R$1)+SUMIFS(Input[Cap Out fund Aux],Input[Institution Name],$R$1)+SUMIFS(Input[Cap Out fund R Exp],Input[Institution Name],$R$1)+SUMIFS(Input[Cap Out fund Loan],Input[Institution Name],$R$1)+SUMIFS(Input[Cap Out fund Annuity],Input[Institution Name],$R$1)+SUMIFS(Input[Cap Out fund Unexp],Input[Institution Name],$R$1)+SUMIFS(Input[Cap Out fund R of Ind],Input[Institution Name],$R$1)+SUMIFS(Input[Cap Out fund Inv in P],Input[Institution Name],$R$1)</f>
        <v>0</v>
      </c>
      <c r="AA81" s="519"/>
      <c r="AB81" s="519"/>
      <c r="AC81" s="432">
        <f t="shared" si="19"/>
        <v>0</v>
      </c>
      <c r="AD81" s="432"/>
      <c r="AE81" s="536"/>
      <c r="AF81" s="272"/>
      <c r="AG81" s="319"/>
      <c r="AH81" s="270"/>
      <c r="AI81" s="525" t="s">
        <v>123</v>
      </c>
      <c r="AJ81" s="434"/>
      <c r="AK81" s="434"/>
      <c r="AL81" s="434"/>
      <c r="AM81" s="434"/>
      <c r="AN81" s="434"/>
      <c r="AO81" s="434"/>
      <c r="AP81" s="435"/>
      <c r="AQ81" s="519">
        <f>SUMIFS(Input[Cap Out fund E&amp;G],Input[Institution Name],$AI$1)+SUMIFS(Input[Cap Out fund Desg],Input[Institution Name],$AI$1)+SUMIFS(Input[Cap Out fund Aux],Input[Institution Name],$AI$1)+SUMIFS(Input[Cap Out fund R Exp],Input[Institution Name],$AI$1)+SUMIFS(Input[Cap Out fund Loan],Input[Institution Name],$AI$1)+SUMIFS(Input[Cap Out fund Annuity],Input[Institution Name],$AI$1)+SUMIFS(Input[Cap Out fund Unexp],Input[Institution Name],$AI$1)+SUMIFS(Input[Cap Out fund R of Ind],Input[Institution Name],$AI$1)+SUMIFS(Input[Cap Out fund Inv in P],Input[Institution Name],$AI$1)</f>
        <v>0</v>
      </c>
      <c r="AR81" s="519"/>
      <c r="AS81" s="519"/>
      <c r="AT81" s="432">
        <f t="shared" si="20"/>
        <v>0</v>
      </c>
      <c r="AU81" s="432"/>
      <c r="AV81" s="536"/>
      <c r="AW81" s="272"/>
      <c r="AX81" s="272"/>
      <c r="AY81" s="272"/>
    </row>
    <row r="82" spans="1:51" ht="27" customHeight="1" thickBot="1" x14ac:dyDescent="1.1000000000000001">
      <c r="A82" s="525" t="s">
        <v>155</v>
      </c>
      <c r="B82" s="434"/>
      <c r="C82" s="434"/>
      <c r="D82" s="434"/>
      <c r="E82" s="434"/>
      <c r="F82" s="434"/>
      <c r="G82" s="434"/>
      <c r="H82" s="435"/>
      <c r="I82" s="520">
        <f>SUMIFS(Input[Oth Exp E&amp;G],Input[Institution Name],$A$1)+SUMIFS(Input[Oth Exp Desg],Input[Institution Name],$A$1)+SUMIFS(Input[Oth Exp Aux],Input[Institution Name],$A$1)+SUMIFS(Input[Oth Exp R Exp],Input[Institution Name],$A$1)+SUMIFS(Input[Oth Exp Loan],Input[Institution Name],$A$1)+SUMIFS(Input[Oth Exp Annuity],Input[Institution Name],$A$1)+SUMIFS(Input[Oth Exp Unexp],Input[Institution Name],$A$1)+SUMIFS(Input[Oth Exp R of Ind],Input[Institution Name],$A$1)+SUMIFS(Input[Oth Exp Inv in P],Input[Institution Name],$A$1)</f>
        <v>0</v>
      </c>
      <c r="J82" s="520"/>
      <c r="K82" s="520"/>
      <c r="L82" s="534">
        <f t="shared" si="18"/>
        <v>0</v>
      </c>
      <c r="M82" s="534"/>
      <c r="N82" s="535"/>
      <c r="O82" s="272"/>
      <c r="P82" s="319"/>
      <c r="Q82" s="272"/>
      <c r="R82" s="525" t="s">
        <v>155</v>
      </c>
      <c r="S82" s="434"/>
      <c r="T82" s="434"/>
      <c r="U82" s="434"/>
      <c r="V82" s="434"/>
      <c r="W82" s="434"/>
      <c r="X82" s="434"/>
      <c r="Y82" s="435"/>
      <c r="Z82" s="520">
        <f>SUMIFS(Input[Oth Exp E&amp;G],Input[Institution Name],$R$1)+SUMIFS(Input[Oth Exp Desg],Input[Institution Name],$R$1)+SUMIFS(Input[Oth Exp Aux],Input[Institution Name],$R$1)+SUMIFS(Input[Oth Exp R Exp],Input[Institution Name],$R$1)+SUMIFS(Input[Oth Exp Loan],Input[Institution Name],$R$1)+SUMIFS(Input[Oth Exp Annuity],Input[Institution Name],$R$1)+SUMIFS(Input[Oth Exp Unexp],Input[Institution Name],$R$1)+SUMIFS(Input[Oth Exp R of Ind],Input[Institution Name],$R$1)+SUMIFS(Input[Oth Exp Inv in P],Input[Institution Name],$R$1)</f>
        <v>0</v>
      </c>
      <c r="AA82" s="520"/>
      <c r="AB82" s="520"/>
      <c r="AC82" s="534">
        <f t="shared" si="19"/>
        <v>0</v>
      </c>
      <c r="AD82" s="534"/>
      <c r="AE82" s="535"/>
      <c r="AF82" s="272"/>
      <c r="AG82" s="319"/>
      <c r="AH82" s="270"/>
      <c r="AI82" s="525" t="s">
        <v>155</v>
      </c>
      <c r="AJ82" s="434"/>
      <c r="AK82" s="434"/>
      <c r="AL82" s="434"/>
      <c r="AM82" s="434"/>
      <c r="AN82" s="434"/>
      <c r="AO82" s="434"/>
      <c r="AP82" s="435"/>
      <c r="AQ82" s="520">
        <f>SUMIFS(Input[Oth Exp E&amp;G],Input[Institution Name],$AI$1)+SUMIFS(Input[Oth Exp Desg],Input[Institution Name],$AI$1)+SUMIFS(Input[Oth Exp Aux],Input[Institution Name],$AI$1)+SUMIFS(Input[Oth Exp R Exp],Input[Institution Name],$AI$1)+SUMIFS(Input[Oth Exp Loan],Input[Institution Name],$AI$1)+SUMIFS(Input[Oth Exp Annuity],Input[Institution Name],$AI$1)+SUMIFS(Input[Oth Exp Unexp],Input[Institution Name],$AI$1)+SUMIFS(Input[Oth Exp R of Ind],Input[Institution Name],$AI$1)+SUMIFS(Input[Oth Exp Inv in P],Input[Institution Name],$AI$1)</f>
        <v>0</v>
      </c>
      <c r="AR82" s="520"/>
      <c r="AS82" s="520"/>
      <c r="AT82" s="534">
        <f t="shared" si="20"/>
        <v>0</v>
      </c>
      <c r="AU82" s="534"/>
      <c r="AV82" s="535"/>
      <c r="AW82" s="272"/>
      <c r="AX82" s="272"/>
      <c r="AY82" s="272"/>
    </row>
    <row r="83" spans="1:51" ht="27" customHeight="1" thickBot="1" x14ac:dyDescent="1.1000000000000001">
      <c r="A83" s="509" t="s">
        <v>99</v>
      </c>
      <c r="B83" s="510"/>
      <c r="C83" s="510"/>
      <c r="D83" s="510"/>
      <c r="E83" s="510"/>
      <c r="F83" s="510"/>
      <c r="G83" s="510"/>
      <c r="H83" s="510"/>
      <c r="I83" s="516">
        <f>SUM(I71:I82)</f>
        <v>0</v>
      </c>
      <c r="J83" s="516"/>
      <c r="K83" s="516"/>
      <c r="L83" s="516">
        <f t="shared" si="18"/>
        <v>0</v>
      </c>
      <c r="M83" s="516"/>
      <c r="N83" s="517"/>
      <c r="O83" s="272"/>
      <c r="P83" s="319"/>
      <c r="Q83" s="272"/>
      <c r="R83" s="509" t="s">
        <v>99</v>
      </c>
      <c r="S83" s="510"/>
      <c r="T83" s="510"/>
      <c r="U83" s="510"/>
      <c r="V83" s="510"/>
      <c r="W83" s="510"/>
      <c r="X83" s="510"/>
      <c r="Y83" s="510"/>
      <c r="Z83" s="516">
        <f>SUM(Z71:Z82)</f>
        <v>0</v>
      </c>
      <c r="AA83" s="516"/>
      <c r="AB83" s="516"/>
      <c r="AC83" s="516">
        <f t="shared" si="19"/>
        <v>0</v>
      </c>
      <c r="AD83" s="516"/>
      <c r="AE83" s="517"/>
      <c r="AF83" s="272"/>
      <c r="AG83" s="319"/>
      <c r="AH83" s="270"/>
      <c r="AI83" s="509" t="s">
        <v>99</v>
      </c>
      <c r="AJ83" s="510"/>
      <c r="AK83" s="510"/>
      <c r="AL83" s="510"/>
      <c r="AM83" s="510"/>
      <c r="AN83" s="510"/>
      <c r="AO83" s="510"/>
      <c r="AP83" s="510"/>
      <c r="AQ83" s="516">
        <f>SUM(AQ71:AQ82)</f>
        <v>0</v>
      </c>
      <c r="AR83" s="516"/>
      <c r="AS83" s="516"/>
      <c r="AT83" s="516">
        <f t="shared" si="20"/>
        <v>0</v>
      </c>
      <c r="AU83" s="516"/>
      <c r="AV83" s="517"/>
      <c r="AW83" s="272"/>
      <c r="AX83" s="272"/>
      <c r="AY83" s="272"/>
    </row>
    <row r="84" spans="1:51" ht="27" customHeight="1" thickBot="1" x14ac:dyDescent="1.1000000000000001">
      <c r="A84" s="274"/>
      <c r="B84" s="275"/>
      <c r="C84" s="275"/>
      <c r="D84" s="275"/>
      <c r="E84" s="275"/>
      <c r="F84" s="275"/>
      <c r="G84" s="275"/>
      <c r="H84" s="275"/>
      <c r="I84" s="275"/>
      <c r="J84" s="275"/>
      <c r="K84" s="275"/>
      <c r="L84" s="276"/>
      <c r="M84" s="22"/>
      <c r="N84" s="22"/>
      <c r="O84" s="272"/>
      <c r="P84" s="319"/>
      <c r="Q84" s="272"/>
      <c r="R84" s="274"/>
      <c r="S84" s="275"/>
      <c r="T84" s="275"/>
      <c r="U84" s="275"/>
      <c r="V84" s="275"/>
      <c r="W84" s="275"/>
      <c r="X84" s="275"/>
      <c r="Y84" s="275"/>
      <c r="Z84" s="275"/>
      <c r="AA84" s="275"/>
      <c r="AB84" s="275"/>
      <c r="AC84" s="276"/>
      <c r="AD84" s="22"/>
      <c r="AE84" s="22"/>
      <c r="AF84" s="272"/>
      <c r="AG84" s="319"/>
      <c r="AH84" s="270"/>
      <c r="AI84" s="274"/>
      <c r="AJ84" s="275"/>
      <c r="AK84" s="275"/>
      <c r="AL84" s="275"/>
      <c r="AM84" s="275"/>
      <c r="AN84" s="275"/>
      <c r="AO84" s="275"/>
      <c r="AP84" s="275"/>
      <c r="AQ84" s="275"/>
      <c r="AR84" s="275"/>
      <c r="AS84" s="275"/>
      <c r="AT84" s="276"/>
      <c r="AU84" s="22"/>
      <c r="AV84" s="22"/>
      <c r="AW84" s="272"/>
      <c r="AX84" s="272"/>
      <c r="AY84" s="272"/>
    </row>
    <row r="85" spans="1:51" ht="27" customHeight="1" thickBot="1" x14ac:dyDescent="1.1000000000000001">
      <c r="A85" s="543" t="s">
        <v>124</v>
      </c>
      <c r="B85" s="544"/>
      <c r="C85" s="544"/>
      <c r="D85" s="544"/>
      <c r="E85" s="544"/>
      <c r="F85" s="544"/>
      <c r="G85" s="544"/>
      <c r="H85" s="544"/>
      <c r="I85" s="545" t="s">
        <v>135</v>
      </c>
      <c r="J85" s="546"/>
      <c r="K85" s="546"/>
      <c r="L85" s="545" t="s">
        <v>136</v>
      </c>
      <c r="M85" s="546"/>
      <c r="N85" s="547"/>
      <c r="O85" s="272"/>
      <c r="P85" s="319"/>
      <c r="Q85" s="272"/>
      <c r="R85" s="543" t="s">
        <v>124</v>
      </c>
      <c r="S85" s="544"/>
      <c r="T85" s="544"/>
      <c r="U85" s="544"/>
      <c r="V85" s="544"/>
      <c r="W85" s="544"/>
      <c r="X85" s="544"/>
      <c r="Y85" s="544"/>
      <c r="Z85" s="545" t="s">
        <v>135</v>
      </c>
      <c r="AA85" s="546"/>
      <c r="AB85" s="546"/>
      <c r="AC85" s="545" t="s">
        <v>136</v>
      </c>
      <c r="AD85" s="546"/>
      <c r="AE85" s="547"/>
      <c r="AF85" s="272"/>
      <c r="AG85" s="319"/>
      <c r="AH85" s="270"/>
      <c r="AI85" s="543" t="s">
        <v>124</v>
      </c>
      <c r="AJ85" s="544"/>
      <c r="AK85" s="544"/>
      <c r="AL85" s="544"/>
      <c r="AM85" s="544"/>
      <c r="AN85" s="544"/>
      <c r="AO85" s="544"/>
      <c r="AP85" s="544"/>
      <c r="AQ85" s="545" t="s">
        <v>135</v>
      </c>
      <c r="AR85" s="546"/>
      <c r="AS85" s="546"/>
      <c r="AT85" s="545" t="s">
        <v>136</v>
      </c>
      <c r="AU85" s="546"/>
      <c r="AV85" s="547"/>
      <c r="AW85" s="272"/>
      <c r="AX85" s="272"/>
      <c r="AY85" s="272"/>
    </row>
    <row r="86" spans="1:51" ht="27" customHeight="1" x14ac:dyDescent="1.05">
      <c r="A86" s="522" t="s">
        <v>125</v>
      </c>
      <c r="B86" s="523"/>
      <c r="C86" s="523"/>
      <c r="D86" s="523"/>
      <c r="E86" s="523"/>
      <c r="F86" s="523"/>
      <c r="G86" s="523"/>
      <c r="H86" s="524"/>
      <c r="I86" s="518">
        <f>SUMIFS(Input[Cap Out n-Fund E&amp;G],Input[Institution Name],$A$1)+SUMIFS(Input[Cap Out n-Fund Desg],Input[Institution Name],$A$1)+SUMIFS(Input[Cap Out n-Fund Aux],Input[Institution Name],$A$1)+SUMIFS(Input[Cap Out n-Fund R Exp],Input[Institution Name],$A$1)+SUMIFS(Input[Cap Out n-Fund Loan],Input[Institution Name],$A$1)+SUMIFS(Input[Cap Out n-Fund Annuity],Input[Institution Name],$A$1)+SUMIFS(Input[Cap Out n-Fund Unexp],Input[Institution Name],$A$1)+SUMIFS(Input[Cap Out n-Fund R of Ind],Input[Institution Name],$A$1)+SUMIFS(Input[Cap Out n-Fund Inv in P],Input[Institution Name],$A$1)</f>
        <v>0</v>
      </c>
      <c r="J86" s="518"/>
      <c r="K86" s="518"/>
      <c r="L86" s="529">
        <f t="shared" ref="L86:L90" si="21">IFERROR(ROUND(I86/L$6,0),0)</f>
        <v>0</v>
      </c>
      <c r="M86" s="529"/>
      <c r="N86" s="530"/>
      <c r="O86" s="272"/>
      <c r="P86" s="319"/>
      <c r="Q86" s="272"/>
      <c r="R86" s="522" t="s">
        <v>125</v>
      </c>
      <c r="S86" s="523"/>
      <c r="T86" s="523"/>
      <c r="U86" s="523"/>
      <c r="V86" s="523"/>
      <c r="W86" s="523"/>
      <c r="X86" s="523"/>
      <c r="Y86" s="524"/>
      <c r="Z86" s="518">
        <f>SUMIFS(Input[Cap Out n-Fund E&amp;G],Input[Institution Name],$R$1)+SUMIFS(Input[Cap Out n-Fund Desg],Input[Institution Name],$R$1)+SUMIFS(Input[Cap Out n-Fund Aux],Input[Institution Name],$R$1)+SUMIFS(Input[Cap Out n-Fund R Exp],Input[Institution Name],$R$1)+SUMIFS(Input[Cap Out n-Fund Loan],Input[Institution Name],$R$1)+SUMIFS(Input[Cap Out n-Fund Annuity],Input[Institution Name],$R$1)+SUMIFS(Input[Cap Out n-Fund Unexp],Input[Institution Name],$R$1)+SUMIFS(Input[Cap Out n-Fund R of Ind],Input[Institution Name],$R$1)+SUMIFS(Input[Cap Out n-Fund Inv in P],Input[Institution Name],$R$1)</f>
        <v>0</v>
      </c>
      <c r="AA86" s="518"/>
      <c r="AB86" s="518"/>
      <c r="AC86" s="529">
        <f t="shared" ref="AC86:AC90" si="22">IFERROR(ROUND(Z86/AC$6,0),0)</f>
        <v>0</v>
      </c>
      <c r="AD86" s="529"/>
      <c r="AE86" s="530"/>
      <c r="AF86" s="272"/>
      <c r="AG86" s="319"/>
      <c r="AH86" s="270"/>
      <c r="AI86" s="522" t="s">
        <v>125</v>
      </c>
      <c r="AJ86" s="523"/>
      <c r="AK86" s="523"/>
      <c r="AL86" s="523"/>
      <c r="AM86" s="523"/>
      <c r="AN86" s="523"/>
      <c r="AO86" s="523"/>
      <c r="AP86" s="524"/>
      <c r="AQ86" s="518">
        <f>SUMIFS(Input[Cap Out n-Fund E&amp;G],Input[Institution Name],$AI$1)+SUMIFS(Input[Cap Out n-Fund Desg],Input[Institution Name],$AI$1)+SUMIFS(Input[Cap Out n-Fund Aux],Input[Institution Name],$AI$1)+SUMIFS(Input[Cap Out n-Fund R Exp],Input[Institution Name],$AI$1)+SUMIFS(Input[Cap Out n-Fund Loan],Input[Institution Name],$AI$1)+SUMIFS(Input[Cap Out n-Fund Annuity],Input[Institution Name],$AI$1)+SUMIFS(Input[Cap Out n-Fund Unexp],Input[Institution Name],$AI$1)+SUMIFS(Input[Cap Out n-Fund R of Ind],Input[Institution Name],$AI$1)+SUMIFS(Input[Cap Out n-Fund Inv in P],Input[Institution Name],$AI$1)</f>
        <v>0</v>
      </c>
      <c r="AR86" s="518"/>
      <c r="AS86" s="518"/>
      <c r="AT86" s="529">
        <f t="shared" ref="AT86:AT90" si="23">IFERROR(ROUND(AQ86/AT$6,0),0)</f>
        <v>0</v>
      </c>
      <c r="AU86" s="529"/>
      <c r="AV86" s="530"/>
      <c r="AW86" s="272"/>
      <c r="AX86" s="272"/>
      <c r="AY86" s="272"/>
    </row>
    <row r="87" spans="1:51" ht="27" customHeight="1" x14ac:dyDescent="1.05">
      <c r="A87" s="525" t="s">
        <v>156</v>
      </c>
      <c r="B87" s="434"/>
      <c r="C87" s="434"/>
      <c r="D87" s="434"/>
      <c r="E87" s="434"/>
      <c r="F87" s="434"/>
      <c r="G87" s="434"/>
      <c r="H87" s="435"/>
      <c r="I87" s="519">
        <f>SUMIFS(Input[M&amp;Nm Xfrs E&amp;G],Input[Institution Name],$A$1)+SUMIFS(Input[M&amp;Nm Xfrs Desg],Input[Institution Name],$A$1)+SUMIFS(Input[M&amp;Nm Xfrs Aux],Input[Institution Name],$A$1)+SUMIFS(Input[M&amp;Nm Xfrs R Exp],Input[Institution Name],$A$1)+SUMIFS(Input[M&amp;Nm Xfrs Loan],Input[Institution Name],$A$1)+SUMIFS(Input[M&amp;Nm Xfrs Annuity],Input[Institution Name],$A$1)+SUMIFS(Input[M&amp;Nm Xfrs Unexp],Input[Institution Name],$A$1)+SUMIFS(Input[M&amp;Nm Xfrs R of Ind],Input[Institution Name],$A$1)+SUMIFS(Input[M&amp;Nm Xfrs Inv in P],Input[Institution Name],$A$1)</f>
        <v>0</v>
      </c>
      <c r="J87" s="519"/>
      <c r="K87" s="519"/>
      <c r="L87" s="432">
        <f t="shared" si="21"/>
        <v>0</v>
      </c>
      <c r="M87" s="432"/>
      <c r="N87" s="536"/>
      <c r="O87" s="272"/>
      <c r="P87" s="319"/>
      <c r="Q87" s="272"/>
      <c r="R87" s="525" t="s">
        <v>156</v>
      </c>
      <c r="S87" s="434"/>
      <c r="T87" s="434"/>
      <c r="U87" s="434"/>
      <c r="V87" s="434"/>
      <c r="W87" s="434"/>
      <c r="X87" s="434"/>
      <c r="Y87" s="435"/>
      <c r="Z87" s="519">
        <f>SUMIFS(Input[M&amp;Nm Xfrs E&amp;G],Input[Institution Name],$R$1)+SUMIFS(Input[M&amp;Nm Xfrs Desg],Input[Institution Name],$R$1)+SUMIFS(Input[M&amp;Nm Xfrs Aux],Input[Institution Name],$R$1)+SUMIFS(Input[M&amp;Nm Xfrs R Exp],Input[Institution Name],$R$1)+SUMIFS(Input[M&amp;Nm Xfrs Loan],Input[Institution Name],$R$1)+SUMIFS(Input[M&amp;Nm Xfrs Annuity],Input[Institution Name],$R$1)+SUMIFS(Input[M&amp;Nm Xfrs Unexp],Input[Institution Name],$R$1)+SUMIFS(Input[M&amp;Nm Xfrs R of Ind],Input[Institution Name],$R$1)+SUMIFS(Input[M&amp;Nm Xfrs Inv in P],Input[Institution Name],$R$1)</f>
        <v>0</v>
      </c>
      <c r="AA87" s="519"/>
      <c r="AB87" s="519"/>
      <c r="AC87" s="432">
        <f t="shared" si="22"/>
        <v>0</v>
      </c>
      <c r="AD87" s="432"/>
      <c r="AE87" s="536"/>
      <c r="AF87" s="272"/>
      <c r="AG87" s="319"/>
      <c r="AH87" s="270"/>
      <c r="AI87" s="525" t="s">
        <v>156</v>
      </c>
      <c r="AJ87" s="434"/>
      <c r="AK87" s="434"/>
      <c r="AL87" s="434"/>
      <c r="AM87" s="434"/>
      <c r="AN87" s="434"/>
      <c r="AO87" s="434"/>
      <c r="AP87" s="435"/>
      <c r="AQ87" s="519">
        <f>SUMIFS(Input[M&amp;Nm Xfrs E&amp;G],Input[Institution Name],$AI$1)+SUMIFS(Input[M&amp;Nm Xfrs Desg],Input[Institution Name],$AI$1)+SUMIFS(Input[M&amp;Nm Xfrs Aux],Input[Institution Name],$AI$1)+SUMIFS(Input[M&amp;Nm Xfrs R Exp],Input[Institution Name],$AI$1)+SUMIFS(Input[M&amp;Nm Xfrs Loan],Input[Institution Name],$AI$1)+SUMIFS(Input[M&amp;Nm Xfrs Annuity],Input[Institution Name],$AI$1)+SUMIFS(Input[M&amp;Nm Xfrs Unexp],Input[Institution Name],$AI$1)+SUMIFS(Input[M&amp;Nm Xfrs R of Ind],Input[Institution Name],$AI$1)+SUMIFS(Input[M&amp;Nm Xfrs Inv in P],Input[Institution Name],$AI$1)</f>
        <v>0</v>
      </c>
      <c r="AR87" s="519"/>
      <c r="AS87" s="519"/>
      <c r="AT87" s="432">
        <f t="shared" si="23"/>
        <v>0</v>
      </c>
      <c r="AU87" s="432"/>
      <c r="AV87" s="536"/>
      <c r="AW87" s="272"/>
      <c r="AX87" s="272"/>
      <c r="AY87" s="272"/>
    </row>
    <row r="88" spans="1:51" ht="27" customHeight="1" x14ac:dyDescent="1.05">
      <c r="A88" s="525" t="s">
        <v>157</v>
      </c>
      <c r="B88" s="434"/>
      <c r="C88" s="434"/>
      <c r="D88" s="434"/>
      <c r="E88" s="434"/>
      <c r="F88" s="434"/>
      <c r="G88" s="434"/>
      <c r="H88" s="435"/>
      <c r="I88" s="519">
        <f>SUMIFS(Input[Bond Xfrs In E&amp;G],Input[Institution Name],$A$1)+SUMIFS(Input[Bond Xfrs In Desg],Input[Institution Name],$A$1)+SUMIFS(Input[Bond Xfrs In Aux],Input[Institution Name],$A$1)+SUMIFS(Input[Bond Xfrs In R Exp],Input[Institution Name],$A$1)+SUMIFS(Input[Bond Xfrs In Loan],Input[Institution Name],$A$1)+SUMIFS(Input[Bond Xfrs In Annuity],Input[Institution Name],$A$1)+SUMIFS(Input[Bond Xfrs In Unexp],Input[Institution Name],$A$1)+SUMIFS(Input[Bond Xfrs In R of Ind],Input[Institution Name],$A$1)+SUMIFS(Input[Bond Xfrs In Inv in P],Input[Institution Name],$A$1)</f>
        <v>0</v>
      </c>
      <c r="J88" s="519"/>
      <c r="K88" s="519"/>
      <c r="L88" s="432">
        <f t="shared" si="21"/>
        <v>0</v>
      </c>
      <c r="M88" s="432"/>
      <c r="N88" s="536"/>
      <c r="O88" s="272"/>
      <c r="P88" s="319"/>
      <c r="Q88" s="272"/>
      <c r="R88" s="525" t="s">
        <v>157</v>
      </c>
      <c r="S88" s="434"/>
      <c r="T88" s="434"/>
      <c r="U88" s="434"/>
      <c r="V88" s="434"/>
      <c r="W88" s="434"/>
      <c r="X88" s="434"/>
      <c r="Y88" s="435"/>
      <c r="Z88" s="519">
        <f>SUMIFS(Input[Bond Xfrs In E&amp;G],Input[Institution Name],$R$1)+SUMIFS(Input[Bond Xfrs In Desg],Input[Institution Name],$R$1)+SUMIFS(Input[Bond Xfrs In Aux],Input[Institution Name],$R$1)+SUMIFS(Input[Bond Xfrs In R Exp],Input[Institution Name],$R$1)+SUMIFS(Input[Bond Xfrs In Loan],Input[Institution Name],$R$1)+SUMIFS(Input[Bond Xfrs In Annuity],Input[Institution Name],$R$1)+SUMIFS(Input[Bond Xfrs In Unexp],Input[Institution Name],$R$1)+SUMIFS(Input[Bond Xfrs In R of Ind],Input[Institution Name],$R$1)+SUMIFS(Input[Bond Xfrs In Inv in P],Input[Institution Name],$R$1)</f>
        <v>0</v>
      </c>
      <c r="AA88" s="519"/>
      <c r="AB88" s="519"/>
      <c r="AC88" s="432">
        <f t="shared" si="22"/>
        <v>0</v>
      </c>
      <c r="AD88" s="432"/>
      <c r="AE88" s="536"/>
      <c r="AF88" s="272"/>
      <c r="AG88" s="319"/>
      <c r="AH88" s="270"/>
      <c r="AI88" s="525" t="s">
        <v>157</v>
      </c>
      <c r="AJ88" s="434"/>
      <c r="AK88" s="434"/>
      <c r="AL88" s="434"/>
      <c r="AM88" s="434"/>
      <c r="AN88" s="434"/>
      <c r="AO88" s="434"/>
      <c r="AP88" s="435"/>
      <c r="AQ88" s="519">
        <f>SUMIFS(Input[Bond Xfrs In E&amp;G],Input[Institution Name],$AI$1)+SUMIFS(Input[Bond Xfrs In Desg],Input[Institution Name],$AI$1)+SUMIFS(Input[Bond Xfrs In Aux],Input[Institution Name],$AI$1)+SUMIFS(Input[Bond Xfrs In R Exp],Input[Institution Name],$AI$1)+SUMIFS(Input[Bond Xfrs In Loan],Input[Institution Name],$AI$1)+SUMIFS(Input[Bond Xfrs In Annuity],Input[Institution Name],$AI$1)+SUMIFS(Input[Bond Xfrs In Unexp],Input[Institution Name],$AI$1)+SUMIFS(Input[Bond Xfrs In R of Ind],Input[Institution Name],$AI$1)+SUMIFS(Input[Bond Xfrs In Inv in P],Input[Institution Name],$AI$1)</f>
        <v>0</v>
      </c>
      <c r="AR88" s="519"/>
      <c r="AS88" s="519"/>
      <c r="AT88" s="432">
        <f t="shared" si="23"/>
        <v>0</v>
      </c>
      <c r="AU88" s="432"/>
      <c r="AV88" s="536"/>
      <c r="AW88" s="272"/>
      <c r="AX88" s="272"/>
      <c r="AY88" s="272"/>
    </row>
    <row r="89" spans="1:51" ht="27" customHeight="1" thickBot="1" x14ac:dyDescent="1.1000000000000001">
      <c r="A89" s="525" t="s">
        <v>158</v>
      </c>
      <c r="B89" s="434"/>
      <c r="C89" s="434"/>
      <c r="D89" s="434"/>
      <c r="E89" s="434"/>
      <c r="F89" s="434"/>
      <c r="G89" s="434"/>
      <c r="H89" s="435"/>
      <c r="I89" s="520">
        <f>SUMIFS(Input[Debt Srv Pay E&amp;G],Input[Institution Name],$A$1)+SUMIFS(Input[Debt Srv Pay Desg],Input[Institution Name],$A$1)+SUMIFS(Input[Debt Srv Pay Aux],Input[Institution Name],$A$1)+SUMIFS(Input[Debt Srv Pay R Exp],Input[Institution Name],$A$1)+SUMIFS(Input[Debt Srv Pay Loan],Input[Institution Name],$A$1)+SUMIFS(Input[Debt Srv Pay Annuity],Input[Institution Name],$A$1)+SUMIFS(Input[Debt Srv Pay Unexp],Input[Institution Name],$A$1)+SUMIFS(Input[Debt Srv Pay R of Ind],Input[Institution Name],$A$1)+SUMIFS(Input[Debt Srv Pay Inv in P],Input[Institution Name],$A$1)</f>
        <v>0</v>
      </c>
      <c r="J89" s="520"/>
      <c r="K89" s="520"/>
      <c r="L89" s="534">
        <f t="shared" si="21"/>
        <v>0</v>
      </c>
      <c r="M89" s="534"/>
      <c r="N89" s="535"/>
      <c r="O89" s="272"/>
      <c r="P89" s="319"/>
      <c r="Q89" s="272"/>
      <c r="R89" s="525" t="s">
        <v>158</v>
      </c>
      <c r="S89" s="434"/>
      <c r="T89" s="434"/>
      <c r="U89" s="434"/>
      <c r="V89" s="434"/>
      <c r="W89" s="434"/>
      <c r="X89" s="434"/>
      <c r="Y89" s="435"/>
      <c r="Z89" s="520">
        <f>SUMIFS(Input[Debt Srv Pay E&amp;G],Input[Institution Name],$R$1)+SUMIFS(Input[Debt Srv Pay Desg],Input[Institution Name],$R$1)+SUMIFS(Input[Debt Srv Pay Aux],Input[Institution Name],$R$1)+SUMIFS(Input[Debt Srv Pay R Exp],Input[Institution Name],$R$1)+SUMIFS(Input[Debt Srv Pay Loan],Input[Institution Name],$R$1)+SUMIFS(Input[Debt Srv Pay Annuity],Input[Institution Name],$R$1)+SUMIFS(Input[Debt Srv Pay Unexp],Input[Institution Name],$R$1)+SUMIFS(Input[Debt Srv Pay R of Ind],Input[Institution Name],$R$1)+SUMIFS(Input[Debt Srv Pay Inv in P],Input[Institution Name],$R$1)</f>
        <v>0</v>
      </c>
      <c r="AA89" s="520"/>
      <c r="AB89" s="520"/>
      <c r="AC89" s="534">
        <f t="shared" si="22"/>
        <v>0</v>
      </c>
      <c r="AD89" s="534"/>
      <c r="AE89" s="535"/>
      <c r="AF89" s="272"/>
      <c r="AG89" s="319"/>
      <c r="AH89" s="270"/>
      <c r="AI89" s="525" t="s">
        <v>158</v>
      </c>
      <c r="AJ89" s="434"/>
      <c r="AK89" s="434"/>
      <c r="AL89" s="434"/>
      <c r="AM89" s="434"/>
      <c r="AN89" s="434"/>
      <c r="AO89" s="434"/>
      <c r="AP89" s="435"/>
      <c r="AQ89" s="520">
        <f>SUMIFS(Input[Debt Srv Pay E&amp;G],Input[Institution Name],$AI$1)+SUMIFS(Input[Debt Srv Pay Desg],Input[Institution Name],$AI$1)+SUMIFS(Input[Debt Srv Pay Aux],Input[Institution Name],$AI$1)+SUMIFS(Input[Debt Srv Pay R Exp],Input[Institution Name],$AI$1)+SUMIFS(Input[Debt Srv Pay Loan],Input[Institution Name],$AI$1)+SUMIFS(Input[Debt Srv Pay Annuity],Input[Institution Name],$AI$1)+SUMIFS(Input[Debt Srv Pay Unexp],Input[Institution Name],$AI$1)+SUMIFS(Input[Debt Srv Pay R of Ind],Input[Institution Name],$AI$1)+SUMIFS(Input[Debt Srv Pay Inv in P],Input[Institution Name],$AI$1)</f>
        <v>0</v>
      </c>
      <c r="AR89" s="520"/>
      <c r="AS89" s="520"/>
      <c r="AT89" s="534">
        <f t="shared" si="23"/>
        <v>0</v>
      </c>
      <c r="AU89" s="534"/>
      <c r="AV89" s="535"/>
      <c r="AW89" s="272"/>
      <c r="AX89" s="272"/>
      <c r="AY89" s="272"/>
    </row>
    <row r="90" spans="1:51" ht="27" customHeight="1" thickBot="1" x14ac:dyDescent="1.1000000000000001">
      <c r="A90" s="509" t="s">
        <v>99</v>
      </c>
      <c r="B90" s="510"/>
      <c r="C90" s="510"/>
      <c r="D90" s="510"/>
      <c r="E90" s="510"/>
      <c r="F90" s="510"/>
      <c r="G90" s="510"/>
      <c r="H90" s="510"/>
      <c r="I90" s="516">
        <f>SUM(I86:I89)</f>
        <v>0</v>
      </c>
      <c r="J90" s="516"/>
      <c r="K90" s="516"/>
      <c r="L90" s="516">
        <f t="shared" si="21"/>
        <v>0</v>
      </c>
      <c r="M90" s="516"/>
      <c r="N90" s="517"/>
      <c r="O90" s="272"/>
      <c r="P90" s="319"/>
      <c r="Q90" s="272"/>
      <c r="R90" s="509" t="s">
        <v>99</v>
      </c>
      <c r="S90" s="510"/>
      <c r="T90" s="510"/>
      <c r="U90" s="510"/>
      <c r="V90" s="510"/>
      <c r="W90" s="510"/>
      <c r="X90" s="510"/>
      <c r="Y90" s="510"/>
      <c r="Z90" s="516">
        <f>SUM(Z86:Z89)</f>
        <v>0</v>
      </c>
      <c r="AA90" s="516"/>
      <c r="AB90" s="516"/>
      <c r="AC90" s="516">
        <f t="shared" si="22"/>
        <v>0</v>
      </c>
      <c r="AD90" s="516"/>
      <c r="AE90" s="517"/>
      <c r="AF90" s="272"/>
      <c r="AG90" s="319"/>
      <c r="AH90" s="270"/>
      <c r="AI90" s="509" t="s">
        <v>99</v>
      </c>
      <c r="AJ90" s="510"/>
      <c r="AK90" s="510"/>
      <c r="AL90" s="510"/>
      <c r="AM90" s="510"/>
      <c r="AN90" s="510"/>
      <c r="AO90" s="510"/>
      <c r="AP90" s="510"/>
      <c r="AQ90" s="516">
        <f>SUM(AQ86:AQ89)</f>
        <v>0</v>
      </c>
      <c r="AR90" s="516"/>
      <c r="AS90" s="516"/>
      <c r="AT90" s="516">
        <f t="shared" si="23"/>
        <v>0</v>
      </c>
      <c r="AU90" s="516"/>
      <c r="AV90" s="517"/>
      <c r="AW90" s="272"/>
      <c r="AX90" s="272"/>
      <c r="AY90" s="272"/>
    </row>
    <row r="91" spans="1:51" ht="27" customHeight="1" thickBot="1" x14ac:dyDescent="1.1000000000000001">
      <c r="A91" s="253"/>
      <c r="B91" s="253"/>
      <c r="C91" s="253"/>
      <c r="D91" s="253"/>
      <c r="E91" s="253"/>
      <c r="F91" s="253"/>
      <c r="G91" s="253"/>
      <c r="H91" s="253"/>
      <c r="I91" s="9"/>
      <c r="J91" s="9"/>
      <c r="K91" s="9"/>
      <c r="L91" s="9"/>
      <c r="M91" s="9"/>
      <c r="N91" s="9"/>
      <c r="O91" s="272"/>
      <c r="P91" s="319"/>
      <c r="Q91" s="272"/>
      <c r="R91" s="253"/>
      <c r="S91" s="253"/>
      <c r="T91" s="253"/>
      <c r="U91" s="253"/>
      <c r="V91" s="253"/>
      <c r="W91" s="253"/>
      <c r="X91" s="253"/>
      <c r="Y91" s="253"/>
      <c r="Z91" s="9"/>
      <c r="AA91" s="9"/>
      <c r="AB91" s="9"/>
      <c r="AC91" s="9"/>
      <c r="AD91" s="9"/>
      <c r="AE91" s="9"/>
      <c r="AF91" s="272"/>
      <c r="AG91" s="319"/>
      <c r="AH91" s="270"/>
      <c r="AI91" s="253"/>
      <c r="AJ91" s="253"/>
      <c r="AK91" s="253"/>
      <c r="AL91" s="253"/>
      <c r="AM91" s="253"/>
      <c r="AN91" s="253"/>
      <c r="AO91" s="253"/>
      <c r="AP91" s="253"/>
      <c r="AQ91" s="9"/>
      <c r="AR91" s="9"/>
      <c r="AS91" s="9"/>
      <c r="AT91" s="9"/>
      <c r="AU91" s="9"/>
      <c r="AV91" s="9"/>
      <c r="AW91" s="272"/>
      <c r="AX91" s="272"/>
      <c r="AY91" s="272"/>
    </row>
    <row r="92" spans="1:51" ht="27" customHeight="1" thickBot="1" x14ac:dyDescent="1.1000000000000001">
      <c r="A92" s="543" t="s">
        <v>126</v>
      </c>
      <c r="B92" s="544"/>
      <c r="C92" s="544"/>
      <c r="D92" s="544"/>
      <c r="E92" s="544"/>
      <c r="F92" s="544"/>
      <c r="G92" s="544"/>
      <c r="H92" s="544"/>
      <c r="I92" s="545" t="s">
        <v>135</v>
      </c>
      <c r="J92" s="546"/>
      <c r="K92" s="546"/>
      <c r="L92" s="545" t="s">
        <v>136</v>
      </c>
      <c r="M92" s="546"/>
      <c r="N92" s="547"/>
      <c r="O92" s="272"/>
      <c r="P92" s="319"/>
      <c r="Q92" s="272"/>
      <c r="R92" s="543" t="s">
        <v>126</v>
      </c>
      <c r="S92" s="544"/>
      <c r="T92" s="544"/>
      <c r="U92" s="544"/>
      <c r="V92" s="544"/>
      <c r="W92" s="544"/>
      <c r="X92" s="544"/>
      <c r="Y92" s="544"/>
      <c r="Z92" s="545" t="s">
        <v>135</v>
      </c>
      <c r="AA92" s="546"/>
      <c r="AB92" s="546"/>
      <c r="AC92" s="545" t="s">
        <v>136</v>
      </c>
      <c r="AD92" s="546"/>
      <c r="AE92" s="547"/>
      <c r="AF92" s="272"/>
      <c r="AG92" s="319"/>
      <c r="AH92" s="270"/>
      <c r="AI92" s="543" t="s">
        <v>126</v>
      </c>
      <c r="AJ92" s="544"/>
      <c r="AK92" s="544"/>
      <c r="AL92" s="544"/>
      <c r="AM92" s="544"/>
      <c r="AN92" s="544"/>
      <c r="AO92" s="544"/>
      <c r="AP92" s="544"/>
      <c r="AQ92" s="545" t="s">
        <v>135</v>
      </c>
      <c r="AR92" s="546"/>
      <c r="AS92" s="546"/>
      <c r="AT92" s="545" t="s">
        <v>136</v>
      </c>
      <c r="AU92" s="546"/>
      <c r="AV92" s="547"/>
      <c r="AW92" s="272"/>
      <c r="AX92" s="272"/>
      <c r="AY92" s="272"/>
    </row>
    <row r="93" spans="1:51" ht="27" customHeight="1" x14ac:dyDescent="1.05">
      <c r="A93" s="522" t="s">
        <v>159</v>
      </c>
      <c r="B93" s="523"/>
      <c r="C93" s="523"/>
      <c r="D93" s="523"/>
      <c r="E93" s="523"/>
      <c r="F93" s="523"/>
      <c r="G93" s="523"/>
      <c r="H93" s="524"/>
      <c r="I93" s="518">
        <f>SUMIFS(Input[Unreal G/L E&amp;G],Input[Institution Name],$A$1)+SUMIFS(Input[Unreal G/L Desg],Input[Institution Name],$A$1)+SUMIFS(Input[Unreal G/L Aux],Input[Institution Name],$A$1)+SUMIFS(Input[Unreal G/L R Exp],Input[Institution Name],$A$1)+SUMIFS(Input[Unreal G/L Loan],Input[Institution Name],$A$1)+SUMIFS(Input[Unreal G/L Annuity],Input[Institution Name],$A$1)+SUMIFS(Input[Unreal G/L Unexp],Input[Institution Name],$A$1)+SUMIFS(Input[Unreal G/L R of Ind],Input[Institution Name],$A$1)+SUMIFS(Input[Unreal G/L Inv in P],Input[Institution Name],$A$1)</f>
        <v>0</v>
      </c>
      <c r="J93" s="518"/>
      <c r="K93" s="518"/>
      <c r="L93" s="529">
        <f t="shared" ref="L93:L95" si="24">IFERROR(ROUND(I93/L$6,0),0)</f>
        <v>0</v>
      </c>
      <c r="M93" s="529"/>
      <c r="N93" s="530"/>
      <c r="O93" s="272"/>
      <c r="P93" s="319"/>
      <c r="Q93" s="272"/>
      <c r="R93" s="522" t="s">
        <v>159</v>
      </c>
      <c r="S93" s="523"/>
      <c r="T93" s="523"/>
      <c r="U93" s="523"/>
      <c r="V93" s="523"/>
      <c r="W93" s="523"/>
      <c r="X93" s="523"/>
      <c r="Y93" s="524"/>
      <c r="Z93" s="518">
        <f>SUMIFS(Input[Unreal G/L E&amp;G],Input[Institution Name],$R$1)+SUMIFS(Input[Unreal G/L Desg],Input[Institution Name],$R$1)+SUMIFS(Input[Unreal G/L Aux],Input[Institution Name],$R$1)+SUMIFS(Input[Unreal G/L R Exp],Input[Institution Name],$R$1)+SUMIFS(Input[Unreal G/L Loan],Input[Institution Name],$R$1)+SUMIFS(Input[Unreal G/L Annuity],Input[Institution Name],$R$1)+SUMIFS(Input[Unreal G/L Unexp],Input[Institution Name],$R$1)+SUMIFS(Input[Unreal G/L R of Ind],Input[Institution Name],$R$1)+SUMIFS(Input[Unreal G/L Inv in P],Input[Institution Name],$R$1)</f>
        <v>0</v>
      </c>
      <c r="AA93" s="518"/>
      <c r="AB93" s="518"/>
      <c r="AC93" s="529">
        <f t="shared" ref="AC93:AC95" si="25">IFERROR(ROUND(Z93/AC$6,0),0)</f>
        <v>0</v>
      </c>
      <c r="AD93" s="529"/>
      <c r="AE93" s="530"/>
      <c r="AF93" s="272"/>
      <c r="AG93" s="319"/>
      <c r="AH93" s="270"/>
      <c r="AI93" s="522" t="s">
        <v>159</v>
      </c>
      <c r="AJ93" s="523"/>
      <c r="AK93" s="523"/>
      <c r="AL93" s="523"/>
      <c r="AM93" s="523"/>
      <c r="AN93" s="523"/>
      <c r="AO93" s="523"/>
      <c r="AP93" s="524"/>
      <c r="AQ93" s="518">
        <f>SUMIFS(Input[Unreal G/L E&amp;G],Input[Institution Name],$AI$1)+SUMIFS(Input[Unreal G/L Desg],Input[Institution Name],$AI$1)+SUMIFS(Input[Unreal G/L Aux],Input[Institution Name],$AI$1)+SUMIFS(Input[Unreal G/L R Exp],Input[Institution Name],$AI$1)+SUMIFS(Input[Unreal G/L Loan],Input[Institution Name],$AI$1)+SUMIFS(Input[Unreal G/L Annuity],Input[Institution Name],$AI$1)+SUMIFS(Input[Unreal G/L Unexp],Input[Institution Name],$AI$1)+SUMIFS(Input[Unreal G/L R of Ind],Input[Institution Name],$AI$1)+SUMIFS(Input[Unreal G/L Inv in P],Input[Institution Name],$AI$1)</f>
        <v>0</v>
      </c>
      <c r="AR93" s="518"/>
      <c r="AS93" s="518"/>
      <c r="AT93" s="529">
        <f t="shared" ref="AT93:AT95" si="26">IFERROR(ROUND(AQ93/AT$6,0),0)</f>
        <v>0</v>
      </c>
      <c r="AU93" s="529"/>
      <c r="AV93" s="530"/>
      <c r="AW93" s="272"/>
      <c r="AX93" s="272"/>
      <c r="AY93" s="272"/>
    </row>
    <row r="94" spans="1:51" ht="27" customHeight="1" thickBot="1" x14ac:dyDescent="1.1000000000000001">
      <c r="A94" s="525" t="s">
        <v>160</v>
      </c>
      <c r="B94" s="434"/>
      <c r="C94" s="434"/>
      <c r="D94" s="434"/>
      <c r="E94" s="434"/>
      <c r="F94" s="434"/>
      <c r="G94" s="434"/>
      <c r="H94" s="435"/>
      <c r="I94" s="520">
        <f>SUMIFS(Input[Add End E&amp;G],Input[Institution Name],$A$1)+SUMIFS(Input[Add End Desg],Input[Institution Name],$A$1)+SUMIFS(Input[Add End Aux],Input[Institution Name],$A$1)+SUMIFS(Input[Add End R Exp],Input[Institution Name],$A$1)+SUMIFS(Input[Add End Loan],Input[Institution Name],$A$1)+SUMIFS(Input[Add End Annuity],Input[Institution Name],$A$1)+SUMIFS(Input[Add End Unexp],Input[Institution Name],$A$1)+SUMIFS(Input[Add End R of Ind],Input[Institution Name],$A$1)+SUMIFS(Input[Add End Inv in P],Input[Institution Name],$A$1)</f>
        <v>0</v>
      </c>
      <c r="J94" s="520"/>
      <c r="K94" s="520"/>
      <c r="L94" s="534">
        <f t="shared" si="24"/>
        <v>0</v>
      </c>
      <c r="M94" s="534"/>
      <c r="N94" s="535"/>
      <c r="O94" s="272"/>
      <c r="P94" s="319"/>
      <c r="Q94" s="272"/>
      <c r="R94" s="525" t="s">
        <v>160</v>
      </c>
      <c r="S94" s="434"/>
      <c r="T94" s="434"/>
      <c r="U94" s="434"/>
      <c r="V94" s="434"/>
      <c r="W94" s="434"/>
      <c r="X94" s="434"/>
      <c r="Y94" s="435"/>
      <c r="Z94" s="520">
        <f>SUMIFS(Input[Add End E&amp;G],Input[Institution Name],$R$1)+SUMIFS(Input[Add End Desg],Input[Institution Name],$R$1)+SUMIFS(Input[Add End Aux],Input[Institution Name],$R$1)+SUMIFS(Input[Add End R Exp],Input[Institution Name],$R$1)+SUMIFS(Input[Add End Loan],Input[Institution Name],$R$1)+SUMIFS(Input[Add End Annuity],Input[Institution Name],$R$1)+SUMIFS(Input[Add End Unexp],Input[Institution Name],$R$1)+SUMIFS(Input[Add End R of Ind],Input[Institution Name],$R$1)+SUMIFS(Input[Add End Inv in P],Input[Institution Name],$R$1)</f>
        <v>0</v>
      </c>
      <c r="AA94" s="520"/>
      <c r="AB94" s="520"/>
      <c r="AC94" s="534">
        <f t="shared" si="25"/>
        <v>0</v>
      </c>
      <c r="AD94" s="534"/>
      <c r="AE94" s="535"/>
      <c r="AF94" s="272"/>
      <c r="AG94" s="319"/>
      <c r="AH94" s="270"/>
      <c r="AI94" s="525" t="s">
        <v>160</v>
      </c>
      <c r="AJ94" s="434"/>
      <c r="AK94" s="434"/>
      <c r="AL94" s="434"/>
      <c r="AM94" s="434"/>
      <c r="AN94" s="434"/>
      <c r="AO94" s="434"/>
      <c r="AP94" s="435"/>
      <c r="AQ94" s="520">
        <f>SUMIFS(Input[Add End E&amp;G],Input[Institution Name],$AI$1)+SUMIFS(Input[Add End Desg],Input[Institution Name],$AI$1)+SUMIFS(Input[Add End Aux],Input[Institution Name],$AI$1)+SUMIFS(Input[Add End R Exp],Input[Institution Name],$AI$1)+SUMIFS(Input[Add End Loan],Input[Institution Name],$AI$1)+SUMIFS(Input[Add End Annuity],Input[Institution Name],$AI$1)+SUMIFS(Input[Add End Unexp],Input[Institution Name],$AI$1)+SUMIFS(Input[Add End R of Ind],Input[Institution Name],$AI$1)+SUMIFS(Input[Add End Inv in P],Input[Institution Name],$AI$1)</f>
        <v>0</v>
      </c>
      <c r="AR94" s="520"/>
      <c r="AS94" s="520"/>
      <c r="AT94" s="534">
        <f t="shared" si="26"/>
        <v>0</v>
      </c>
      <c r="AU94" s="534"/>
      <c r="AV94" s="535"/>
      <c r="AW94" s="272"/>
      <c r="AX94" s="272"/>
      <c r="AY94" s="272"/>
    </row>
    <row r="95" spans="1:51" ht="27" customHeight="1" thickBot="1" x14ac:dyDescent="1.1000000000000001">
      <c r="A95" s="509" t="s">
        <v>99</v>
      </c>
      <c r="B95" s="510"/>
      <c r="C95" s="510"/>
      <c r="D95" s="510"/>
      <c r="E95" s="510"/>
      <c r="F95" s="510"/>
      <c r="G95" s="510"/>
      <c r="H95" s="510"/>
      <c r="I95" s="516">
        <f>SUM(I93:I94)</f>
        <v>0</v>
      </c>
      <c r="J95" s="516"/>
      <c r="K95" s="516"/>
      <c r="L95" s="516">
        <f t="shared" si="24"/>
        <v>0</v>
      </c>
      <c r="M95" s="516"/>
      <c r="N95" s="517"/>
      <c r="O95" s="272"/>
      <c r="P95" s="319"/>
      <c r="Q95" s="272"/>
      <c r="R95" s="509" t="s">
        <v>99</v>
      </c>
      <c r="S95" s="510"/>
      <c r="T95" s="510"/>
      <c r="U95" s="510"/>
      <c r="V95" s="510"/>
      <c r="W95" s="510"/>
      <c r="X95" s="510"/>
      <c r="Y95" s="510"/>
      <c r="Z95" s="516">
        <f>SUM(Z93:Z94)</f>
        <v>0</v>
      </c>
      <c r="AA95" s="516"/>
      <c r="AB95" s="516"/>
      <c r="AC95" s="516">
        <f t="shared" si="25"/>
        <v>0</v>
      </c>
      <c r="AD95" s="516"/>
      <c r="AE95" s="517"/>
      <c r="AF95" s="272"/>
      <c r="AG95" s="319"/>
      <c r="AH95" s="270"/>
      <c r="AI95" s="509" t="s">
        <v>99</v>
      </c>
      <c r="AJ95" s="510"/>
      <c r="AK95" s="510"/>
      <c r="AL95" s="510"/>
      <c r="AM95" s="510"/>
      <c r="AN95" s="510"/>
      <c r="AO95" s="510"/>
      <c r="AP95" s="510"/>
      <c r="AQ95" s="516">
        <f>SUM(AQ93:AQ94)</f>
        <v>0</v>
      </c>
      <c r="AR95" s="516"/>
      <c r="AS95" s="516"/>
      <c r="AT95" s="516">
        <f t="shared" si="26"/>
        <v>0</v>
      </c>
      <c r="AU95" s="516"/>
      <c r="AV95" s="517"/>
      <c r="AW95" s="272"/>
      <c r="AX95" s="272"/>
      <c r="AY95" s="272"/>
    </row>
    <row r="96" spans="1:51" ht="27" customHeight="1" thickBot="1" x14ac:dyDescent="1.1000000000000001">
      <c r="A96" s="274"/>
      <c r="B96" s="275"/>
      <c r="C96" s="275"/>
      <c r="D96" s="275"/>
      <c r="E96" s="275"/>
      <c r="F96" s="275"/>
      <c r="G96" s="275"/>
      <c r="H96" s="275"/>
      <c r="I96" s="275"/>
      <c r="J96" s="275"/>
      <c r="K96" s="275"/>
      <c r="L96" s="276"/>
      <c r="M96" s="22"/>
      <c r="N96" s="22"/>
      <c r="O96" s="272"/>
      <c r="P96" s="319"/>
      <c r="Q96" s="272"/>
      <c r="R96" s="274"/>
      <c r="S96" s="275"/>
      <c r="T96" s="275"/>
      <c r="U96" s="275"/>
      <c r="V96" s="275"/>
      <c r="W96" s="275"/>
      <c r="X96" s="275"/>
      <c r="Y96" s="275"/>
      <c r="Z96" s="275"/>
      <c r="AA96" s="275"/>
      <c r="AB96" s="275"/>
      <c r="AC96" s="276"/>
      <c r="AD96" s="22"/>
      <c r="AE96" s="22"/>
      <c r="AF96" s="272"/>
      <c r="AG96" s="319"/>
      <c r="AH96" s="270"/>
      <c r="AI96" s="274"/>
      <c r="AJ96" s="275"/>
      <c r="AK96" s="275"/>
      <c r="AL96" s="275"/>
      <c r="AM96" s="275"/>
      <c r="AN96" s="275"/>
      <c r="AO96" s="275"/>
      <c r="AP96" s="275"/>
      <c r="AQ96" s="275"/>
      <c r="AR96" s="275"/>
      <c r="AS96" s="275"/>
      <c r="AT96" s="276"/>
      <c r="AU96" s="22"/>
      <c r="AV96" s="22"/>
      <c r="AW96" s="272"/>
      <c r="AX96" s="272"/>
      <c r="AY96" s="272"/>
    </row>
    <row r="97" spans="1:51" ht="27" customHeight="1" thickBot="1" x14ac:dyDescent="1.1000000000000001">
      <c r="A97" s="509" t="s">
        <v>1630</v>
      </c>
      <c r="B97" s="510"/>
      <c r="C97" s="510"/>
      <c r="D97" s="510"/>
      <c r="E97" s="510"/>
      <c r="F97" s="510"/>
      <c r="G97" s="510"/>
      <c r="H97" s="510"/>
      <c r="I97" s="516">
        <f>I67-I83+I90+I95</f>
        <v>0</v>
      </c>
      <c r="J97" s="516"/>
      <c r="K97" s="516"/>
      <c r="L97" s="516">
        <f>L67-L83+L90+L95</f>
        <v>0</v>
      </c>
      <c r="M97" s="516"/>
      <c r="N97" s="517"/>
      <c r="O97" s="272"/>
      <c r="P97" s="319"/>
      <c r="Q97" s="272"/>
      <c r="R97" s="509" t="s">
        <v>1630</v>
      </c>
      <c r="S97" s="510"/>
      <c r="T97" s="510"/>
      <c r="U97" s="510"/>
      <c r="V97" s="510"/>
      <c r="W97" s="510"/>
      <c r="X97" s="510"/>
      <c r="Y97" s="510"/>
      <c r="Z97" s="516">
        <f>Z67-Z83+Z90+Z95</f>
        <v>0</v>
      </c>
      <c r="AA97" s="516"/>
      <c r="AB97" s="516"/>
      <c r="AC97" s="516">
        <f>AC67-AC83+AC90+AC95</f>
        <v>0</v>
      </c>
      <c r="AD97" s="516"/>
      <c r="AE97" s="517"/>
      <c r="AF97" s="272"/>
      <c r="AG97" s="319"/>
      <c r="AH97" s="270"/>
      <c r="AI97" s="509" t="s">
        <v>1630</v>
      </c>
      <c r="AJ97" s="510"/>
      <c r="AK97" s="510"/>
      <c r="AL97" s="510"/>
      <c r="AM97" s="510"/>
      <c r="AN97" s="510"/>
      <c r="AO97" s="510"/>
      <c r="AP97" s="510"/>
      <c r="AQ97" s="516">
        <f>AQ67-AQ83+AQ90+AQ95</f>
        <v>0</v>
      </c>
      <c r="AR97" s="516"/>
      <c r="AS97" s="516"/>
      <c r="AT97" s="516">
        <f>AT67-AT83+AT90+AT95</f>
        <v>0</v>
      </c>
      <c r="AU97" s="516"/>
      <c r="AV97" s="517"/>
      <c r="AW97" s="272"/>
      <c r="AX97" s="272"/>
      <c r="AY97" s="272"/>
    </row>
    <row r="98" spans="1:51" ht="27" customHeight="1" thickBot="1" x14ac:dyDescent="1.1000000000000001">
      <c r="A98" s="274"/>
      <c r="B98" s="275"/>
      <c r="C98" s="275"/>
      <c r="D98" s="275"/>
      <c r="E98" s="275"/>
      <c r="F98" s="275"/>
      <c r="G98" s="275"/>
      <c r="H98" s="275"/>
      <c r="I98" s="275"/>
      <c r="J98" s="275"/>
      <c r="K98" s="275"/>
      <c r="L98" s="276"/>
      <c r="M98" s="22"/>
      <c r="N98" s="22"/>
      <c r="O98" s="272"/>
      <c r="P98" s="319"/>
      <c r="Q98" s="272"/>
      <c r="R98" s="274"/>
      <c r="S98" s="275"/>
      <c r="T98" s="275"/>
      <c r="U98" s="275"/>
      <c r="V98" s="275"/>
      <c r="W98" s="275"/>
      <c r="X98" s="275"/>
      <c r="Y98" s="275"/>
      <c r="Z98" s="275"/>
      <c r="AA98" s="275"/>
      <c r="AB98" s="275"/>
      <c r="AC98" s="276"/>
      <c r="AD98" s="22"/>
      <c r="AE98" s="22"/>
      <c r="AF98" s="272"/>
      <c r="AG98" s="319"/>
      <c r="AH98" s="270"/>
      <c r="AI98" s="274"/>
      <c r="AJ98" s="275"/>
      <c r="AK98" s="275"/>
      <c r="AL98" s="275"/>
      <c r="AM98" s="275"/>
      <c r="AN98" s="275"/>
      <c r="AO98" s="275"/>
      <c r="AP98" s="275"/>
      <c r="AQ98" s="275"/>
      <c r="AR98" s="275"/>
      <c r="AS98" s="275"/>
      <c r="AT98" s="276"/>
      <c r="AU98" s="22"/>
      <c r="AV98" s="22"/>
      <c r="AW98" s="272"/>
      <c r="AX98" s="272"/>
      <c r="AY98" s="272"/>
    </row>
    <row r="99" spans="1:51" ht="27" customHeight="1" thickBot="1" x14ac:dyDescent="1.1000000000000001">
      <c r="A99" s="543"/>
      <c r="B99" s="544"/>
      <c r="C99" s="544"/>
      <c r="D99" s="544"/>
      <c r="E99" s="544"/>
      <c r="F99" s="544"/>
      <c r="G99" s="544"/>
      <c r="H99" s="544"/>
      <c r="I99" s="545" t="s">
        <v>135</v>
      </c>
      <c r="J99" s="546"/>
      <c r="K99" s="546"/>
      <c r="L99" s="545" t="s">
        <v>136</v>
      </c>
      <c r="M99" s="546"/>
      <c r="N99" s="547"/>
      <c r="O99" s="272"/>
      <c r="P99" s="319"/>
      <c r="Q99" s="272"/>
      <c r="R99" s="543"/>
      <c r="S99" s="544"/>
      <c r="T99" s="544"/>
      <c r="U99" s="544"/>
      <c r="V99" s="544"/>
      <c r="W99" s="544"/>
      <c r="X99" s="544"/>
      <c r="Y99" s="544"/>
      <c r="Z99" s="545" t="s">
        <v>135</v>
      </c>
      <c r="AA99" s="546"/>
      <c r="AB99" s="546"/>
      <c r="AC99" s="545" t="s">
        <v>136</v>
      </c>
      <c r="AD99" s="546"/>
      <c r="AE99" s="547"/>
      <c r="AF99" s="272"/>
      <c r="AG99" s="319"/>
      <c r="AH99" s="270"/>
      <c r="AI99" s="543"/>
      <c r="AJ99" s="544"/>
      <c r="AK99" s="544"/>
      <c r="AL99" s="544"/>
      <c r="AM99" s="544"/>
      <c r="AN99" s="544"/>
      <c r="AO99" s="544"/>
      <c r="AP99" s="544"/>
      <c r="AQ99" s="545" t="s">
        <v>135</v>
      </c>
      <c r="AR99" s="546"/>
      <c r="AS99" s="546"/>
      <c r="AT99" s="545" t="s">
        <v>136</v>
      </c>
      <c r="AU99" s="546"/>
      <c r="AV99" s="547"/>
      <c r="AW99" s="272"/>
      <c r="AX99" s="272"/>
      <c r="AY99" s="272"/>
    </row>
    <row r="100" spans="1:51" ht="27" customHeight="1" x14ac:dyDescent="1.05">
      <c r="A100" s="522" t="s">
        <v>127</v>
      </c>
      <c r="B100" s="523"/>
      <c r="C100" s="523"/>
      <c r="D100" s="523"/>
      <c r="E100" s="523"/>
      <c r="F100" s="523"/>
      <c r="G100" s="523"/>
      <c r="H100" s="524"/>
      <c r="I100" s="518">
        <f>SUMIFS(Input[Bond Proceeds E&amp;G],Input[Institution Name],$A$1)+SUMIFS(Input[Bond Proceeds Desg],Input[Institution Name],$A$1)+SUMIFS(Input[Bond Proceeds Aux],Input[Institution Name],$A$1)+SUMIFS(Input[Bond Proceeds R Exp],Input[Institution Name],$A$1)+SUMIFS(Input[Bond Proceeds Loan],Input[Institution Name],$A$1)+SUMIFS(Input[Bond Proceeds Annuity],Input[Institution Name],$A$1)+SUMIFS(Input[Bond Proceeds Unexp],Input[Institution Name],$A$1)+SUMIFS(Input[Bond Proceeds R of Ind],Input[Institution Name],$A$1)+SUMIFS(Input[Bond Proceeds Inv in P],Input[Institution Name],$A$1)</f>
        <v>0</v>
      </c>
      <c r="J100" s="518"/>
      <c r="K100" s="518"/>
      <c r="L100" s="529">
        <f t="shared" ref="L100:L106" si="27">IFERROR(ROUND(I100/L$6,0),0)</f>
        <v>0</v>
      </c>
      <c r="M100" s="529"/>
      <c r="N100" s="530"/>
      <c r="O100" s="272"/>
      <c r="P100" s="319"/>
      <c r="Q100" s="272"/>
      <c r="R100" s="522" t="s">
        <v>127</v>
      </c>
      <c r="S100" s="523"/>
      <c r="T100" s="523"/>
      <c r="U100" s="523"/>
      <c r="V100" s="523"/>
      <c r="W100" s="523"/>
      <c r="X100" s="523"/>
      <c r="Y100" s="524"/>
      <c r="Z100" s="518">
        <f>SUMIFS(Input[Bond Proceeds E&amp;G],Input[Institution Name],$R$1)+SUMIFS(Input[Bond Proceeds Desg],Input[Institution Name],$R$1)+SUMIFS(Input[Bond Proceeds Aux],Input[Institution Name],$R$1)+SUMIFS(Input[Bond Proceeds R Exp],Input[Institution Name],$R$1)+SUMIFS(Input[Bond Proceeds Loan],Input[Institution Name],$R$1)+SUMIFS(Input[Bond Proceeds Annuity],Input[Institution Name],$R$1)+SUMIFS(Input[Bond Proceeds Unexp],Input[Institution Name],$R$1)+SUMIFS(Input[Bond Proceeds R of Ind],Input[Institution Name],$R$1)+SUMIFS(Input[Bond Proceeds Inv in P],Input[Institution Name],$R$1)</f>
        <v>0</v>
      </c>
      <c r="AA100" s="518"/>
      <c r="AB100" s="518"/>
      <c r="AC100" s="529">
        <f t="shared" ref="AC100:AC106" si="28">IFERROR(ROUND(Z100/AC$6,0),0)</f>
        <v>0</v>
      </c>
      <c r="AD100" s="529"/>
      <c r="AE100" s="530"/>
      <c r="AF100" s="272"/>
      <c r="AG100" s="319"/>
      <c r="AH100" s="270"/>
      <c r="AI100" s="522" t="s">
        <v>127</v>
      </c>
      <c r="AJ100" s="523"/>
      <c r="AK100" s="523"/>
      <c r="AL100" s="523"/>
      <c r="AM100" s="523"/>
      <c r="AN100" s="523"/>
      <c r="AO100" s="523"/>
      <c r="AP100" s="524"/>
      <c r="AQ100" s="518">
        <f>SUMIFS(Input[Bond Proceeds E&amp;G],Input[Institution Name],$AI$1)+SUMIFS(Input[Bond Proceeds Desg],Input[Institution Name],$AI$1)+SUMIFS(Input[Bond Proceeds Aux],Input[Institution Name],$AI$1)+SUMIFS(Input[Bond Proceeds R Exp],Input[Institution Name],$AI$1)+SUMIFS(Input[Bond Proceeds Loan],Input[Institution Name],$AI$1)+SUMIFS(Input[Bond Proceeds Annuity],Input[Institution Name],$AI$1)+SUMIFS(Input[Bond Proceeds Unexp],Input[Institution Name],$AI$1)+SUMIFS(Input[Bond Proceeds R of Ind],Input[Institution Name],$AI$1)+SUMIFS(Input[Bond Proceeds Inv in P],Input[Institution Name],$AI$1)</f>
        <v>0</v>
      </c>
      <c r="AR100" s="518"/>
      <c r="AS100" s="518"/>
      <c r="AT100" s="529">
        <f t="shared" ref="AT100:AT106" si="29">IFERROR(ROUND(AQ100/AT$6,0),0)</f>
        <v>0</v>
      </c>
      <c r="AU100" s="529"/>
      <c r="AV100" s="530"/>
      <c r="AW100" s="272"/>
      <c r="AX100" s="272"/>
      <c r="AY100" s="272"/>
    </row>
    <row r="101" spans="1:51" ht="27" customHeight="1" x14ac:dyDescent="1.05">
      <c r="A101" s="525" t="s">
        <v>128</v>
      </c>
      <c r="B101" s="434"/>
      <c r="C101" s="434"/>
      <c r="D101" s="434"/>
      <c r="E101" s="434"/>
      <c r="F101" s="434"/>
      <c r="G101" s="434"/>
      <c r="H101" s="435"/>
      <c r="I101" s="519">
        <f>SUMIFS(Input[Dep Exp E&amp;G],Input[Institution Name],$A$1)+SUMIFS(Input[Dep Exp Desg],Input[Institution Name],$A$1)+SUMIFS(Input[Dep Exp Aux],Input[Institution Name],$A$1)+SUMIFS(Input[Dep Exp R Exp],Input[Institution Name],$A$1)+SUMIFS(Input[Dep Exp Loan],Input[Institution Name],$A$1)+SUMIFS(Input[Dep Exp Annuity],Input[Institution Name],$A$1)+SUMIFS(Input[Dep Exp Unexp],Input[Institution Name],$A$1)+SUMIFS(Input[Dep Exp R of Ind],Input[Institution Name],$A$1)+SUMIFS(Input[Dep Exp Inv in P],Input[Institution Name],$A$1)</f>
        <v>0</v>
      </c>
      <c r="J101" s="519"/>
      <c r="K101" s="519"/>
      <c r="L101" s="432">
        <f t="shared" si="27"/>
        <v>0</v>
      </c>
      <c r="M101" s="432"/>
      <c r="N101" s="536"/>
      <c r="O101" s="272"/>
      <c r="P101" s="319"/>
      <c r="Q101" s="272"/>
      <c r="R101" s="525" t="s">
        <v>128</v>
      </c>
      <c r="S101" s="434"/>
      <c r="T101" s="434"/>
      <c r="U101" s="434"/>
      <c r="V101" s="434"/>
      <c r="W101" s="434"/>
      <c r="X101" s="434"/>
      <c r="Y101" s="435"/>
      <c r="Z101" s="519">
        <f>SUMIFS(Input[Dep Exp E&amp;G],Input[Institution Name],$R$1)+SUMIFS(Input[Dep Exp Desg],Input[Institution Name],$R$1)+SUMIFS(Input[Dep Exp Aux],Input[Institution Name],$R$1)+SUMIFS(Input[Dep Exp R Exp],Input[Institution Name],$R$1)+SUMIFS(Input[Dep Exp Loan],Input[Institution Name],$R$1)+SUMIFS(Input[Dep Exp Annuity],Input[Institution Name],$R$1)+SUMIFS(Input[Dep Exp Unexp],Input[Institution Name],$R$1)+SUMIFS(Input[Dep Exp R of Ind],Input[Institution Name],$R$1)+SUMIFS(Input[Dep Exp Inv in P],Input[Institution Name],$R$1)</f>
        <v>0</v>
      </c>
      <c r="AA101" s="519"/>
      <c r="AB101" s="519"/>
      <c r="AC101" s="432">
        <f t="shared" si="28"/>
        <v>0</v>
      </c>
      <c r="AD101" s="432"/>
      <c r="AE101" s="536"/>
      <c r="AF101" s="272"/>
      <c r="AG101" s="319"/>
      <c r="AH101" s="270"/>
      <c r="AI101" s="525" t="s">
        <v>128</v>
      </c>
      <c r="AJ101" s="434"/>
      <c r="AK101" s="434"/>
      <c r="AL101" s="434"/>
      <c r="AM101" s="434"/>
      <c r="AN101" s="434"/>
      <c r="AO101" s="434"/>
      <c r="AP101" s="435"/>
      <c r="AQ101" s="519">
        <f>SUMIFS(Input[Dep Exp E&amp;G],Input[Institution Name],$AI$1)+SUMIFS(Input[Dep Exp Desg],Input[Institution Name],$AI$1)+SUMIFS(Input[Dep Exp Aux],Input[Institution Name],$AI$1)+SUMIFS(Input[Dep Exp R Exp],Input[Institution Name],$AI$1)+SUMIFS(Input[Dep Exp Loan],Input[Institution Name],$AI$1)+SUMIFS(Input[Dep Exp Annuity],Input[Institution Name],$AI$1)+SUMIFS(Input[Dep Exp Unexp],Input[Institution Name],$AI$1)+SUMIFS(Input[Dep Exp R of Ind],Input[Institution Name],$AI$1)+SUMIFS(Input[Dep Exp Inv in P],Input[Institution Name],$AI$1)</f>
        <v>0</v>
      </c>
      <c r="AR101" s="519"/>
      <c r="AS101" s="519"/>
      <c r="AT101" s="432">
        <f t="shared" si="29"/>
        <v>0</v>
      </c>
      <c r="AU101" s="432"/>
      <c r="AV101" s="536"/>
      <c r="AW101" s="272"/>
      <c r="AX101" s="272"/>
      <c r="AY101" s="272"/>
    </row>
    <row r="102" spans="1:51" ht="27" customHeight="1" x14ac:dyDescent="1.05">
      <c r="A102" s="525" t="s">
        <v>129</v>
      </c>
      <c r="B102" s="434"/>
      <c r="C102" s="434"/>
      <c r="D102" s="434"/>
      <c r="E102" s="434"/>
      <c r="F102" s="434"/>
      <c r="G102" s="434"/>
      <c r="H102" s="435"/>
      <c r="I102" s="519">
        <f>SUMIFS(Input[Xfr Cap Sys E&amp;G],Input[Institution Name],$A$1)+SUMIFS(Input[Xfr Cap Sys Desg],Input[Institution Name],$A$1)+SUMIFS(Input[Xfr Cap Sys Aux],Input[Institution Name],$A$1)+SUMIFS(Input[Xfr Cap Sys R Exp],Input[Institution Name],$A$1)+SUMIFS(Input[Xfr Cap Sys Loan],Input[Institution Name],$A$1)+SUMIFS(Input[Xfr Cap Sys Annuity],Input[Institution Name],$A$1)+SUMIFS(Input[Xfr Cap Sys Unexp],Input[Institution Name],$A$1)+SUMIFS(Input[Xfr Cap Sys R of Ind],Input[Institution Name],$A$1)+SUMIFS(Input[Xfr Cap Sys Inv in P],Input[Institution Name],$A$1)</f>
        <v>0</v>
      </c>
      <c r="J102" s="519"/>
      <c r="K102" s="519"/>
      <c r="L102" s="432">
        <f t="shared" si="27"/>
        <v>0</v>
      </c>
      <c r="M102" s="432"/>
      <c r="N102" s="536"/>
      <c r="O102" s="272"/>
      <c r="P102" s="319"/>
      <c r="Q102" s="272"/>
      <c r="R102" s="525" t="s">
        <v>129</v>
      </c>
      <c r="S102" s="434"/>
      <c r="T102" s="434"/>
      <c r="U102" s="434"/>
      <c r="V102" s="434"/>
      <c r="W102" s="434"/>
      <c r="X102" s="434"/>
      <c r="Y102" s="435"/>
      <c r="Z102" s="519">
        <f>SUMIFS(Input[Xfr Cap Sys E&amp;G],Input[Institution Name],$R$1)+SUMIFS(Input[Xfr Cap Sys Desg],Input[Institution Name],$R$1)+SUMIFS(Input[Xfr Cap Sys Aux],Input[Institution Name],$R$1)+SUMIFS(Input[Xfr Cap Sys R Exp],Input[Institution Name],$R$1)+SUMIFS(Input[Xfr Cap Sys Loan],Input[Institution Name],$R$1)+SUMIFS(Input[Xfr Cap Sys Annuity],Input[Institution Name],$R$1)+SUMIFS(Input[Xfr Cap Sys Unexp],Input[Institution Name],$R$1)+SUMIFS(Input[Xfr Cap Sys R of Ind],Input[Institution Name],$R$1)+SUMIFS(Input[Xfr Cap Sys Inv in P],Input[Institution Name],$R$1)</f>
        <v>0</v>
      </c>
      <c r="AA102" s="519"/>
      <c r="AB102" s="519"/>
      <c r="AC102" s="432">
        <f t="shared" si="28"/>
        <v>0</v>
      </c>
      <c r="AD102" s="432"/>
      <c r="AE102" s="536"/>
      <c r="AF102" s="272"/>
      <c r="AG102" s="319"/>
      <c r="AH102" s="270"/>
      <c r="AI102" s="525" t="s">
        <v>129</v>
      </c>
      <c r="AJ102" s="434"/>
      <c r="AK102" s="434"/>
      <c r="AL102" s="434"/>
      <c r="AM102" s="434"/>
      <c r="AN102" s="434"/>
      <c r="AO102" s="434"/>
      <c r="AP102" s="435"/>
      <c r="AQ102" s="519">
        <f>SUMIFS(Input[Xfr Cap Sys E&amp;G],Input[Institution Name],$AI$1)+SUMIFS(Input[Xfr Cap Sys Desg],Input[Institution Name],$AI$1)+SUMIFS(Input[Xfr Cap Sys Aux],Input[Institution Name],$AI$1)+SUMIFS(Input[Xfr Cap Sys R Exp],Input[Institution Name],$AI$1)+SUMIFS(Input[Xfr Cap Sys Loan],Input[Institution Name],$AI$1)+SUMIFS(Input[Xfr Cap Sys Annuity],Input[Institution Name],$AI$1)+SUMIFS(Input[Xfr Cap Sys Unexp],Input[Institution Name],$AI$1)+SUMIFS(Input[Xfr Cap Sys R of Ind],Input[Institution Name],$AI$1)+SUMIFS(Input[Xfr Cap Sys Inv in P],Input[Institution Name],$AI$1)</f>
        <v>0</v>
      </c>
      <c r="AR102" s="519"/>
      <c r="AS102" s="519"/>
      <c r="AT102" s="432">
        <f t="shared" si="29"/>
        <v>0</v>
      </c>
      <c r="AU102" s="432"/>
      <c r="AV102" s="536"/>
      <c r="AW102" s="272"/>
      <c r="AX102" s="272"/>
      <c r="AY102" s="272"/>
    </row>
    <row r="103" spans="1:51" ht="27" customHeight="1" x14ac:dyDescent="1.05">
      <c r="A103" s="525" t="s">
        <v>130</v>
      </c>
      <c r="B103" s="434"/>
      <c r="C103" s="434"/>
      <c r="D103" s="434"/>
      <c r="E103" s="434"/>
      <c r="F103" s="434"/>
      <c r="G103" s="434"/>
      <c r="H103" s="435"/>
      <c r="I103" s="519">
        <f>SUMIFS(Input[OPEB Exp E&amp;G],Input[Institution Name],$A$1)+SUMIFS(Input[OPEB Exp Desg],Input[Institution Name],$A$1)+SUMIFS(Input[OPEB Exp Aux],Input[Institution Name],$A$1)+SUMIFS(Input[OPEB Exp R Exp],Input[Institution Name],$A$1)+SUMIFS(Input[OPEB Exp Loan],Input[Institution Name],$A$1)+SUMIFS(Input[OPEB Exp Annuity],Input[Institution Name],$A$1)+SUMIFS(Input[OPEB Exp Unexp],Input[Institution Name],$A$1)+SUMIFS(Input[OPEB Exp R of Ind],Input[Institution Name],$A$1)+SUMIFS(Input[OPEB Exp Inv in P],Input[Institution Name],$A$1)</f>
        <v>0</v>
      </c>
      <c r="J103" s="519"/>
      <c r="K103" s="519"/>
      <c r="L103" s="432">
        <f t="shared" si="27"/>
        <v>0</v>
      </c>
      <c r="M103" s="432"/>
      <c r="N103" s="536"/>
      <c r="O103" s="272"/>
      <c r="P103" s="319"/>
      <c r="Q103" s="272"/>
      <c r="R103" s="525" t="s">
        <v>130</v>
      </c>
      <c r="S103" s="434"/>
      <c r="T103" s="434"/>
      <c r="U103" s="434"/>
      <c r="V103" s="434"/>
      <c r="W103" s="434"/>
      <c r="X103" s="434"/>
      <c r="Y103" s="435"/>
      <c r="Z103" s="519">
        <f>SUMIFS(Input[OPEB Exp E&amp;G],Input[Institution Name],$R$1)+SUMIFS(Input[OPEB Exp Desg],Input[Institution Name],$R$1)+SUMIFS(Input[OPEB Exp Aux],Input[Institution Name],$R$1)+SUMIFS(Input[OPEB Exp R Exp],Input[Institution Name],$R$1)+SUMIFS(Input[OPEB Exp Loan],Input[Institution Name],$R$1)+SUMIFS(Input[OPEB Exp Annuity],Input[Institution Name],$R$1)+SUMIFS(Input[OPEB Exp Unexp],Input[Institution Name],$R$1)+SUMIFS(Input[OPEB Exp R of Ind],Input[Institution Name],$R$1)+SUMIFS(Input[OPEB Exp Inv in P],Input[Institution Name],$R$1)</f>
        <v>0</v>
      </c>
      <c r="AA103" s="519"/>
      <c r="AB103" s="519"/>
      <c r="AC103" s="432">
        <f t="shared" si="28"/>
        <v>0</v>
      </c>
      <c r="AD103" s="432"/>
      <c r="AE103" s="536"/>
      <c r="AF103" s="272"/>
      <c r="AG103" s="319"/>
      <c r="AH103" s="270"/>
      <c r="AI103" s="525" t="s">
        <v>130</v>
      </c>
      <c r="AJ103" s="434"/>
      <c r="AK103" s="434"/>
      <c r="AL103" s="434"/>
      <c r="AM103" s="434"/>
      <c r="AN103" s="434"/>
      <c r="AO103" s="434"/>
      <c r="AP103" s="435"/>
      <c r="AQ103" s="519">
        <f>SUMIFS(Input[OPEB Exp E&amp;G],Input[Institution Name],$AI$1)+SUMIFS(Input[OPEB Exp Desg],Input[Institution Name],$AI$1)+SUMIFS(Input[OPEB Exp Aux],Input[Institution Name],$AI$1)+SUMIFS(Input[OPEB Exp R Exp],Input[Institution Name],$AI$1)+SUMIFS(Input[OPEB Exp Loan],Input[Institution Name],$AI$1)+SUMIFS(Input[OPEB Exp Annuity],Input[Institution Name],$AI$1)+SUMIFS(Input[OPEB Exp Unexp],Input[Institution Name],$AI$1)+SUMIFS(Input[OPEB Exp R of Ind],Input[Institution Name],$AI$1)+SUMIFS(Input[OPEB Exp Inv in P],Input[Institution Name],$AI$1)</f>
        <v>0</v>
      </c>
      <c r="AR103" s="519"/>
      <c r="AS103" s="519"/>
      <c r="AT103" s="432">
        <f t="shared" si="29"/>
        <v>0</v>
      </c>
      <c r="AU103" s="432"/>
      <c r="AV103" s="536"/>
      <c r="AW103" s="272"/>
      <c r="AX103" s="272"/>
      <c r="AY103" s="272"/>
    </row>
    <row r="104" spans="1:51" ht="27" customHeight="1" x14ac:dyDescent="1.05">
      <c r="A104" s="525" t="s">
        <v>131</v>
      </c>
      <c r="B104" s="434"/>
      <c r="C104" s="434"/>
      <c r="D104" s="434"/>
      <c r="E104" s="434"/>
      <c r="F104" s="434"/>
      <c r="G104" s="434"/>
      <c r="H104" s="435"/>
      <c r="I104" s="519">
        <f>SUMIFS(Input[Non-Cash Cap E&amp;G],Input[Institution Name],$A$1)+SUMIFS(Input[Non-Cash Cap Desg],Input[Institution Name],$A$1)+SUMIFS(Input[Non-Cash Cap Aux],Input[Institution Name],$A$1)+SUMIFS(Input[Non-Cash Cap R Exp],Input[Institution Name],$A$1)+SUMIFS(Input[Non-Cash Cap Loan],Input[Institution Name],$A$1)+SUMIFS(Input[Non-Cash Cap Annuity],Input[Institution Name],$A$1)+SUMIFS(Input[Non-Cash Cap Unexp],Input[Institution Name],$A$1)+SUMIFS(Input[Non-Cash Cap R of Ind],Input[Institution Name],$A$1)+SUMIFS(Input[Non-Cash Cap Inv in P],Input[Institution Name],$A$1)</f>
        <v>0</v>
      </c>
      <c r="J104" s="519"/>
      <c r="K104" s="519"/>
      <c r="L104" s="432">
        <f t="shared" si="27"/>
        <v>0</v>
      </c>
      <c r="M104" s="432"/>
      <c r="N104" s="536"/>
      <c r="O104" s="272"/>
      <c r="P104" s="319"/>
      <c r="Q104" s="272"/>
      <c r="R104" s="525" t="s">
        <v>131</v>
      </c>
      <c r="S104" s="434"/>
      <c r="T104" s="434"/>
      <c r="U104" s="434"/>
      <c r="V104" s="434"/>
      <c r="W104" s="434"/>
      <c r="X104" s="434"/>
      <c r="Y104" s="435"/>
      <c r="Z104" s="519">
        <f>SUMIFS(Input[Non-Cash Cap E&amp;G],Input[Institution Name],$R$1)+SUMIFS(Input[Non-Cash Cap Desg],Input[Institution Name],$R$1)+SUMIFS(Input[Non-Cash Cap Aux],Input[Institution Name],$R$1)+SUMIFS(Input[Non-Cash Cap R Exp],Input[Institution Name],$R$1)+SUMIFS(Input[Non-Cash Cap Loan],Input[Institution Name],$R$1)+SUMIFS(Input[Non-Cash Cap Annuity],Input[Institution Name],$R$1)+SUMIFS(Input[Non-Cash Cap Unexp],Input[Institution Name],$R$1)+SUMIFS(Input[Non-Cash Cap R of Ind],Input[Institution Name],$R$1)+SUMIFS(Input[Non-Cash Cap Inv in P],Input[Institution Name],$R$1)</f>
        <v>0</v>
      </c>
      <c r="AA104" s="519"/>
      <c r="AB104" s="519"/>
      <c r="AC104" s="432">
        <f t="shared" si="28"/>
        <v>0</v>
      </c>
      <c r="AD104" s="432"/>
      <c r="AE104" s="536"/>
      <c r="AF104" s="272"/>
      <c r="AG104" s="319"/>
      <c r="AH104" s="270"/>
      <c r="AI104" s="525" t="s">
        <v>131</v>
      </c>
      <c r="AJ104" s="434"/>
      <c r="AK104" s="434"/>
      <c r="AL104" s="434"/>
      <c r="AM104" s="434"/>
      <c r="AN104" s="434"/>
      <c r="AO104" s="434"/>
      <c r="AP104" s="435"/>
      <c r="AQ104" s="519">
        <f>SUMIFS(Input[Non-Cash Cap E&amp;G],Input[Institution Name],$AI$1)+SUMIFS(Input[Non-Cash Cap Desg],Input[Institution Name],$AI$1)+SUMIFS(Input[Non-Cash Cap Aux],Input[Institution Name],$AI$1)+SUMIFS(Input[Non-Cash Cap R Exp],Input[Institution Name],$AI$1)+SUMIFS(Input[Non-Cash Cap Loan],Input[Institution Name],$AI$1)+SUMIFS(Input[Non-Cash Cap Annuity],Input[Institution Name],$AI$1)+SUMIFS(Input[Non-Cash Cap Unexp],Input[Institution Name],$AI$1)+SUMIFS(Input[Non-Cash Cap R of Ind],Input[Institution Name],$AI$1)+SUMIFS(Input[Non-Cash Cap Inv in P],Input[Institution Name],$AI$1)</f>
        <v>0</v>
      </c>
      <c r="AR104" s="519"/>
      <c r="AS104" s="519"/>
      <c r="AT104" s="432">
        <f t="shared" si="29"/>
        <v>0</v>
      </c>
      <c r="AU104" s="432"/>
      <c r="AV104" s="536"/>
      <c r="AW104" s="272"/>
      <c r="AX104" s="272"/>
      <c r="AY104" s="272"/>
    </row>
    <row r="105" spans="1:51" ht="27" customHeight="1" thickBot="1" x14ac:dyDescent="1.1000000000000001">
      <c r="A105" s="525" t="s">
        <v>132</v>
      </c>
      <c r="B105" s="434"/>
      <c r="C105" s="434"/>
      <c r="D105" s="434"/>
      <c r="E105" s="434"/>
      <c r="F105" s="434"/>
      <c r="G105" s="434"/>
      <c r="H105" s="435"/>
      <c r="I105" s="520">
        <f>SUMIFS(Input[Cap Out E&amp;G],Input[Institution Name],$A$1)+SUMIFS(Input[Cap Out Desg],Input[Institution Name],$A$1)+SUMIFS(Input[Cap Out Aux],Input[Institution Name],$A$1)+SUMIFS(Input[Cap Out R Exp],Input[Institution Name],$A$1)+SUMIFS(Input[Cap Out Loan],Input[Institution Name],$A$1)+SUMIFS(Input[Cap Out Annuity],Input[Institution Name],$A$1)+SUMIFS(Input[Cap Out Unexp],Input[Institution Name],$A$1)+SUMIFS(Input[Cap Out R of Ind],Input[Institution Name],$A$1)+SUMIFS(Input[Cap Out Inv in P],Input[Institution Name],$A$1)</f>
        <v>0</v>
      </c>
      <c r="J105" s="520"/>
      <c r="K105" s="520"/>
      <c r="L105" s="534">
        <f t="shared" si="27"/>
        <v>0</v>
      </c>
      <c r="M105" s="534"/>
      <c r="N105" s="535"/>
      <c r="O105" s="272"/>
      <c r="P105" s="319"/>
      <c r="Q105" s="272"/>
      <c r="R105" s="525" t="s">
        <v>132</v>
      </c>
      <c r="S105" s="434"/>
      <c r="T105" s="434"/>
      <c r="U105" s="434"/>
      <c r="V105" s="434"/>
      <c r="W105" s="434"/>
      <c r="X105" s="434"/>
      <c r="Y105" s="435"/>
      <c r="Z105" s="520">
        <f>SUMIFS(Input[Cap Out E&amp;G],Input[Institution Name],$R$1)+SUMIFS(Input[Cap Out Desg],Input[Institution Name],$R$1)+SUMIFS(Input[Cap Out Aux],Input[Institution Name],$R$1)+SUMIFS(Input[Cap Out R Exp],Input[Institution Name],$R$1)+SUMIFS(Input[Cap Out Loan],Input[Institution Name],$R$1)+SUMIFS(Input[Cap Out Annuity],Input[Institution Name],$R$1)+SUMIFS(Input[Cap Out Unexp],Input[Institution Name],$R$1)+SUMIFS(Input[Cap Out R of Ind],Input[Institution Name],$R$1)+SUMIFS(Input[Cap Out Inv in P],Input[Institution Name],$R$1)</f>
        <v>0</v>
      </c>
      <c r="AA105" s="520"/>
      <c r="AB105" s="520"/>
      <c r="AC105" s="534">
        <f t="shared" si="28"/>
        <v>0</v>
      </c>
      <c r="AD105" s="534"/>
      <c r="AE105" s="535"/>
      <c r="AF105" s="272"/>
      <c r="AG105" s="319"/>
      <c r="AH105" s="270"/>
      <c r="AI105" s="525" t="s">
        <v>132</v>
      </c>
      <c r="AJ105" s="434"/>
      <c r="AK105" s="434"/>
      <c r="AL105" s="434"/>
      <c r="AM105" s="434"/>
      <c r="AN105" s="434"/>
      <c r="AO105" s="434"/>
      <c r="AP105" s="435"/>
      <c r="AQ105" s="520">
        <f>SUMIFS(Input[Cap Out E&amp;G],Input[Institution Name],$AI$1)+SUMIFS(Input[Cap Out Desg],Input[Institution Name],$AI$1)+SUMIFS(Input[Cap Out Aux],Input[Institution Name],$AI$1)+SUMIFS(Input[Cap Out R Exp],Input[Institution Name],$AI$1)+SUMIFS(Input[Cap Out Loan],Input[Institution Name],$AI$1)+SUMIFS(Input[Cap Out Annuity],Input[Institution Name],$AI$1)+SUMIFS(Input[Cap Out Unexp],Input[Institution Name],$AI$1)+SUMIFS(Input[Cap Out R of Ind],Input[Institution Name],$AI$1)+SUMIFS(Input[Cap Out Inv in P],Input[Institution Name],$AI$1)</f>
        <v>0</v>
      </c>
      <c r="AR105" s="520"/>
      <c r="AS105" s="520"/>
      <c r="AT105" s="534">
        <f t="shared" si="29"/>
        <v>0</v>
      </c>
      <c r="AU105" s="534"/>
      <c r="AV105" s="535"/>
      <c r="AW105" s="272"/>
      <c r="AX105" s="272"/>
      <c r="AY105" s="272"/>
    </row>
    <row r="106" spans="1:51" ht="27" customHeight="1" thickBot="1" x14ac:dyDescent="1.1000000000000001">
      <c r="A106" s="509" t="s">
        <v>728</v>
      </c>
      <c r="B106" s="510"/>
      <c r="C106" s="510"/>
      <c r="D106" s="510"/>
      <c r="E106" s="510"/>
      <c r="F106" s="510"/>
      <c r="G106" s="510"/>
      <c r="H106" s="510"/>
      <c r="I106" s="516">
        <f>SUM(I97,I100:I105)</f>
        <v>0</v>
      </c>
      <c r="J106" s="516"/>
      <c r="K106" s="516"/>
      <c r="L106" s="516">
        <f t="shared" si="27"/>
        <v>0</v>
      </c>
      <c r="M106" s="516"/>
      <c r="N106" s="517"/>
      <c r="O106" s="272"/>
      <c r="P106" s="319"/>
      <c r="Q106" s="272"/>
      <c r="R106" s="509" t="s">
        <v>728</v>
      </c>
      <c r="S106" s="510"/>
      <c r="T106" s="510"/>
      <c r="U106" s="510"/>
      <c r="V106" s="510"/>
      <c r="W106" s="510"/>
      <c r="X106" s="510"/>
      <c r="Y106" s="510"/>
      <c r="Z106" s="516">
        <f>SUM(Z97,Z100:Z105)</f>
        <v>0</v>
      </c>
      <c r="AA106" s="516"/>
      <c r="AB106" s="516"/>
      <c r="AC106" s="516">
        <f t="shared" si="28"/>
        <v>0</v>
      </c>
      <c r="AD106" s="516"/>
      <c r="AE106" s="517"/>
      <c r="AF106" s="272"/>
      <c r="AG106" s="319"/>
      <c r="AH106" s="270"/>
      <c r="AI106" s="509" t="s">
        <v>728</v>
      </c>
      <c r="AJ106" s="510"/>
      <c r="AK106" s="510"/>
      <c r="AL106" s="510"/>
      <c r="AM106" s="510"/>
      <c r="AN106" s="510"/>
      <c r="AO106" s="510"/>
      <c r="AP106" s="510"/>
      <c r="AQ106" s="516">
        <f>SUM(AQ97,AQ100:AQ105)</f>
        <v>0</v>
      </c>
      <c r="AR106" s="516"/>
      <c r="AS106" s="516"/>
      <c r="AT106" s="516">
        <f t="shared" si="29"/>
        <v>0</v>
      </c>
      <c r="AU106" s="516"/>
      <c r="AV106" s="517"/>
      <c r="AW106" s="272"/>
      <c r="AX106" s="272"/>
      <c r="AY106" s="272"/>
    </row>
    <row r="107" spans="1:51" ht="27" customHeight="1" x14ac:dyDescent="0.55000000000000004">
      <c r="A107" s="22"/>
      <c r="B107" s="22"/>
      <c r="C107" s="22"/>
      <c r="D107" s="22"/>
      <c r="E107" s="22"/>
      <c r="F107" s="22"/>
      <c r="G107" s="22"/>
      <c r="H107" s="22"/>
      <c r="I107" s="22"/>
      <c r="J107" s="22"/>
      <c r="K107" s="22"/>
      <c r="L107" s="22"/>
      <c r="M107" s="22"/>
      <c r="N107" s="22"/>
      <c r="O107" s="22"/>
      <c r="P107" s="313"/>
      <c r="Q107" s="22"/>
      <c r="R107" s="22"/>
      <c r="S107" s="22"/>
      <c r="T107" s="22"/>
      <c r="U107" s="22"/>
      <c r="V107" s="22"/>
      <c r="W107" s="22"/>
      <c r="X107" s="22"/>
      <c r="Y107" s="22"/>
      <c r="Z107" s="22"/>
      <c r="AA107" s="22"/>
      <c r="AB107" s="22"/>
      <c r="AC107" s="22"/>
      <c r="AD107" s="22"/>
      <c r="AE107" s="22"/>
      <c r="AF107" s="22"/>
      <c r="AG107" s="313"/>
      <c r="AH107" s="270"/>
      <c r="AI107" s="22"/>
      <c r="AJ107" s="22"/>
      <c r="AK107" s="22"/>
      <c r="AL107" s="22"/>
      <c r="AM107" s="22"/>
      <c r="AN107" s="22"/>
      <c r="AO107" s="22"/>
      <c r="AP107" s="22"/>
      <c r="AQ107" s="22"/>
      <c r="AR107" s="22"/>
      <c r="AS107" s="22"/>
      <c r="AT107" s="22"/>
      <c r="AU107" s="22"/>
      <c r="AV107" s="22"/>
      <c r="AW107" s="22"/>
      <c r="AX107" s="22"/>
      <c r="AY107" s="22"/>
    </row>
    <row r="108" spans="1:51" ht="27" customHeight="1" x14ac:dyDescent="0.55000000000000004">
      <c r="A108" s="22"/>
      <c r="B108" s="22"/>
      <c r="C108" s="22"/>
      <c r="D108" s="22"/>
      <c r="E108" s="22"/>
      <c r="F108" s="22"/>
      <c r="G108" s="22"/>
      <c r="H108" s="22"/>
      <c r="I108" s="22"/>
      <c r="J108" s="22"/>
      <c r="K108" s="22"/>
      <c r="L108" s="22"/>
      <c r="M108" s="22"/>
      <c r="N108" s="22"/>
      <c r="O108" s="22"/>
      <c r="P108" s="313"/>
      <c r="Q108" s="22"/>
      <c r="R108" s="22"/>
      <c r="S108" s="22"/>
      <c r="T108" s="22"/>
      <c r="U108" s="22"/>
      <c r="V108" s="22"/>
      <c r="W108" s="22"/>
      <c r="X108" s="22"/>
      <c r="Y108" s="22"/>
      <c r="Z108" s="22"/>
      <c r="AA108" s="22"/>
      <c r="AB108" s="22"/>
      <c r="AC108" s="22"/>
      <c r="AD108" s="22"/>
      <c r="AE108" s="22"/>
      <c r="AF108" s="22"/>
      <c r="AG108" s="313"/>
      <c r="AH108" s="22"/>
      <c r="AI108" s="22"/>
      <c r="AJ108" s="22"/>
      <c r="AK108" s="22"/>
      <c r="AL108" s="22"/>
      <c r="AM108" s="22"/>
      <c r="AN108" s="22"/>
      <c r="AO108" s="22"/>
      <c r="AP108" s="22"/>
      <c r="AQ108" s="22"/>
      <c r="AR108" s="22"/>
      <c r="AS108" s="22"/>
      <c r="AT108" s="22"/>
      <c r="AU108" s="22"/>
      <c r="AV108" s="22"/>
      <c r="AW108" s="22"/>
      <c r="AX108" s="22"/>
      <c r="AY108" s="22"/>
    </row>
    <row r="109" spans="1:51" ht="27" customHeight="1" x14ac:dyDescent="0.55000000000000004">
      <c r="A109" s="22"/>
      <c r="B109" s="22"/>
      <c r="C109" s="22"/>
      <c r="D109" s="22"/>
      <c r="E109" s="22"/>
      <c r="F109" s="22"/>
      <c r="G109" s="22"/>
      <c r="H109" s="22"/>
      <c r="I109" s="22"/>
      <c r="J109" s="22"/>
      <c r="K109" s="22"/>
      <c r="L109" s="22"/>
      <c r="M109" s="22"/>
      <c r="N109" s="22"/>
      <c r="O109" s="22"/>
      <c r="P109" s="313"/>
      <c r="Q109" s="22"/>
      <c r="R109" s="22"/>
      <c r="S109" s="22"/>
      <c r="T109" s="22"/>
      <c r="U109" s="22"/>
      <c r="V109" s="22"/>
      <c r="W109" s="22"/>
      <c r="X109" s="22"/>
      <c r="Y109" s="22"/>
      <c r="Z109" s="22"/>
      <c r="AA109" s="22"/>
      <c r="AB109" s="22"/>
      <c r="AC109" s="22"/>
      <c r="AD109" s="22"/>
      <c r="AE109" s="22"/>
      <c r="AF109" s="22"/>
      <c r="AG109" s="313"/>
      <c r="AH109" s="22"/>
      <c r="AI109" s="22"/>
      <c r="AJ109" s="22"/>
      <c r="AK109" s="22"/>
      <c r="AL109" s="22"/>
      <c r="AM109" s="22"/>
      <c r="AN109" s="22"/>
      <c r="AO109" s="22"/>
      <c r="AP109" s="22"/>
      <c r="AQ109" s="22"/>
      <c r="AR109" s="22"/>
      <c r="AS109" s="22"/>
      <c r="AT109" s="22"/>
      <c r="AU109" s="22"/>
      <c r="AV109" s="22"/>
      <c r="AW109" s="22"/>
      <c r="AX109" s="22"/>
      <c r="AY109" s="22"/>
    </row>
  </sheetData>
  <sheetProtection algorithmName="SHA-512" hashValue="8opw+0EM+T/gLdumaLZ/UhilalTJRrXmVTmdlibRgMroN5PWY5rZ4jgWwKEcJDjJ5vS5CrOBCjZaRlF8PufocA==" saltValue="NuFEjlqonbWSfs/pu7Oemw==" spinCount="100000" sheet="1" objects="1" scenarios="1" formatColumns="0" formatRows="0"/>
  <mergeCells count="750">
    <mergeCell ref="R1:AC1"/>
    <mergeCell ref="AC6:AE6"/>
    <mergeCell ref="Z6:AB6"/>
    <mergeCell ref="R11:Y11"/>
    <mergeCell ref="Z11:AB11"/>
    <mergeCell ref="AC11:AE11"/>
    <mergeCell ref="R10:Y10"/>
    <mergeCell ref="Z10:AB10"/>
    <mergeCell ref="AC10:AE10"/>
    <mergeCell ref="R8:AE8"/>
    <mergeCell ref="R9:Y9"/>
    <mergeCell ref="Z9:AB9"/>
    <mergeCell ref="AC9:AE9"/>
    <mergeCell ref="R14:Y14"/>
    <mergeCell ref="Z14:AB14"/>
    <mergeCell ref="AC14:AE14"/>
    <mergeCell ref="R13:Y13"/>
    <mergeCell ref="Z13:AB13"/>
    <mergeCell ref="AC13:AE13"/>
    <mergeCell ref="R12:Y12"/>
    <mergeCell ref="Z12:AB12"/>
    <mergeCell ref="AC12:AE12"/>
    <mergeCell ref="R18:AE18"/>
    <mergeCell ref="R19:Y19"/>
    <mergeCell ref="Z19:AB19"/>
    <mergeCell ref="AC19:AE19"/>
    <mergeCell ref="R16:Y16"/>
    <mergeCell ref="Z16:AB16"/>
    <mergeCell ref="AC16:AE16"/>
    <mergeCell ref="R17:Y17"/>
    <mergeCell ref="Z17:AB17"/>
    <mergeCell ref="AC17:AE17"/>
    <mergeCell ref="R22:Y22"/>
    <mergeCell ref="Z22:AB22"/>
    <mergeCell ref="AC22:AE22"/>
    <mergeCell ref="R23:Y23"/>
    <mergeCell ref="Z23:AB23"/>
    <mergeCell ref="AC23:AE23"/>
    <mergeCell ref="R20:Y20"/>
    <mergeCell ref="Z20:AB20"/>
    <mergeCell ref="AC20:AE20"/>
    <mergeCell ref="R21:Y21"/>
    <mergeCell ref="Z21:AB21"/>
    <mergeCell ref="AC21:AE21"/>
    <mergeCell ref="R27:Y27"/>
    <mergeCell ref="Z27:AB27"/>
    <mergeCell ref="AC27:AE27"/>
    <mergeCell ref="R24:AE24"/>
    <mergeCell ref="R25:Y25"/>
    <mergeCell ref="Z25:AB25"/>
    <mergeCell ref="AC25:AE25"/>
    <mergeCell ref="R26:Y26"/>
    <mergeCell ref="Z26:AB26"/>
    <mergeCell ref="AC26:AE26"/>
    <mergeCell ref="R30:Y30"/>
    <mergeCell ref="Z30:AB30"/>
    <mergeCell ref="AC30:AE30"/>
    <mergeCell ref="A29:H29"/>
    <mergeCell ref="I29:K29"/>
    <mergeCell ref="R29:Y29"/>
    <mergeCell ref="Z29:AB29"/>
    <mergeCell ref="AC29:AE29"/>
    <mergeCell ref="R28:Y28"/>
    <mergeCell ref="Z28:AB28"/>
    <mergeCell ref="AC28:AE28"/>
    <mergeCell ref="A35:H35"/>
    <mergeCell ref="I35:K35"/>
    <mergeCell ref="L35:N35"/>
    <mergeCell ref="R33:AE33"/>
    <mergeCell ref="R34:Y34"/>
    <mergeCell ref="Z34:AB34"/>
    <mergeCell ref="AC34:AE34"/>
    <mergeCell ref="R32:Y32"/>
    <mergeCell ref="Z32:AB32"/>
    <mergeCell ref="AC32:AE32"/>
    <mergeCell ref="R37:Y37"/>
    <mergeCell ref="Z37:AB37"/>
    <mergeCell ref="AC37:AE37"/>
    <mergeCell ref="R36:Y36"/>
    <mergeCell ref="Z36:AB36"/>
    <mergeCell ref="AC36:AE36"/>
    <mergeCell ref="R35:Y35"/>
    <mergeCell ref="Z35:AB35"/>
    <mergeCell ref="AC35:AE35"/>
    <mergeCell ref="R41:Y41"/>
    <mergeCell ref="Z41:AB41"/>
    <mergeCell ref="AC41:AE41"/>
    <mergeCell ref="R39:AE39"/>
    <mergeCell ref="R40:Y40"/>
    <mergeCell ref="Z40:AB40"/>
    <mergeCell ref="AC40:AE40"/>
    <mergeCell ref="R38:Y38"/>
    <mergeCell ref="Z38:AB38"/>
    <mergeCell ref="AC38:AE38"/>
    <mergeCell ref="R44:Y44"/>
    <mergeCell ref="Z44:AB44"/>
    <mergeCell ref="AC44:AE44"/>
    <mergeCell ref="R45:Y45"/>
    <mergeCell ref="Z45:AB45"/>
    <mergeCell ref="AC45:AE45"/>
    <mergeCell ref="R42:Y42"/>
    <mergeCell ref="Z42:AB42"/>
    <mergeCell ref="AC42:AE42"/>
    <mergeCell ref="R43:Y43"/>
    <mergeCell ref="Z43:AB43"/>
    <mergeCell ref="AC43:AE43"/>
    <mergeCell ref="R50:Y50"/>
    <mergeCell ref="Z50:AB50"/>
    <mergeCell ref="AC50:AE50"/>
    <mergeCell ref="R52:Y52"/>
    <mergeCell ref="Z52:AB52"/>
    <mergeCell ref="AC52:AE52"/>
    <mergeCell ref="R47:Y47"/>
    <mergeCell ref="Z47:AB47"/>
    <mergeCell ref="AC47:AE47"/>
    <mergeCell ref="R49:Y49"/>
    <mergeCell ref="Z49:AB49"/>
    <mergeCell ref="AC49:AE49"/>
    <mergeCell ref="R56:Y56"/>
    <mergeCell ref="Z56:AB56"/>
    <mergeCell ref="AC56:AE56"/>
    <mergeCell ref="R58:Y58"/>
    <mergeCell ref="Z58:AB58"/>
    <mergeCell ref="AC58:AE58"/>
    <mergeCell ref="R53:Y53"/>
    <mergeCell ref="Z53:AB53"/>
    <mergeCell ref="AC53:AE53"/>
    <mergeCell ref="R55:Y55"/>
    <mergeCell ref="Z55:AB55"/>
    <mergeCell ref="AC55:AE55"/>
    <mergeCell ref="R61:Y61"/>
    <mergeCell ref="Z61:AB61"/>
    <mergeCell ref="AC61:AE61"/>
    <mergeCell ref="R62:Y62"/>
    <mergeCell ref="Z62:AB62"/>
    <mergeCell ref="AC62:AE62"/>
    <mergeCell ref="R59:Y59"/>
    <mergeCell ref="Z59:AB59"/>
    <mergeCell ref="AC59:AE59"/>
    <mergeCell ref="R60:Y60"/>
    <mergeCell ref="Z60:AB60"/>
    <mergeCell ref="AC60:AE60"/>
    <mergeCell ref="R65:Y65"/>
    <mergeCell ref="Z65:AB65"/>
    <mergeCell ref="AC65:AE65"/>
    <mergeCell ref="R67:Y67"/>
    <mergeCell ref="Z67:AB67"/>
    <mergeCell ref="AC67:AE67"/>
    <mergeCell ref="R63:Y63"/>
    <mergeCell ref="Z63:AB63"/>
    <mergeCell ref="AC63:AE63"/>
    <mergeCell ref="R64:Y64"/>
    <mergeCell ref="Z64:AB64"/>
    <mergeCell ref="AC64:AE64"/>
    <mergeCell ref="R72:Y72"/>
    <mergeCell ref="Z72:AB72"/>
    <mergeCell ref="AC72:AE72"/>
    <mergeCell ref="R71:Y71"/>
    <mergeCell ref="Z71:AB71"/>
    <mergeCell ref="AC71:AE71"/>
    <mergeCell ref="R69:AE69"/>
    <mergeCell ref="R70:Y70"/>
    <mergeCell ref="Z70:AB70"/>
    <mergeCell ref="AC70:AE70"/>
    <mergeCell ref="R75:Y75"/>
    <mergeCell ref="Z75:AB75"/>
    <mergeCell ref="AC75:AE75"/>
    <mergeCell ref="A75:H75"/>
    <mergeCell ref="I75:K75"/>
    <mergeCell ref="R74:Y74"/>
    <mergeCell ref="Z74:AB74"/>
    <mergeCell ref="AC74:AE74"/>
    <mergeCell ref="R73:Y73"/>
    <mergeCell ref="Z73:AB73"/>
    <mergeCell ref="AC73:AE73"/>
    <mergeCell ref="A74:H74"/>
    <mergeCell ref="I74:K74"/>
    <mergeCell ref="L74:N74"/>
    <mergeCell ref="A73:H73"/>
    <mergeCell ref="I73:K73"/>
    <mergeCell ref="L73:N73"/>
    <mergeCell ref="L75:N75"/>
    <mergeCell ref="R78:Y78"/>
    <mergeCell ref="Z78:AB78"/>
    <mergeCell ref="AC78:AE78"/>
    <mergeCell ref="R77:Y77"/>
    <mergeCell ref="Z77:AB77"/>
    <mergeCell ref="AC77:AE77"/>
    <mergeCell ref="R76:Y76"/>
    <mergeCell ref="Z76:AB76"/>
    <mergeCell ref="AC76:AE76"/>
    <mergeCell ref="R81:Y81"/>
    <mergeCell ref="Z81:AB81"/>
    <mergeCell ref="AC81:AE81"/>
    <mergeCell ref="R80:Y80"/>
    <mergeCell ref="Z80:AB80"/>
    <mergeCell ref="AC80:AE80"/>
    <mergeCell ref="R79:Y79"/>
    <mergeCell ref="Z79:AB79"/>
    <mergeCell ref="AC79:AE79"/>
    <mergeCell ref="R85:Y85"/>
    <mergeCell ref="Z85:AB85"/>
    <mergeCell ref="AC85:AE85"/>
    <mergeCell ref="R86:Y86"/>
    <mergeCell ref="Z86:AB86"/>
    <mergeCell ref="AC86:AE86"/>
    <mergeCell ref="R82:Y82"/>
    <mergeCell ref="Z82:AB82"/>
    <mergeCell ref="AC82:AE82"/>
    <mergeCell ref="R83:Y83"/>
    <mergeCell ref="Z83:AB83"/>
    <mergeCell ref="AC83:AE83"/>
    <mergeCell ref="R89:Y89"/>
    <mergeCell ref="Z89:AB89"/>
    <mergeCell ref="AC89:AE89"/>
    <mergeCell ref="R90:Y90"/>
    <mergeCell ref="Z90:AB90"/>
    <mergeCell ref="AC90:AE90"/>
    <mergeCell ref="R87:Y87"/>
    <mergeCell ref="Z87:AB87"/>
    <mergeCell ref="AC87:AE87"/>
    <mergeCell ref="R88:Y88"/>
    <mergeCell ref="Z88:AB88"/>
    <mergeCell ref="AC88:AE88"/>
    <mergeCell ref="R94:Y94"/>
    <mergeCell ref="Z94:AB94"/>
    <mergeCell ref="AC94:AE94"/>
    <mergeCell ref="R95:Y95"/>
    <mergeCell ref="Z95:AB95"/>
    <mergeCell ref="AC95:AE95"/>
    <mergeCell ref="R92:Y92"/>
    <mergeCell ref="Z92:AB92"/>
    <mergeCell ref="AC92:AE92"/>
    <mergeCell ref="R93:Y93"/>
    <mergeCell ref="Z93:AB93"/>
    <mergeCell ref="AC93:AE93"/>
    <mergeCell ref="AC100:AE100"/>
    <mergeCell ref="R101:Y101"/>
    <mergeCell ref="Z101:AB101"/>
    <mergeCell ref="AC101:AE101"/>
    <mergeCell ref="R97:Y97"/>
    <mergeCell ref="Z97:AB97"/>
    <mergeCell ref="AC97:AE97"/>
    <mergeCell ref="R99:Y99"/>
    <mergeCell ref="Z99:AB99"/>
    <mergeCell ref="AC99:AE99"/>
    <mergeCell ref="R106:Y106"/>
    <mergeCell ref="Z106:AB106"/>
    <mergeCell ref="AC106:AE106"/>
    <mergeCell ref="A100:H100"/>
    <mergeCell ref="I100:K100"/>
    <mergeCell ref="L100:N100"/>
    <mergeCell ref="A102:H102"/>
    <mergeCell ref="I102:K102"/>
    <mergeCell ref="L102:N102"/>
    <mergeCell ref="A103:H103"/>
    <mergeCell ref="R104:Y104"/>
    <mergeCell ref="Z104:AB104"/>
    <mergeCell ref="AC104:AE104"/>
    <mergeCell ref="R105:Y105"/>
    <mergeCell ref="Z105:AB105"/>
    <mergeCell ref="AC105:AE105"/>
    <mergeCell ref="R102:Y102"/>
    <mergeCell ref="Z102:AB102"/>
    <mergeCell ref="AC102:AE102"/>
    <mergeCell ref="R103:Y103"/>
    <mergeCell ref="Z103:AB103"/>
    <mergeCell ref="AC103:AE103"/>
    <mergeCell ref="R100:Y100"/>
    <mergeCell ref="Z100:AB100"/>
    <mergeCell ref="I97:K97"/>
    <mergeCell ref="L97:N97"/>
    <mergeCell ref="A94:H94"/>
    <mergeCell ref="I94:K94"/>
    <mergeCell ref="L94:N94"/>
    <mergeCell ref="A95:H95"/>
    <mergeCell ref="I95:K95"/>
    <mergeCell ref="L95:N95"/>
    <mergeCell ref="A90:H90"/>
    <mergeCell ref="I90:K90"/>
    <mergeCell ref="L90:N90"/>
    <mergeCell ref="A87:H87"/>
    <mergeCell ref="I87:K87"/>
    <mergeCell ref="L87:N87"/>
    <mergeCell ref="A88:H88"/>
    <mergeCell ref="I88:K88"/>
    <mergeCell ref="L88:N88"/>
    <mergeCell ref="A89:H89"/>
    <mergeCell ref="I89:K89"/>
    <mergeCell ref="L89:N89"/>
    <mergeCell ref="A82:H82"/>
    <mergeCell ref="I82:K82"/>
    <mergeCell ref="L82:N82"/>
    <mergeCell ref="A83:H83"/>
    <mergeCell ref="I83:K83"/>
    <mergeCell ref="L83:N83"/>
    <mergeCell ref="A86:H86"/>
    <mergeCell ref="I86:K86"/>
    <mergeCell ref="L86:N86"/>
    <mergeCell ref="A85:H85"/>
    <mergeCell ref="I85:K85"/>
    <mergeCell ref="L85:N85"/>
    <mergeCell ref="A80:H80"/>
    <mergeCell ref="I80:K80"/>
    <mergeCell ref="L80:N80"/>
    <mergeCell ref="A78:H78"/>
    <mergeCell ref="I78:K78"/>
    <mergeCell ref="L78:N78"/>
    <mergeCell ref="A81:H81"/>
    <mergeCell ref="I81:K81"/>
    <mergeCell ref="L81:N81"/>
    <mergeCell ref="A59:H59"/>
    <mergeCell ref="I59:K59"/>
    <mergeCell ref="L59:N59"/>
    <mergeCell ref="A61:H61"/>
    <mergeCell ref="I61:K61"/>
    <mergeCell ref="L61:N61"/>
    <mergeCell ref="A65:H65"/>
    <mergeCell ref="I65:K65"/>
    <mergeCell ref="L65:N65"/>
    <mergeCell ref="A64:H64"/>
    <mergeCell ref="I64:K64"/>
    <mergeCell ref="L64:N64"/>
    <mergeCell ref="A63:H63"/>
    <mergeCell ref="I63:K63"/>
    <mergeCell ref="L63:N63"/>
    <mergeCell ref="A62:H62"/>
    <mergeCell ref="I62:K62"/>
    <mergeCell ref="L62:N62"/>
    <mergeCell ref="A60:H60"/>
    <mergeCell ref="I60:K60"/>
    <mergeCell ref="A55:H55"/>
    <mergeCell ref="I55:K55"/>
    <mergeCell ref="L55:N55"/>
    <mergeCell ref="A56:H56"/>
    <mergeCell ref="I56:K56"/>
    <mergeCell ref="L56:N56"/>
    <mergeCell ref="A58:H58"/>
    <mergeCell ref="I58:K58"/>
    <mergeCell ref="L58:N58"/>
    <mergeCell ref="A50:H50"/>
    <mergeCell ref="I50:K50"/>
    <mergeCell ref="L50:N50"/>
    <mergeCell ref="A52:H52"/>
    <mergeCell ref="I52:K52"/>
    <mergeCell ref="L52:N52"/>
    <mergeCell ref="A53:H53"/>
    <mergeCell ref="I53:K53"/>
    <mergeCell ref="L53:N53"/>
    <mergeCell ref="A45:H45"/>
    <mergeCell ref="I45:K45"/>
    <mergeCell ref="L45:N45"/>
    <mergeCell ref="A47:H47"/>
    <mergeCell ref="I47:K47"/>
    <mergeCell ref="L47:N47"/>
    <mergeCell ref="A49:H49"/>
    <mergeCell ref="I49:K49"/>
    <mergeCell ref="L49:N49"/>
    <mergeCell ref="A43:H43"/>
    <mergeCell ref="I43:K43"/>
    <mergeCell ref="L43:N43"/>
    <mergeCell ref="A42:H42"/>
    <mergeCell ref="I42:K42"/>
    <mergeCell ref="L42:N42"/>
    <mergeCell ref="A44:H44"/>
    <mergeCell ref="I44:K44"/>
    <mergeCell ref="L44:N44"/>
    <mergeCell ref="L36:N36"/>
    <mergeCell ref="A37:H37"/>
    <mergeCell ref="I37:K37"/>
    <mergeCell ref="L37:N37"/>
    <mergeCell ref="A38:H38"/>
    <mergeCell ref="I38:K38"/>
    <mergeCell ref="L38:N38"/>
    <mergeCell ref="A39:N39"/>
    <mergeCell ref="A41:H41"/>
    <mergeCell ref="I41:K41"/>
    <mergeCell ref="L41:N41"/>
    <mergeCell ref="A40:H40"/>
    <mergeCell ref="I40:K40"/>
    <mergeCell ref="L40:N40"/>
    <mergeCell ref="A23:H23"/>
    <mergeCell ref="I23:K23"/>
    <mergeCell ref="L23:N23"/>
    <mergeCell ref="A24:N24"/>
    <mergeCell ref="L29:N29"/>
    <mergeCell ref="A28:H28"/>
    <mergeCell ref="I28:K28"/>
    <mergeCell ref="L28:N28"/>
    <mergeCell ref="A26:H26"/>
    <mergeCell ref="I26:K26"/>
    <mergeCell ref="L26:N26"/>
    <mergeCell ref="A27:H27"/>
    <mergeCell ref="I27:K27"/>
    <mergeCell ref="L27:N27"/>
    <mergeCell ref="I19:K19"/>
    <mergeCell ref="L19:N19"/>
    <mergeCell ref="A20:H20"/>
    <mergeCell ref="I20:K20"/>
    <mergeCell ref="L20:N20"/>
    <mergeCell ref="A22:H22"/>
    <mergeCell ref="I22:K22"/>
    <mergeCell ref="L22:N22"/>
    <mergeCell ref="A21:H21"/>
    <mergeCell ref="I21:K21"/>
    <mergeCell ref="L21:N21"/>
    <mergeCell ref="I103:K103"/>
    <mergeCell ref="L103:N103"/>
    <mergeCell ref="A101:H101"/>
    <mergeCell ref="I101:K101"/>
    <mergeCell ref="L101:N101"/>
    <mergeCell ref="A92:H92"/>
    <mergeCell ref="I92:K92"/>
    <mergeCell ref="L92:N92"/>
    <mergeCell ref="A106:H106"/>
    <mergeCell ref="I106:K106"/>
    <mergeCell ref="L106:N106"/>
    <mergeCell ref="A104:H104"/>
    <mergeCell ref="I104:K104"/>
    <mergeCell ref="L104:N104"/>
    <mergeCell ref="A105:H105"/>
    <mergeCell ref="I105:K105"/>
    <mergeCell ref="L105:N105"/>
    <mergeCell ref="A99:H99"/>
    <mergeCell ref="I99:K99"/>
    <mergeCell ref="L99:N99"/>
    <mergeCell ref="A93:H93"/>
    <mergeCell ref="I93:K93"/>
    <mergeCell ref="L93:N93"/>
    <mergeCell ref="A97:H97"/>
    <mergeCell ref="A67:H67"/>
    <mergeCell ref="I67:K67"/>
    <mergeCell ref="L67:N67"/>
    <mergeCell ref="L72:N72"/>
    <mergeCell ref="A71:H71"/>
    <mergeCell ref="I71:K71"/>
    <mergeCell ref="L71:N71"/>
    <mergeCell ref="A70:H70"/>
    <mergeCell ref="I70:K70"/>
    <mergeCell ref="L70:N70"/>
    <mergeCell ref="A72:H72"/>
    <mergeCell ref="I72:K72"/>
    <mergeCell ref="A76:H76"/>
    <mergeCell ref="I76:K76"/>
    <mergeCell ref="L76:N76"/>
    <mergeCell ref="A69:N69"/>
    <mergeCell ref="A77:H77"/>
    <mergeCell ref="I77:K77"/>
    <mergeCell ref="L77:N77"/>
    <mergeCell ref="A79:H79"/>
    <mergeCell ref="I79:K79"/>
    <mergeCell ref="L79:N79"/>
    <mergeCell ref="A14:H14"/>
    <mergeCell ref="I14:K14"/>
    <mergeCell ref="L60:N60"/>
    <mergeCell ref="A30:H30"/>
    <mergeCell ref="I30:K30"/>
    <mergeCell ref="L30:N30"/>
    <mergeCell ref="A33:N33"/>
    <mergeCell ref="A34:H34"/>
    <mergeCell ref="I34:K34"/>
    <mergeCell ref="L34:N34"/>
    <mergeCell ref="A32:H32"/>
    <mergeCell ref="I32:K32"/>
    <mergeCell ref="L32:N32"/>
    <mergeCell ref="A36:H36"/>
    <mergeCell ref="I36:K36"/>
    <mergeCell ref="L14:N14"/>
    <mergeCell ref="A16:H16"/>
    <mergeCell ref="I16:K16"/>
    <mergeCell ref="L16:N16"/>
    <mergeCell ref="A17:H17"/>
    <mergeCell ref="I17:K17"/>
    <mergeCell ref="L17:N17"/>
    <mergeCell ref="A18:N18"/>
    <mergeCell ref="A19:H19"/>
    <mergeCell ref="A2:L2"/>
    <mergeCell ref="R2:AC2"/>
    <mergeCell ref="A9:H9"/>
    <mergeCell ref="I9:K9"/>
    <mergeCell ref="L9:N9"/>
    <mergeCell ref="A1:L1"/>
    <mergeCell ref="A25:H25"/>
    <mergeCell ref="I25:K25"/>
    <mergeCell ref="L25:N25"/>
    <mergeCell ref="A12:H12"/>
    <mergeCell ref="I12:K12"/>
    <mergeCell ref="L12:N12"/>
    <mergeCell ref="I6:K6"/>
    <mergeCell ref="L6:N6"/>
    <mergeCell ref="A8:N8"/>
    <mergeCell ref="A13:H13"/>
    <mergeCell ref="I13:K13"/>
    <mergeCell ref="L13:N13"/>
    <mergeCell ref="A10:H10"/>
    <mergeCell ref="I10:K10"/>
    <mergeCell ref="L10:N10"/>
    <mergeCell ref="A11:H11"/>
    <mergeCell ref="I11:K11"/>
    <mergeCell ref="L11:N11"/>
    <mergeCell ref="AI1:AT1"/>
    <mergeCell ref="AI2:AT2"/>
    <mergeCell ref="AQ6:AS6"/>
    <mergeCell ref="AT6:AV6"/>
    <mergeCell ref="AI8:AV8"/>
    <mergeCell ref="AI9:AP9"/>
    <mergeCell ref="AQ9:AS9"/>
    <mergeCell ref="AT9:AV9"/>
    <mergeCell ref="AI10:AP10"/>
    <mergeCell ref="AQ10:AS10"/>
    <mergeCell ref="AT10:AV10"/>
    <mergeCell ref="AI11:AP11"/>
    <mergeCell ref="AQ11:AS11"/>
    <mergeCell ref="AT11:AV11"/>
    <mergeCell ref="AI12:AP12"/>
    <mergeCell ref="AQ12:AS12"/>
    <mergeCell ref="AT12:AV12"/>
    <mergeCell ref="AI13:AP13"/>
    <mergeCell ref="AQ13:AS13"/>
    <mergeCell ref="AT13:AV13"/>
    <mergeCell ref="AI14:AP14"/>
    <mergeCell ref="AQ14:AS14"/>
    <mergeCell ref="AT14:AV14"/>
    <mergeCell ref="AI16:AP16"/>
    <mergeCell ref="AQ16:AS16"/>
    <mergeCell ref="AT16:AV16"/>
    <mergeCell ref="AI17:AP17"/>
    <mergeCell ref="AQ17:AS17"/>
    <mergeCell ref="AT17:AV17"/>
    <mergeCell ref="AI18:AV18"/>
    <mergeCell ref="AI19:AP19"/>
    <mergeCell ref="AQ19:AS19"/>
    <mergeCell ref="AT19:AV19"/>
    <mergeCell ref="AI20:AP20"/>
    <mergeCell ref="AQ20:AS20"/>
    <mergeCell ref="AT20:AV20"/>
    <mergeCell ref="AI21:AP21"/>
    <mergeCell ref="AQ21:AS21"/>
    <mergeCell ref="AT21:AV21"/>
    <mergeCell ref="AI22:AP22"/>
    <mergeCell ref="AQ22:AS22"/>
    <mergeCell ref="AT22:AV22"/>
    <mergeCell ref="AI23:AP23"/>
    <mergeCell ref="AQ23:AS23"/>
    <mergeCell ref="AT23:AV23"/>
    <mergeCell ref="AI24:AV24"/>
    <mergeCell ref="AI25:AP25"/>
    <mergeCell ref="AQ25:AS25"/>
    <mergeCell ref="AT25:AV25"/>
    <mergeCell ref="AI26:AP26"/>
    <mergeCell ref="AQ26:AS26"/>
    <mergeCell ref="AT26:AV26"/>
    <mergeCell ref="AI27:AP27"/>
    <mergeCell ref="AQ27:AS27"/>
    <mergeCell ref="AT27:AV27"/>
    <mergeCell ref="AI28:AP28"/>
    <mergeCell ref="AQ28:AS28"/>
    <mergeCell ref="AT28:AV28"/>
    <mergeCell ref="AI29:AP29"/>
    <mergeCell ref="AQ29:AS29"/>
    <mergeCell ref="AT29:AV29"/>
    <mergeCell ref="AI30:AP30"/>
    <mergeCell ref="AQ30:AS30"/>
    <mergeCell ref="AT30:AV30"/>
    <mergeCell ref="AI32:AP32"/>
    <mergeCell ref="AQ32:AS32"/>
    <mergeCell ref="AT32:AV32"/>
    <mergeCell ref="AI33:AV33"/>
    <mergeCell ref="AI34:AP34"/>
    <mergeCell ref="AQ34:AS34"/>
    <mergeCell ref="AT34:AV34"/>
    <mergeCell ref="AI35:AP35"/>
    <mergeCell ref="AQ35:AS35"/>
    <mergeCell ref="AT35:AV35"/>
    <mergeCell ref="AI36:AP36"/>
    <mergeCell ref="AQ36:AS36"/>
    <mergeCell ref="AT36:AV36"/>
    <mergeCell ref="AI37:AP37"/>
    <mergeCell ref="AQ37:AS37"/>
    <mergeCell ref="AT37:AV37"/>
    <mergeCell ref="AI38:AP38"/>
    <mergeCell ref="AQ38:AS38"/>
    <mergeCell ref="AT38:AV38"/>
    <mergeCell ref="AI39:AV39"/>
    <mergeCell ref="AI40:AP40"/>
    <mergeCell ref="AQ40:AS40"/>
    <mergeCell ref="AT40:AV40"/>
    <mergeCell ref="AI41:AP41"/>
    <mergeCell ref="AQ41:AS41"/>
    <mergeCell ref="AT41:AV41"/>
    <mergeCell ref="AI42:AP42"/>
    <mergeCell ref="AQ42:AS42"/>
    <mergeCell ref="AT42:AV42"/>
    <mergeCell ref="AI43:AP43"/>
    <mergeCell ref="AQ43:AS43"/>
    <mergeCell ref="AT43:AV43"/>
    <mergeCell ref="AI44:AP44"/>
    <mergeCell ref="AQ44:AS44"/>
    <mergeCell ref="AT44:AV44"/>
    <mergeCell ref="AI45:AP45"/>
    <mergeCell ref="AQ45:AS45"/>
    <mergeCell ref="AT45:AV45"/>
    <mergeCell ref="AI47:AP47"/>
    <mergeCell ref="AQ47:AS47"/>
    <mergeCell ref="AT47:AV47"/>
    <mergeCell ref="AI49:AP49"/>
    <mergeCell ref="AQ49:AS49"/>
    <mergeCell ref="AT49:AV49"/>
    <mergeCell ref="AI50:AP50"/>
    <mergeCell ref="AQ50:AS50"/>
    <mergeCell ref="AT50:AV50"/>
    <mergeCell ref="AI52:AP52"/>
    <mergeCell ref="AQ52:AS52"/>
    <mergeCell ref="AT52:AV52"/>
    <mergeCell ref="AI53:AP53"/>
    <mergeCell ref="AQ53:AS53"/>
    <mergeCell ref="AT53:AV53"/>
    <mergeCell ref="AI55:AP55"/>
    <mergeCell ref="AQ55:AS55"/>
    <mergeCell ref="AT55:AV55"/>
    <mergeCell ref="AI56:AP56"/>
    <mergeCell ref="AQ56:AS56"/>
    <mergeCell ref="AT56:AV56"/>
    <mergeCell ref="AI58:AP58"/>
    <mergeCell ref="AQ58:AS58"/>
    <mergeCell ref="AT58:AV58"/>
    <mergeCell ref="AI59:AP59"/>
    <mergeCell ref="AQ59:AS59"/>
    <mergeCell ref="AT59:AV59"/>
    <mergeCell ref="AI60:AP60"/>
    <mergeCell ref="AQ60:AS60"/>
    <mergeCell ref="AT60:AV60"/>
    <mergeCell ref="AI61:AP61"/>
    <mergeCell ref="AQ61:AS61"/>
    <mergeCell ref="AT61:AV61"/>
    <mergeCell ref="AI62:AP62"/>
    <mergeCell ref="AQ62:AS62"/>
    <mergeCell ref="AT62:AV62"/>
    <mergeCell ref="AI63:AP63"/>
    <mergeCell ref="AQ63:AS63"/>
    <mergeCell ref="AT63:AV63"/>
    <mergeCell ref="AI64:AP64"/>
    <mergeCell ref="AQ64:AS64"/>
    <mergeCell ref="AT64:AV64"/>
    <mergeCell ref="AI65:AP65"/>
    <mergeCell ref="AQ65:AS65"/>
    <mergeCell ref="AT65:AV65"/>
    <mergeCell ref="AI67:AP67"/>
    <mergeCell ref="AQ67:AS67"/>
    <mergeCell ref="AT67:AV67"/>
    <mergeCell ref="AI69:AV69"/>
    <mergeCell ref="AI70:AP70"/>
    <mergeCell ref="AQ70:AS70"/>
    <mergeCell ref="AT70:AV70"/>
    <mergeCell ref="AI71:AP71"/>
    <mergeCell ref="AQ71:AS71"/>
    <mergeCell ref="AT71:AV71"/>
    <mergeCell ref="AI72:AP72"/>
    <mergeCell ref="AQ72:AS72"/>
    <mergeCell ref="AT72:AV72"/>
    <mergeCell ref="AI73:AP73"/>
    <mergeCell ref="AQ73:AS73"/>
    <mergeCell ref="AT73:AV73"/>
    <mergeCell ref="AI74:AP74"/>
    <mergeCell ref="AQ74:AS74"/>
    <mergeCell ref="AT74:AV74"/>
    <mergeCell ref="AI75:AP75"/>
    <mergeCell ref="AQ75:AS75"/>
    <mergeCell ref="AT75:AV75"/>
    <mergeCell ref="AI76:AP76"/>
    <mergeCell ref="AQ76:AS76"/>
    <mergeCell ref="AT76:AV76"/>
    <mergeCell ref="AI77:AP77"/>
    <mergeCell ref="AQ77:AS77"/>
    <mergeCell ref="AT77:AV77"/>
    <mergeCell ref="AI78:AP78"/>
    <mergeCell ref="AQ78:AS78"/>
    <mergeCell ref="AT78:AV78"/>
    <mergeCell ref="AI79:AP79"/>
    <mergeCell ref="AQ79:AS79"/>
    <mergeCell ref="AT79:AV79"/>
    <mergeCell ref="AI80:AP80"/>
    <mergeCell ref="AQ80:AS80"/>
    <mergeCell ref="AT80:AV80"/>
    <mergeCell ref="AI81:AP81"/>
    <mergeCell ref="AQ81:AS81"/>
    <mergeCell ref="AT81:AV81"/>
    <mergeCell ref="AI82:AP82"/>
    <mergeCell ref="AQ82:AS82"/>
    <mergeCell ref="AT82:AV82"/>
    <mergeCell ref="AI83:AP83"/>
    <mergeCell ref="AQ83:AS83"/>
    <mergeCell ref="AT83:AV83"/>
    <mergeCell ref="AI85:AP85"/>
    <mergeCell ref="AQ85:AS85"/>
    <mergeCell ref="AT85:AV85"/>
    <mergeCell ref="AI86:AP86"/>
    <mergeCell ref="AQ86:AS86"/>
    <mergeCell ref="AT86:AV86"/>
    <mergeCell ref="AI87:AP87"/>
    <mergeCell ref="AQ87:AS87"/>
    <mergeCell ref="AT87:AV87"/>
    <mergeCell ref="AI88:AP88"/>
    <mergeCell ref="AQ88:AS88"/>
    <mergeCell ref="AT88:AV88"/>
    <mergeCell ref="AI89:AP89"/>
    <mergeCell ref="AQ89:AS89"/>
    <mergeCell ref="AT89:AV89"/>
    <mergeCell ref="AI90:AP90"/>
    <mergeCell ref="AQ90:AS90"/>
    <mergeCell ref="AT90:AV90"/>
    <mergeCell ref="AI92:AP92"/>
    <mergeCell ref="AQ92:AS92"/>
    <mergeCell ref="AT92:AV92"/>
    <mergeCell ref="AI93:AP93"/>
    <mergeCell ref="AQ93:AS93"/>
    <mergeCell ref="AT93:AV93"/>
    <mergeCell ref="AI94:AP94"/>
    <mergeCell ref="AQ94:AS94"/>
    <mergeCell ref="AT94:AV94"/>
    <mergeCell ref="AI95:AP95"/>
    <mergeCell ref="AQ95:AS95"/>
    <mergeCell ref="AT95:AV95"/>
    <mergeCell ref="AI97:AP97"/>
    <mergeCell ref="AQ97:AS97"/>
    <mergeCell ref="AT97:AV97"/>
    <mergeCell ref="AI99:AP99"/>
    <mergeCell ref="AQ99:AS99"/>
    <mergeCell ref="AT99:AV99"/>
    <mergeCell ref="AI100:AP100"/>
    <mergeCell ref="AQ100:AS100"/>
    <mergeCell ref="AT100:AV100"/>
    <mergeCell ref="AI101:AP101"/>
    <mergeCell ref="AQ101:AS101"/>
    <mergeCell ref="AT101:AV101"/>
    <mergeCell ref="AI102:AP102"/>
    <mergeCell ref="AQ102:AS102"/>
    <mergeCell ref="AT102:AV102"/>
    <mergeCell ref="AI103:AP103"/>
    <mergeCell ref="AQ103:AS103"/>
    <mergeCell ref="AT103:AV103"/>
    <mergeCell ref="AI104:AP104"/>
    <mergeCell ref="AQ104:AS104"/>
    <mergeCell ref="AT104:AV104"/>
    <mergeCell ref="AI105:AP105"/>
    <mergeCell ref="AQ105:AS105"/>
    <mergeCell ref="AT105:AV105"/>
    <mergeCell ref="AI106:AP106"/>
    <mergeCell ref="AQ106:AS106"/>
    <mergeCell ref="AT106:AV106"/>
  </mergeCells>
  <conditionalFormatting sqref="A2">
    <cfRule type="containsText" dxfId="2" priority="3" operator="containsText" text="Select">
      <formula>NOT(ISERROR(SEARCH("Select",A2)))</formula>
    </cfRule>
  </conditionalFormatting>
  <conditionalFormatting sqref="R2:AC2">
    <cfRule type="containsText" dxfId="1" priority="2" operator="containsText" text="Select">
      <formula>NOT(ISERROR(SEARCH("Select",R2)))</formula>
    </cfRule>
  </conditionalFormatting>
  <conditionalFormatting sqref="AI2:AT2">
    <cfRule type="containsText" dxfId="0" priority="1" operator="containsText" text="Select">
      <formula>NOT(ISERROR(SEARCH("Select",AI2)))</formula>
    </cfRule>
  </conditionalFormatting>
  <dataValidations count="2">
    <dataValidation type="whole" allowBlank="1" showInputMessage="1" showErrorMessage="1" error="Number should be reported as a whole dollar." sqref="Z59:AB64 Z50:AB50 Z100:AB105 Z86:AB89 Z93:AB94 Z81:AB82 I59:K64 I50:K50 I100:K105 I86:K89 I93:K94 I81:K82 AQ59:AS64 AQ50:AS50 AQ100:AS105 AQ86:AS89 AQ93:AS94 AQ81:AS82" xr:uid="{C359595F-A139-43C1-8948-25CC86F45637}">
      <formula1>-10000000000</formula1>
      <formula2>15000000000</formula2>
    </dataValidation>
    <dataValidation type="list" allowBlank="1" showInputMessage="1" showErrorMessage="1" sqref="A1:L1 R1:AC1 AI1:AT1" xr:uid="{E6D92C71-0949-4E13-A4E9-34CCD31B37CF}">
      <formula1>LimitedEdition</formula1>
    </dataValidation>
  </dataValidation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903A3-9D82-449E-82FD-6C2AF34B7CEE}">
  <sheetPr codeName="Sheet07">
    <tabColor theme="4" tint="0.89999084444715716"/>
    <pageSetUpPr fitToPage="1"/>
  </sheetPr>
  <dimension ref="A1:AY104"/>
  <sheetViews>
    <sheetView zoomScale="50" zoomScaleNormal="50" workbookViewId="0">
      <selection sqref="A1:AX1"/>
    </sheetView>
  </sheetViews>
  <sheetFormatPr defaultColWidth="8.83203125" defaultRowHeight="21" x14ac:dyDescent="0.55000000000000004"/>
  <cols>
    <col min="1" max="51" width="6.58203125" style="148" customWidth="1"/>
    <col min="52" max="16384" width="8.83203125" style="6"/>
  </cols>
  <sheetData>
    <row r="1" spans="1:51" s="355" customFormat="1" ht="55.2" customHeight="1" x14ac:dyDescent="1.1000000000000001">
      <c r="A1" s="650" t="s">
        <v>1865</v>
      </c>
      <c r="B1" s="650"/>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354"/>
    </row>
    <row r="2" spans="1:51" s="356" customFormat="1" ht="39.9" customHeight="1" x14ac:dyDescent="0.55000000000000004">
      <c r="A2" s="641" t="s">
        <v>1840</v>
      </c>
      <c r="B2" s="641"/>
      <c r="C2" s="641"/>
      <c r="D2" s="641"/>
      <c r="E2" s="641"/>
      <c r="F2" s="641"/>
      <c r="G2" s="641"/>
      <c r="H2" s="641"/>
      <c r="I2" s="641"/>
      <c r="J2" s="641"/>
      <c r="K2" s="641"/>
      <c r="L2" s="641"/>
      <c r="M2" s="641"/>
      <c r="N2" s="641"/>
      <c r="O2" s="641"/>
      <c r="P2" s="641"/>
      <c r="Q2" s="641"/>
      <c r="R2" s="641"/>
      <c r="S2" s="641"/>
      <c r="T2" s="641"/>
      <c r="U2" s="641"/>
      <c r="V2" s="641"/>
      <c r="W2" s="641"/>
      <c r="X2" s="641"/>
      <c r="Y2" s="641"/>
      <c r="Z2" s="641"/>
      <c r="AA2" s="641"/>
      <c r="AB2" s="641"/>
      <c r="AC2" s="641"/>
      <c r="AD2" s="641"/>
      <c r="AE2" s="641"/>
      <c r="AF2" s="641"/>
      <c r="AG2" s="641"/>
      <c r="AH2" s="641"/>
      <c r="AI2" s="641"/>
      <c r="AJ2" s="641"/>
      <c r="AK2" s="641"/>
      <c r="AL2" s="641"/>
      <c r="AM2" s="641"/>
      <c r="AN2" s="641"/>
      <c r="AO2" s="641"/>
      <c r="AP2" s="641"/>
      <c r="AQ2" s="641"/>
      <c r="AR2" s="641"/>
      <c r="AS2" s="641"/>
      <c r="AT2" s="641"/>
      <c r="AU2" s="641"/>
      <c r="AV2" s="641"/>
      <c r="AW2" s="641"/>
      <c r="AX2" s="641"/>
      <c r="AY2" s="146"/>
    </row>
    <row r="3" spans="1:51" s="356" customFormat="1" ht="35.1" customHeight="1" x14ac:dyDescent="0.55000000000000004">
      <c r="A3" s="698" t="str">
        <f>"Report as of "&amp;TEXT(Hidden!$A$4,"MMMM D, YYYY")</f>
        <v>Report as of April 22, 2025</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8"/>
      <c r="AQ3" s="698"/>
      <c r="AR3" s="698"/>
      <c r="AS3" s="698"/>
      <c r="AT3" s="698"/>
      <c r="AU3" s="698"/>
      <c r="AV3" s="698"/>
      <c r="AW3" s="698"/>
      <c r="AX3" s="698"/>
      <c r="AY3" s="146"/>
    </row>
    <row r="4" spans="1:51" s="356" customFormat="1" ht="27" customHeight="1" x14ac:dyDescent="0.55000000000000004">
      <c r="A4" s="145"/>
      <c r="B4" s="145"/>
      <c r="C4" s="145"/>
      <c r="D4" s="145"/>
      <c r="E4" s="145"/>
      <c r="F4" s="145"/>
      <c r="G4" s="145"/>
      <c r="H4" s="145"/>
      <c r="I4" s="145"/>
      <c r="J4" s="145"/>
      <c r="K4" s="145"/>
      <c r="L4" s="145"/>
      <c r="M4" s="145"/>
      <c r="N4" s="145"/>
      <c r="O4" s="145"/>
      <c r="P4" s="145"/>
      <c r="Q4" s="145"/>
      <c r="R4" s="145"/>
      <c r="S4" s="145"/>
      <c r="T4" s="145"/>
      <c r="U4" s="145"/>
      <c r="V4" s="145"/>
      <c r="W4" s="145"/>
      <c r="X4" s="145"/>
      <c r="Y4" s="145"/>
      <c r="Z4" s="145"/>
      <c r="AA4" s="145"/>
      <c r="AB4" s="145"/>
      <c r="AC4" s="145"/>
      <c r="AD4" s="145"/>
      <c r="AE4" s="145"/>
      <c r="AF4" s="145"/>
      <c r="AG4" s="145"/>
      <c r="AH4" s="145"/>
      <c r="AI4" s="145"/>
      <c r="AJ4" s="145"/>
      <c r="AK4" s="145"/>
      <c r="AL4" s="145"/>
      <c r="AM4" s="145"/>
      <c r="AN4" s="145"/>
      <c r="AO4" s="145"/>
      <c r="AP4" s="145"/>
      <c r="AQ4" s="145"/>
      <c r="AR4" s="145"/>
      <c r="AS4" s="145"/>
      <c r="AT4" s="145"/>
      <c r="AU4" s="145"/>
      <c r="AV4" s="145"/>
      <c r="AW4" s="145"/>
      <c r="AX4" s="145"/>
      <c r="AY4" s="146"/>
    </row>
    <row r="5" spans="1:51" s="359" customFormat="1" ht="31.95" customHeight="1" x14ac:dyDescent="0.55000000000000004">
      <c r="A5" s="699" t="s">
        <v>15</v>
      </c>
      <c r="B5" s="699"/>
      <c r="C5" s="699"/>
      <c r="D5" s="699"/>
      <c r="E5" s="699"/>
      <c r="F5" s="699"/>
      <c r="G5" s="699"/>
      <c r="H5" s="699"/>
      <c r="I5" s="699"/>
      <c r="J5" s="699"/>
      <c r="K5" s="699"/>
      <c r="L5" s="699"/>
      <c r="M5" s="699"/>
      <c r="N5" s="699"/>
      <c r="O5" s="699"/>
      <c r="P5" s="699"/>
      <c r="Q5" s="699"/>
      <c r="R5" s="699"/>
      <c r="S5" s="699"/>
      <c r="T5" s="699"/>
      <c r="U5" s="699"/>
      <c r="V5" s="699"/>
      <c r="W5" s="699"/>
      <c r="X5" s="699"/>
      <c r="Y5" s="699"/>
      <c r="Z5" s="699"/>
      <c r="AA5" s="699"/>
      <c r="AB5" s="699"/>
      <c r="AC5" s="699"/>
      <c r="AD5" s="699"/>
      <c r="AE5" s="699"/>
      <c r="AF5" s="699"/>
      <c r="AG5" s="699"/>
      <c r="AH5" s="699"/>
      <c r="AI5" s="699"/>
      <c r="AJ5" s="699"/>
      <c r="AK5" s="699"/>
      <c r="AL5" s="699"/>
      <c r="AM5" s="699"/>
      <c r="AN5" s="699"/>
      <c r="AO5" s="699"/>
      <c r="AP5" s="699"/>
      <c r="AQ5" s="699"/>
      <c r="AR5" s="699"/>
      <c r="AS5" s="699"/>
      <c r="AT5" s="699"/>
      <c r="AU5" s="699"/>
      <c r="AV5" s="699"/>
      <c r="AW5" s="357"/>
      <c r="AX5" s="357"/>
      <c r="AY5" s="358"/>
    </row>
    <row r="6" spans="1:51" s="29" customFormat="1" ht="27" customHeight="1" x14ac:dyDescent="0.55000000000000004">
      <c r="A6" s="147"/>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47"/>
      <c r="AL6" s="147"/>
      <c r="AM6" s="147"/>
      <c r="AN6" s="147"/>
      <c r="AO6" s="147"/>
      <c r="AP6" s="147"/>
      <c r="AQ6" s="147"/>
      <c r="AR6" s="147"/>
      <c r="AS6" s="147"/>
      <c r="AT6" s="147"/>
      <c r="AU6" s="147"/>
      <c r="AV6" s="147"/>
      <c r="AW6" s="147"/>
      <c r="AX6" s="147"/>
      <c r="AY6" s="147"/>
    </row>
    <row r="7" spans="1:51" s="361" customFormat="1" ht="27" customHeight="1" x14ac:dyDescent="0.6">
      <c r="A7" s="657" t="s">
        <v>31</v>
      </c>
      <c r="B7" s="657"/>
      <c r="C7" s="657"/>
      <c r="D7" s="657"/>
      <c r="E7" s="657"/>
      <c r="F7" s="657"/>
      <c r="G7" s="657"/>
      <c r="H7" s="657"/>
      <c r="I7" s="657"/>
      <c r="J7" s="651" t="s">
        <v>33</v>
      </c>
      <c r="K7" s="652"/>
      <c r="L7" s="639" t="s">
        <v>175</v>
      </c>
      <c r="M7" s="639"/>
      <c r="N7" s="639"/>
      <c r="O7" s="642" t="s">
        <v>1819</v>
      </c>
      <c r="P7" s="643"/>
      <c r="Q7" s="643"/>
      <c r="R7" s="643"/>
      <c r="S7" s="643"/>
      <c r="T7" s="644"/>
      <c r="U7" s="642" t="s">
        <v>1822</v>
      </c>
      <c r="V7" s="643"/>
      <c r="W7" s="643"/>
      <c r="X7" s="643"/>
      <c r="Y7" s="643"/>
      <c r="Z7" s="644"/>
      <c r="AA7" s="642" t="s">
        <v>1821</v>
      </c>
      <c r="AB7" s="643"/>
      <c r="AC7" s="643"/>
      <c r="AD7" s="643"/>
      <c r="AE7" s="643"/>
      <c r="AF7" s="644"/>
      <c r="AG7" s="642" t="s">
        <v>1820</v>
      </c>
      <c r="AH7" s="643"/>
      <c r="AI7" s="643"/>
      <c r="AJ7" s="643"/>
      <c r="AK7" s="643"/>
      <c r="AL7" s="644"/>
      <c r="AM7" s="642" t="s">
        <v>1823</v>
      </c>
      <c r="AN7" s="643"/>
      <c r="AO7" s="643"/>
      <c r="AP7" s="643"/>
      <c r="AQ7" s="643"/>
      <c r="AR7" s="644"/>
      <c r="AS7" s="642" t="s">
        <v>1824</v>
      </c>
      <c r="AT7" s="643"/>
      <c r="AU7" s="643"/>
      <c r="AV7" s="643"/>
      <c r="AW7" s="643"/>
      <c r="AX7" s="644"/>
      <c r="AY7" s="360"/>
    </row>
    <row r="8" spans="1:51" s="361" customFormat="1" ht="27" customHeight="1" x14ac:dyDescent="0.6">
      <c r="A8" s="658"/>
      <c r="B8" s="658"/>
      <c r="C8" s="658"/>
      <c r="D8" s="658"/>
      <c r="E8" s="658"/>
      <c r="F8" s="658"/>
      <c r="G8" s="658"/>
      <c r="H8" s="658"/>
      <c r="I8" s="658"/>
      <c r="J8" s="653"/>
      <c r="K8" s="654"/>
      <c r="L8" s="640"/>
      <c r="M8" s="640"/>
      <c r="N8" s="640"/>
      <c r="O8" s="645" t="s">
        <v>137</v>
      </c>
      <c r="P8" s="646"/>
      <c r="Q8" s="646"/>
      <c r="R8" s="646" t="s">
        <v>136</v>
      </c>
      <c r="S8" s="646"/>
      <c r="T8" s="647"/>
      <c r="U8" s="645" t="s">
        <v>137</v>
      </c>
      <c r="V8" s="646"/>
      <c r="W8" s="646"/>
      <c r="X8" s="646" t="s">
        <v>136</v>
      </c>
      <c r="Y8" s="646"/>
      <c r="Z8" s="647"/>
      <c r="AA8" s="645" t="s">
        <v>137</v>
      </c>
      <c r="AB8" s="646"/>
      <c r="AC8" s="646"/>
      <c r="AD8" s="646" t="s">
        <v>136</v>
      </c>
      <c r="AE8" s="646"/>
      <c r="AF8" s="647"/>
      <c r="AG8" s="645" t="s">
        <v>137</v>
      </c>
      <c r="AH8" s="646"/>
      <c r="AI8" s="646"/>
      <c r="AJ8" s="646" t="s">
        <v>136</v>
      </c>
      <c r="AK8" s="646"/>
      <c r="AL8" s="647"/>
      <c r="AM8" s="645" t="s">
        <v>137</v>
      </c>
      <c r="AN8" s="646"/>
      <c r="AO8" s="646"/>
      <c r="AP8" s="646" t="s">
        <v>136</v>
      </c>
      <c r="AQ8" s="646"/>
      <c r="AR8" s="647"/>
      <c r="AS8" s="645" t="s">
        <v>137</v>
      </c>
      <c r="AT8" s="646"/>
      <c r="AU8" s="646"/>
      <c r="AV8" s="646" t="s">
        <v>136</v>
      </c>
      <c r="AW8" s="646"/>
      <c r="AX8" s="647"/>
      <c r="AY8" s="360"/>
    </row>
    <row r="9" spans="1:51" s="148" customFormat="1" ht="27" customHeight="1" x14ac:dyDescent="0.55000000000000004">
      <c r="A9" s="656" t="s">
        <v>39</v>
      </c>
      <c r="B9" s="656"/>
      <c r="C9" s="656"/>
      <c r="D9" s="656"/>
      <c r="E9" s="656"/>
      <c r="F9" s="656"/>
      <c r="G9" s="656"/>
      <c r="H9" s="656"/>
      <c r="I9" s="656"/>
      <c r="J9" s="675">
        <v>30</v>
      </c>
      <c r="K9" s="676"/>
      <c r="L9" s="678">
        <f>IFERROR(VLOOKUP(A9,Input[],574,FALSE),"")</f>
        <v>2513.2399999999998</v>
      </c>
      <c r="M9" s="678"/>
      <c r="N9" s="678"/>
      <c r="O9" s="648">
        <f>ROUND(SUMIFS(Input[State 
Revenue],Input[Institution Name],$A9),0)</f>
        <v>276420065</v>
      </c>
      <c r="P9" s="649"/>
      <c r="Q9" s="649"/>
      <c r="R9" s="683">
        <f>ROUND(O9/$L9,0)</f>
        <v>109986</v>
      </c>
      <c r="S9" s="683"/>
      <c r="T9" s="684"/>
      <c r="U9" s="648">
        <f>ROUND(SUMIFS(Input[Constitutional 
Funds Revenue],Input[Institution Name],$A9),0)</f>
        <v>0</v>
      </c>
      <c r="V9" s="649"/>
      <c r="W9" s="649"/>
      <c r="X9" s="683">
        <f>ROUND(U9/$L9,0)</f>
        <v>0</v>
      </c>
      <c r="Y9" s="683"/>
      <c r="Z9" s="684"/>
      <c r="AA9" s="648">
        <f>ROUND(SUMIFS(Input[Net Tuition
Revenue],Input[Institution Name],$A9),0)+ROUND(SUMIFS(Input[Net Fees
Revenue],Input[Institution Name],$A9),0)</f>
        <v>28538418</v>
      </c>
      <c r="AB9" s="649"/>
      <c r="AC9" s="649"/>
      <c r="AD9" s="683">
        <f>ROUND(AA9/$L9,0)</f>
        <v>11355</v>
      </c>
      <c r="AE9" s="683"/>
      <c r="AF9" s="684"/>
      <c r="AG9" s="648">
        <f>ROUND(SUMIFS(Input[Federal 
Revenue],Input[Institution Name],$A9),0)</f>
        <v>368062155</v>
      </c>
      <c r="AH9" s="649"/>
      <c r="AI9" s="649"/>
      <c r="AJ9" s="683">
        <f>ROUND(AG9/$L9,0)</f>
        <v>146449</v>
      </c>
      <c r="AK9" s="683"/>
      <c r="AL9" s="684"/>
      <c r="AM9" s="648">
        <f>ROUND(SUMIFS(Input[Institutional 
Revenue],Input[Institution Name],$A9),0)</f>
        <v>1264484397</v>
      </c>
      <c r="AN9" s="649"/>
      <c r="AO9" s="649"/>
      <c r="AP9" s="683">
        <f>ROUND(AM9/$L9,0)</f>
        <v>503129</v>
      </c>
      <c r="AQ9" s="683"/>
      <c r="AR9" s="684"/>
      <c r="AS9" s="648">
        <f t="shared" ref="AS9:AS22" si="0">SUM($O9,$U9,$AA9,$AG9,$AM9)</f>
        <v>1937505035</v>
      </c>
      <c r="AT9" s="649"/>
      <c r="AU9" s="649"/>
      <c r="AV9" s="683">
        <f>ROUND(AS9/$L9,0)</f>
        <v>770919</v>
      </c>
      <c r="AW9" s="683"/>
      <c r="AX9" s="684"/>
      <c r="AY9" s="146"/>
    </row>
    <row r="10" spans="1:51" s="148" customFormat="1" ht="27" customHeight="1" x14ac:dyDescent="0.55000000000000004">
      <c r="A10" s="655" t="s">
        <v>40</v>
      </c>
      <c r="B10" s="655"/>
      <c r="C10" s="655"/>
      <c r="D10" s="655"/>
      <c r="E10" s="655"/>
      <c r="F10" s="655"/>
      <c r="G10" s="655"/>
      <c r="H10" s="655"/>
      <c r="I10" s="655"/>
      <c r="J10" s="667">
        <v>104952</v>
      </c>
      <c r="K10" s="668"/>
      <c r="L10" s="680">
        <f>IFERROR(VLOOKUP(A10,Input[],574,FALSE),"")</f>
        <v>3726.2599999999998</v>
      </c>
      <c r="M10" s="681"/>
      <c r="N10" s="682"/>
      <c r="O10" s="659">
        <f>ROUND(SUMIFS(Input[State 
Revenue],Input[Institution Name],$A10),0)</f>
        <v>425974141</v>
      </c>
      <c r="P10" s="660"/>
      <c r="Q10" s="660"/>
      <c r="R10" s="661">
        <f t="shared" ref="R10:R22" si="1">ROUND(O10/$L10,0)</f>
        <v>114317</v>
      </c>
      <c r="S10" s="662"/>
      <c r="T10" s="663"/>
      <c r="U10" s="659">
        <f>ROUND(SUMIFS(Input[Constitutional 
Funds Revenue],Input[Institution Name],$A10),0)</f>
        <v>0</v>
      </c>
      <c r="V10" s="660"/>
      <c r="W10" s="660"/>
      <c r="X10" s="661">
        <f t="shared" ref="X10:X22" si="2">ROUND(U10/$L10,0)</f>
        <v>0</v>
      </c>
      <c r="Y10" s="662"/>
      <c r="Z10" s="663"/>
      <c r="AA10" s="659">
        <f>ROUND(SUMIFS(Input[Net Tuition
Revenue],Input[Institution Name],$A10),0)+ROUND(SUMIFS(Input[Net Fees
Revenue],Input[Institution Name],$A10),0)</f>
        <v>48300072</v>
      </c>
      <c r="AB10" s="660"/>
      <c r="AC10" s="660"/>
      <c r="AD10" s="661">
        <f t="shared" ref="AD10:AD22" si="3">ROUND(AA10/$L10,0)</f>
        <v>12962</v>
      </c>
      <c r="AE10" s="662"/>
      <c r="AF10" s="663"/>
      <c r="AG10" s="659">
        <f>ROUND(SUMIFS(Input[Federal 
Revenue],Input[Institution Name],$A10),0)</f>
        <v>209236869</v>
      </c>
      <c r="AH10" s="660"/>
      <c r="AI10" s="660"/>
      <c r="AJ10" s="661">
        <f t="shared" ref="AJ10:AJ22" si="4">ROUND(AG10/$L10,0)</f>
        <v>56152</v>
      </c>
      <c r="AK10" s="662"/>
      <c r="AL10" s="663"/>
      <c r="AM10" s="659">
        <f>ROUND(SUMIFS(Input[Institutional 
Revenue],Input[Institution Name],$A10),0)</f>
        <v>368404713</v>
      </c>
      <c r="AN10" s="660"/>
      <c r="AO10" s="660"/>
      <c r="AP10" s="661">
        <f t="shared" ref="AP10:AP22" si="5">ROUND(AM10/$L10,0)</f>
        <v>98867</v>
      </c>
      <c r="AQ10" s="662"/>
      <c r="AR10" s="663"/>
      <c r="AS10" s="659">
        <f t="shared" si="0"/>
        <v>1051915795</v>
      </c>
      <c r="AT10" s="660"/>
      <c r="AU10" s="660"/>
      <c r="AV10" s="661">
        <f t="shared" ref="AV10:AV22" si="6">ROUND(AS10/$L10,0)</f>
        <v>282298</v>
      </c>
      <c r="AW10" s="662"/>
      <c r="AX10" s="663"/>
      <c r="AY10" s="146"/>
    </row>
    <row r="11" spans="1:51" s="148" customFormat="1" ht="27" customHeight="1" x14ac:dyDescent="0.55000000000000004">
      <c r="A11" s="656" t="s">
        <v>41</v>
      </c>
      <c r="B11" s="656"/>
      <c r="C11" s="656"/>
      <c r="D11" s="656"/>
      <c r="E11" s="656"/>
      <c r="F11" s="656"/>
      <c r="G11" s="656"/>
      <c r="H11" s="656"/>
      <c r="I11" s="656"/>
      <c r="J11" s="675">
        <v>11618</v>
      </c>
      <c r="K11" s="676"/>
      <c r="L11" s="677">
        <f>IFERROR(VLOOKUP(A11,Input[],574,FALSE),"")</f>
        <v>4722.68</v>
      </c>
      <c r="M11" s="678"/>
      <c r="N11" s="679"/>
      <c r="O11" s="648">
        <f>ROUND(SUMIFS(Input[State 
Revenue],Input[Institution Name],$A11),0)</f>
        <v>289493728</v>
      </c>
      <c r="P11" s="649"/>
      <c r="Q11" s="649"/>
      <c r="R11" s="672">
        <f t="shared" si="1"/>
        <v>61299</v>
      </c>
      <c r="S11" s="673"/>
      <c r="T11" s="674"/>
      <c r="U11" s="648">
        <f>ROUND(SUMIFS(Input[Constitutional 
Funds Revenue],Input[Institution Name],$A11),0)</f>
        <v>0</v>
      </c>
      <c r="V11" s="649"/>
      <c r="W11" s="649"/>
      <c r="X11" s="672">
        <f t="shared" si="2"/>
        <v>0</v>
      </c>
      <c r="Y11" s="673"/>
      <c r="Z11" s="674"/>
      <c r="AA11" s="648">
        <f>ROUND(SUMIFS(Input[Net Tuition
Revenue],Input[Institution Name],$A11),0)+ROUND(SUMIFS(Input[Net Fees
Revenue],Input[Institution Name],$A11),0)</f>
        <v>68917177</v>
      </c>
      <c r="AB11" s="649"/>
      <c r="AC11" s="649"/>
      <c r="AD11" s="672">
        <f t="shared" si="3"/>
        <v>14593</v>
      </c>
      <c r="AE11" s="673"/>
      <c r="AF11" s="674"/>
      <c r="AG11" s="648">
        <f>ROUND(SUMIFS(Input[Federal 
Revenue],Input[Institution Name],$A11),0)</f>
        <v>309844036</v>
      </c>
      <c r="AH11" s="649"/>
      <c r="AI11" s="649"/>
      <c r="AJ11" s="672">
        <f t="shared" si="4"/>
        <v>65608</v>
      </c>
      <c r="AK11" s="673"/>
      <c r="AL11" s="674"/>
      <c r="AM11" s="648">
        <f>ROUND(SUMIFS(Input[Institutional 
Revenue],Input[Institution Name],$A11),0)</f>
        <v>1191687477</v>
      </c>
      <c r="AN11" s="649"/>
      <c r="AO11" s="649"/>
      <c r="AP11" s="672">
        <f t="shared" si="5"/>
        <v>252333</v>
      </c>
      <c r="AQ11" s="673"/>
      <c r="AR11" s="674"/>
      <c r="AS11" s="648">
        <f t="shared" si="0"/>
        <v>1859942418</v>
      </c>
      <c r="AT11" s="649"/>
      <c r="AU11" s="649"/>
      <c r="AV11" s="672">
        <f t="shared" si="6"/>
        <v>393832</v>
      </c>
      <c r="AW11" s="673"/>
      <c r="AX11" s="674"/>
      <c r="AY11" s="146"/>
    </row>
    <row r="12" spans="1:51" s="148" customFormat="1" ht="27" customHeight="1" x14ac:dyDescent="0.55000000000000004">
      <c r="A12" s="655" t="s">
        <v>42</v>
      </c>
      <c r="B12" s="655"/>
      <c r="C12" s="655"/>
      <c r="D12" s="655"/>
      <c r="E12" s="655"/>
      <c r="F12" s="655"/>
      <c r="G12" s="655"/>
      <c r="H12" s="655"/>
      <c r="I12" s="655"/>
      <c r="J12" s="667">
        <v>40</v>
      </c>
      <c r="K12" s="668"/>
      <c r="L12" s="680">
        <f>IFERROR(VLOOKUP(A12,Input[],574,FALSE),"")</f>
        <v>4142.6399999999994</v>
      </c>
      <c r="M12" s="681"/>
      <c r="N12" s="682"/>
      <c r="O12" s="659">
        <f>ROUND(SUMIFS(Input[State 
Revenue],Input[Institution Name],$A12),0)</f>
        <v>231508152</v>
      </c>
      <c r="P12" s="660"/>
      <c r="Q12" s="660"/>
      <c r="R12" s="661">
        <f t="shared" si="1"/>
        <v>55884</v>
      </c>
      <c r="S12" s="662"/>
      <c r="T12" s="663"/>
      <c r="U12" s="659">
        <f>ROUND(SUMIFS(Input[Constitutional 
Funds Revenue],Input[Institution Name],$A12),0)</f>
        <v>0</v>
      </c>
      <c r="V12" s="660"/>
      <c r="W12" s="660"/>
      <c r="X12" s="661">
        <f t="shared" si="2"/>
        <v>0</v>
      </c>
      <c r="Y12" s="662"/>
      <c r="Z12" s="663"/>
      <c r="AA12" s="659">
        <f>ROUND(SUMIFS(Input[Net Tuition
Revenue],Input[Institution Name],$A12),0)+ROUND(SUMIFS(Input[Net Fees
Revenue],Input[Institution Name],$A12),0)</f>
        <v>60559385</v>
      </c>
      <c r="AB12" s="660"/>
      <c r="AC12" s="660"/>
      <c r="AD12" s="661">
        <f t="shared" si="3"/>
        <v>14619</v>
      </c>
      <c r="AE12" s="662"/>
      <c r="AF12" s="663"/>
      <c r="AG12" s="659">
        <f>ROUND(SUMIFS(Input[Federal 
Revenue],Input[Institution Name],$A12),0)</f>
        <v>233546253</v>
      </c>
      <c r="AH12" s="660"/>
      <c r="AI12" s="660"/>
      <c r="AJ12" s="661">
        <f t="shared" si="4"/>
        <v>56376</v>
      </c>
      <c r="AK12" s="662"/>
      <c r="AL12" s="663"/>
      <c r="AM12" s="659">
        <f>ROUND(SUMIFS(Input[Institutional 
Revenue],Input[Institution Name],$A12),0)</f>
        <v>507561086</v>
      </c>
      <c r="AN12" s="660"/>
      <c r="AO12" s="660"/>
      <c r="AP12" s="661">
        <f t="shared" si="5"/>
        <v>122521</v>
      </c>
      <c r="AQ12" s="662"/>
      <c r="AR12" s="663"/>
      <c r="AS12" s="659">
        <f t="shared" si="0"/>
        <v>1033174876</v>
      </c>
      <c r="AT12" s="660"/>
      <c r="AU12" s="660"/>
      <c r="AV12" s="661">
        <f t="shared" si="6"/>
        <v>249400</v>
      </c>
      <c r="AW12" s="662"/>
      <c r="AX12" s="663"/>
      <c r="AY12" s="146"/>
    </row>
    <row r="13" spans="1:51" s="148" customFormat="1" ht="27" customHeight="1" x14ac:dyDescent="0.55000000000000004">
      <c r="A13" s="656" t="s">
        <v>43</v>
      </c>
      <c r="B13" s="656"/>
      <c r="C13" s="656"/>
      <c r="D13" s="656"/>
      <c r="E13" s="656"/>
      <c r="F13" s="656"/>
      <c r="G13" s="656"/>
      <c r="H13" s="656"/>
      <c r="I13" s="656"/>
      <c r="J13" s="675">
        <v>25554</v>
      </c>
      <c r="K13" s="676"/>
      <c r="L13" s="677">
        <f>IFERROR(VLOOKUP(A13,Input[],574,FALSE),"")</f>
        <v>382.82</v>
      </c>
      <c r="M13" s="678"/>
      <c r="N13" s="679"/>
      <c r="O13" s="648">
        <f>ROUND(SUMIFS(Input[State 
Revenue],Input[Institution Name],$A13),0)</f>
        <v>277906002</v>
      </c>
      <c r="P13" s="649"/>
      <c r="Q13" s="649"/>
      <c r="R13" s="672">
        <f t="shared" si="1"/>
        <v>725944</v>
      </c>
      <c r="S13" s="673"/>
      <c r="T13" s="674"/>
      <c r="U13" s="648">
        <f>ROUND(SUMIFS(Input[Constitutional 
Funds Revenue],Input[Institution Name],$A13),0)</f>
        <v>0</v>
      </c>
      <c r="V13" s="649"/>
      <c r="W13" s="649"/>
      <c r="X13" s="672">
        <f t="shared" si="2"/>
        <v>0</v>
      </c>
      <c r="Y13" s="673"/>
      <c r="Z13" s="674"/>
      <c r="AA13" s="648">
        <f>ROUND(SUMIFS(Input[Net Tuition
Revenue],Input[Institution Name],$A13),0)+ROUND(SUMIFS(Input[Net Fees
Revenue],Input[Institution Name],$A13),0)</f>
        <v>1856620</v>
      </c>
      <c r="AB13" s="649"/>
      <c r="AC13" s="649"/>
      <c r="AD13" s="672">
        <f t="shared" si="3"/>
        <v>4850</v>
      </c>
      <c r="AE13" s="673"/>
      <c r="AF13" s="674"/>
      <c r="AG13" s="648">
        <f>ROUND(SUMIFS(Input[Federal 
Revenue],Input[Institution Name],$A13),0)</f>
        <v>321171400</v>
      </c>
      <c r="AH13" s="649"/>
      <c r="AI13" s="649"/>
      <c r="AJ13" s="672">
        <f t="shared" si="4"/>
        <v>838962</v>
      </c>
      <c r="AK13" s="673"/>
      <c r="AL13" s="674"/>
      <c r="AM13" s="648">
        <f>ROUND(SUMIFS(Input[Institutional 
Revenue],Input[Institution Name],$A13),0)</f>
        <v>1194654634</v>
      </c>
      <c r="AN13" s="649"/>
      <c r="AO13" s="649"/>
      <c r="AP13" s="672">
        <f t="shared" si="5"/>
        <v>3120669</v>
      </c>
      <c r="AQ13" s="673"/>
      <c r="AR13" s="674"/>
      <c r="AS13" s="648">
        <f t="shared" si="0"/>
        <v>1795588656</v>
      </c>
      <c r="AT13" s="649"/>
      <c r="AU13" s="649"/>
      <c r="AV13" s="672">
        <f t="shared" si="6"/>
        <v>4690425</v>
      </c>
      <c r="AW13" s="673"/>
      <c r="AX13" s="674"/>
      <c r="AY13" s="146"/>
    </row>
    <row r="14" spans="1:51" s="148" customFormat="1" ht="27" customHeight="1" x14ac:dyDescent="0.55000000000000004">
      <c r="A14" s="655" t="s">
        <v>44</v>
      </c>
      <c r="B14" s="655"/>
      <c r="C14" s="655"/>
      <c r="D14" s="655"/>
      <c r="E14" s="655"/>
      <c r="F14" s="655"/>
      <c r="G14" s="655"/>
      <c r="H14" s="655"/>
      <c r="I14" s="655"/>
      <c r="J14" s="667">
        <v>42439</v>
      </c>
      <c r="K14" s="668"/>
      <c r="L14" s="680">
        <f>IFERROR(VLOOKUP(A14,Input[],574,FALSE),"")</f>
        <v>146.13</v>
      </c>
      <c r="M14" s="681"/>
      <c r="N14" s="682"/>
      <c r="O14" s="659">
        <f>ROUND(SUMIFS(Input[State 
Revenue],Input[Institution Name],$A14),0)</f>
        <v>74530391</v>
      </c>
      <c r="P14" s="660"/>
      <c r="Q14" s="660"/>
      <c r="R14" s="661">
        <f t="shared" si="1"/>
        <v>510028</v>
      </c>
      <c r="S14" s="662"/>
      <c r="T14" s="663"/>
      <c r="U14" s="659">
        <f>ROUND(SUMIFS(Input[Constitutional 
Funds Revenue],Input[Institution Name],$A14),0)</f>
        <v>0</v>
      </c>
      <c r="V14" s="660"/>
      <c r="W14" s="660"/>
      <c r="X14" s="661">
        <f t="shared" si="2"/>
        <v>0</v>
      </c>
      <c r="Y14" s="662"/>
      <c r="Z14" s="663"/>
      <c r="AA14" s="659">
        <f>ROUND(SUMIFS(Input[Net Tuition
Revenue],Input[Institution Name],$A14),0)+ROUND(SUMIFS(Input[Net Fees
Revenue],Input[Institution Name],$A14),0)</f>
        <v>1219060</v>
      </c>
      <c r="AB14" s="660"/>
      <c r="AC14" s="660"/>
      <c r="AD14" s="661">
        <f t="shared" si="3"/>
        <v>8342</v>
      </c>
      <c r="AE14" s="662"/>
      <c r="AF14" s="663"/>
      <c r="AG14" s="659">
        <f>ROUND(SUMIFS(Input[Federal 
Revenue],Input[Institution Name],$A14),0)</f>
        <v>12120254</v>
      </c>
      <c r="AH14" s="660"/>
      <c r="AI14" s="660"/>
      <c r="AJ14" s="661">
        <f t="shared" si="4"/>
        <v>82942</v>
      </c>
      <c r="AK14" s="662"/>
      <c r="AL14" s="663"/>
      <c r="AM14" s="659">
        <f>ROUND(SUMIFS(Input[Institutional 
Revenue],Input[Institution Name],$A14),0)</f>
        <v>137939187</v>
      </c>
      <c r="AN14" s="660"/>
      <c r="AO14" s="660"/>
      <c r="AP14" s="661">
        <f t="shared" si="5"/>
        <v>943948</v>
      </c>
      <c r="AQ14" s="662"/>
      <c r="AR14" s="663"/>
      <c r="AS14" s="659">
        <f t="shared" si="0"/>
        <v>225808892</v>
      </c>
      <c r="AT14" s="660"/>
      <c r="AU14" s="660"/>
      <c r="AV14" s="661">
        <f t="shared" si="6"/>
        <v>1545260</v>
      </c>
      <c r="AW14" s="662"/>
      <c r="AX14" s="663"/>
      <c r="AY14" s="146"/>
    </row>
    <row r="15" spans="1:51" s="148" customFormat="1" ht="27" customHeight="1" x14ac:dyDescent="0.55000000000000004">
      <c r="A15" s="656" t="s">
        <v>45</v>
      </c>
      <c r="B15" s="656"/>
      <c r="C15" s="656"/>
      <c r="D15" s="656"/>
      <c r="E15" s="656"/>
      <c r="F15" s="656"/>
      <c r="G15" s="656"/>
      <c r="H15" s="656"/>
      <c r="I15" s="656"/>
      <c r="J15" s="675">
        <v>89</v>
      </c>
      <c r="K15" s="676"/>
      <c r="L15" s="677">
        <f>IFERROR(VLOOKUP(A15,Input[],574,FALSE),"")</f>
        <v>3915.51</v>
      </c>
      <c r="M15" s="678"/>
      <c r="N15" s="679"/>
      <c r="O15" s="648">
        <f>ROUND(SUMIFS(Input[State 
Revenue],Input[Institution Name],$A15),0)</f>
        <v>250863004</v>
      </c>
      <c r="P15" s="649"/>
      <c r="Q15" s="649"/>
      <c r="R15" s="672">
        <f t="shared" si="1"/>
        <v>64069</v>
      </c>
      <c r="S15" s="673"/>
      <c r="T15" s="674"/>
      <c r="U15" s="648">
        <f>ROUND(SUMIFS(Input[Constitutional 
Funds Revenue],Input[Institution Name],$A15),0)</f>
        <v>25314550</v>
      </c>
      <c r="V15" s="649"/>
      <c r="W15" s="649"/>
      <c r="X15" s="672">
        <f t="shared" si="2"/>
        <v>6465</v>
      </c>
      <c r="Y15" s="673"/>
      <c r="Z15" s="674"/>
      <c r="AA15" s="648">
        <f>ROUND(SUMIFS(Input[Net Tuition
Revenue],Input[Institution Name],$A15),0)+ROUND(SUMIFS(Input[Net Fees
Revenue],Input[Institution Name],$A15),0)</f>
        <v>56528250</v>
      </c>
      <c r="AB15" s="649"/>
      <c r="AC15" s="649"/>
      <c r="AD15" s="672">
        <f t="shared" si="3"/>
        <v>14437</v>
      </c>
      <c r="AE15" s="673"/>
      <c r="AF15" s="674"/>
      <c r="AG15" s="648">
        <f>ROUND(SUMIFS(Input[Federal 
Revenue],Input[Institution Name],$A15),0)</f>
        <v>63388908</v>
      </c>
      <c r="AH15" s="649"/>
      <c r="AI15" s="649"/>
      <c r="AJ15" s="672">
        <f t="shared" si="4"/>
        <v>16189</v>
      </c>
      <c r="AK15" s="673"/>
      <c r="AL15" s="674"/>
      <c r="AM15" s="648">
        <f>ROUND(SUMIFS(Input[Institutional 
Revenue],Input[Institution Name],$A15),0)</f>
        <v>108987258</v>
      </c>
      <c r="AN15" s="649"/>
      <c r="AO15" s="649"/>
      <c r="AP15" s="672">
        <f t="shared" si="5"/>
        <v>27835</v>
      </c>
      <c r="AQ15" s="673"/>
      <c r="AR15" s="674"/>
      <c r="AS15" s="648">
        <f t="shared" si="0"/>
        <v>505081970</v>
      </c>
      <c r="AT15" s="649"/>
      <c r="AU15" s="649"/>
      <c r="AV15" s="672">
        <f t="shared" si="6"/>
        <v>128995</v>
      </c>
      <c r="AW15" s="673"/>
      <c r="AX15" s="674"/>
      <c r="AY15" s="146"/>
    </row>
    <row r="16" spans="1:51" s="148" customFormat="1" ht="27" customHeight="1" x14ac:dyDescent="0.55000000000000004">
      <c r="A16" s="655" t="s">
        <v>46</v>
      </c>
      <c r="B16" s="655"/>
      <c r="C16" s="655"/>
      <c r="D16" s="655"/>
      <c r="E16" s="655"/>
      <c r="F16" s="655"/>
      <c r="G16" s="655"/>
      <c r="H16" s="655"/>
      <c r="I16" s="655"/>
      <c r="J16" s="667">
        <v>130</v>
      </c>
      <c r="K16" s="668"/>
      <c r="L16" s="680">
        <f>IFERROR(VLOOKUP(A16,Input[],574,FALSE),"")</f>
        <v>2709.36</v>
      </c>
      <c r="M16" s="681"/>
      <c r="N16" s="682"/>
      <c r="O16" s="659">
        <f>ROUND(SUMIFS(Input[State 
Revenue],Input[Institution Name],$A16),0)</f>
        <v>134603228</v>
      </c>
      <c r="P16" s="660"/>
      <c r="Q16" s="660"/>
      <c r="R16" s="661">
        <f t="shared" si="1"/>
        <v>49681</v>
      </c>
      <c r="S16" s="662"/>
      <c r="T16" s="663"/>
      <c r="U16" s="659">
        <f>ROUND(SUMIFS(Input[Constitutional 
Funds Revenue],Input[Institution Name],$A16),0)</f>
        <v>15581837</v>
      </c>
      <c r="V16" s="660"/>
      <c r="W16" s="660"/>
      <c r="X16" s="661">
        <f t="shared" si="2"/>
        <v>5751</v>
      </c>
      <c r="Y16" s="662"/>
      <c r="Z16" s="663"/>
      <c r="AA16" s="659">
        <f>ROUND(SUMIFS(Input[Net Tuition
Revenue],Input[Institution Name],$A16),0)+ROUND(SUMIFS(Input[Net Fees
Revenue],Input[Institution Name],$A16),0)</f>
        <v>31533659</v>
      </c>
      <c r="AB16" s="660"/>
      <c r="AC16" s="660"/>
      <c r="AD16" s="661">
        <f t="shared" si="3"/>
        <v>11639</v>
      </c>
      <c r="AE16" s="662"/>
      <c r="AF16" s="663"/>
      <c r="AG16" s="659">
        <f>ROUND(SUMIFS(Input[Federal 
Revenue],Input[Institution Name],$A16),0)</f>
        <v>95283115</v>
      </c>
      <c r="AH16" s="660"/>
      <c r="AI16" s="660"/>
      <c r="AJ16" s="661">
        <f t="shared" si="4"/>
        <v>35168</v>
      </c>
      <c r="AK16" s="662"/>
      <c r="AL16" s="663"/>
      <c r="AM16" s="659">
        <f>ROUND(SUMIFS(Input[Institutional 
Revenue],Input[Institution Name],$A16),0)</f>
        <v>49060035</v>
      </c>
      <c r="AN16" s="660"/>
      <c r="AO16" s="660"/>
      <c r="AP16" s="661">
        <f t="shared" si="5"/>
        <v>18108</v>
      </c>
      <c r="AQ16" s="662"/>
      <c r="AR16" s="663"/>
      <c r="AS16" s="659">
        <f t="shared" si="0"/>
        <v>326061874</v>
      </c>
      <c r="AT16" s="660"/>
      <c r="AU16" s="660"/>
      <c r="AV16" s="661">
        <f t="shared" si="6"/>
        <v>120346</v>
      </c>
      <c r="AW16" s="662"/>
      <c r="AX16" s="663"/>
      <c r="AY16" s="146"/>
    </row>
    <row r="17" spans="1:51" s="148" customFormat="1" ht="27" customHeight="1" x14ac:dyDescent="0.55000000000000004">
      <c r="A17" s="656" t="s">
        <v>47</v>
      </c>
      <c r="B17" s="656"/>
      <c r="C17" s="656"/>
      <c r="D17" s="656"/>
      <c r="E17" s="656"/>
      <c r="F17" s="656"/>
      <c r="G17" s="656"/>
      <c r="H17" s="656"/>
      <c r="I17" s="656"/>
      <c r="J17" s="675">
        <v>412</v>
      </c>
      <c r="K17" s="676"/>
      <c r="L17" s="677">
        <f>IFERROR(VLOOKUP(A17,Input[],574,FALSE),"")</f>
        <v>5628.68</v>
      </c>
      <c r="M17" s="678"/>
      <c r="N17" s="679"/>
      <c r="O17" s="648">
        <f>ROUND(SUMIFS(Input[State 
Revenue],Input[Institution Name],$A17),0)</f>
        <v>207622542</v>
      </c>
      <c r="P17" s="649"/>
      <c r="Q17" s="649"/>
      <c r="R17" s="672">
        <f t="shared" si="1"/>
        <v>36887</v>
      </c>
      <c r="S17" s="673"/>
      <c r="T17" s="674"/>
      <c r="U17" s="648">
        <f>ROUND(SUMIFS(Input[Constitutional 
Funds Revenue],Input[Institution Name],$A17),0)</f>
        <v>22305642</v>
      </c>
      <c r="V17" s="649"/>
      <c r="W17" s="649"/>
      <c r="X17" s="672">
        <f t="shared" si="2"/>
        <v>3963</v>
      </c>
      <c r="Y17" s="673"/>
      <c r="Z17" s="674"/>
      <c r="AA17" s="648">
        <f>ROUND(SUMIFS(Input[Net Tuition
Revenue],Input[Institution Name],$A17),0)+ROUND(SUMIFS(Input[Net Fees
Revenue],Input[Institution Name],$A17),0)</f>
        <v>65767896</v>
      </c>
      <c r="AB17" s="649"/>
      <c r="AC17" s="649"/>
      <c r="AD17" s="672">
        <f t="shared" si="3"/>
        <v>11684</v>
      </c>
      <c r="AE17" s="673"/>
      <c r="AF17" s="674"/>
      <c r="AG17" s="648">
        <f>ROUND(SUMIFS(Input[Federal 
Revenue],Input[Institution Name],$A17),0)</f>
        <v>37073568</v>
      </c>
      <c r="AH17" s="649"/>
      <c r="AI17" s="649"/>
      <c r="AJ17" s="672">
        <f t="shared" si="4"/>
        <v>6587</v>
      </c>
      <c r="AK17" s="673"/>
      <c r="AL17" s="674"/>
      <c r="AM17" s="648">
        <f>ROUND(SUMIFS(Input[Institutional 
Revenue],Input[Institution Name],$A17),0)</f>
        <v>269143185</v>
      </c>
      <c r="AN17" s="649"/>
      <c r="AO17" s="649"/>
      <c r="AP17" s="672">
        <f t="shared" si="5"/>
        <v>47816</v>
      </c>
      <c r="AQ17" s="673"/>
      <c r="AR17" s="674"/>
      <c r="AS17" s="648">
        <f t="shared" si="0"/>
        <v>601912833</v>
      </c>
      <c r="AT17" s="649"/>
      <c r="AU17" s="649"/>
      <c r="AV17" s="672">
        <f t="shared" si="6"/>
        <v>106937</v>
      </c>
      <c r="AW17" s="673"/>
      <c r="AX17" s="674"/>
      <c r="AY17" s="146"/>
    </row>
    <row r="18" spans="1:51" s="148" customFormat="1" ht="27" customHeight="1" x14ac:dyDescent="0.55000000000000004">
      <c r="A18" s="655" t="s">
        <v>48</v>
      </c>
      <c r="B18" s="655"/>
      <c r="C18" s="655"/>
      <c r="D18" s="655"/>
      <c r="E18" s="655"/>
      <c r="F18" s="655"/>
      <c r="G18" s="655"/>
      <c r="H18" s="655"/>
      <c r="I18" s="655"/>
      <c r="J18" s="667">
        <v>862</v>
      </c>
      <c r="K18" s="668"/>
      <c r="L18" s="680">
        <f>IFERROR(VLOOKUP(A18,Input[],574,FALSE),"")</f>
        <v>1006.77</v>
      </c>
      <c r="M18" s="681"/>
      <c r="N18" s="682"/>
      <c r="O18" s="659">
        <f>ROUND(SUMIFS(Input[State 
Revenue],Input[Institution Name],$A18),0)</f>
        <v>97844436</v>
      </c>
      <c r="P18" s="660"/>
      <c r="Q18" s="660"/>
      <c r="R18" s="661">
        <f t="shared" si="1"/>
        <v>97186</v>
      </c>
      <c r="S18" s="662"/>
      <c r="T18" s="663"/>
      <c r="U18" s="659">
        <f>ROUND(SUMIFS(Input[Constitutional 
Funds Revenue],Input[Institution Name],$A18),0)</f>
        <v>5725243</v>
      </c>
      <c r="V18" s="660"/>
      <c r="W18" s="660"/>
      <c r="X18" s="661">
        <f t="shared" si="2"/>
        <v>5687</v>
      </c>
      <c r="Y18" s="662"/>
      <c r="Z18" s="663"/>
      <c r="AA18" s="659">
        <f>ROUND(SUMIFS(Input[Net Tuition
Revenue],Input[Institution Name],$A18),0)+ROUND(SUMIFS(Input[Net Fees
Revenue],Input[Institution Name],$A18),0)</f>
        <v>19747804</v>
      </c>
      <c r="AB18" s="660"/>
      <c r="AC18" s="660"/>
      <c r="AD18" s="661">
        <f t="shared" si="3"/>
        <v>19615</v>
      </c>
      <c r="AE18" s="662"/>
      <c r="AF18" s="663"/>
      <c r="AG18" s="659">
        <f>ROUND(SUMIFS(Input[Federal 
Revenue],Input[Institution Name],$A18),0)</f>
        <v>8675504</v>
      </c>
      <c r="AH18" s="660"/>
      <c r="AI18" s="660"/>
      <c r="AJ18" s="661">
        <f t="shared" si="4"/>
        <v>8617</v>
      </c>
      <c r="AK18" s="662"/>
      <c r="AL18" s="663"/>
      <c r="AM18" s="659">
        <f>ROUND(SUMIFS(Input[Institutional 
Revenue],Input[Institution Name],$A18),0)</f>
        <v>167527931</v>
      </c>
      <c r="AN18" s="660"/>
      <c r="AO18" s="660"/>
      <c r="AP18" s="661">
        <f t="shared" si="5"/>
        <v>166401</v>
      </c>
      <c r="AQ18" s="662"/>
      <c r="AR18" s="663"/>
      <c r="AS18" s="659">
        <f t="shared" si="0"/>
        <v>299520918</v>
      </c>
      <c r="AT18" s="660"/>
      <c r="AU18" s="660"/>
      <c r="AV18" s="661">
        <f t="shared" si="6"/>
        <v>297507</v>
      </c>
      <c r="AW18" s="662"/>
      <c r="AX18" s="663"/>
      <c r="AY18" s="146"/>
    </row>
    <row r="19" spans="1:51" s="148" customFormat="1" ht="27" customHeight="1" x14ac:dyDescent="0.55000000000000004">
      <c r="A19" s="656" t="s">
        <v>743</v>
      </c>
      <c r="B19" s="656"/>
      <c r="C19" s="656"/>
      <c r="D19" s="656"/>
      <c r="E19" s="656"/>
      <c r="F19" s="656"/>
      <c r="G19" s="656"/>
      <c r="H19" s="656"/>
      <c r="I19" s="656"/>
      <c r="J19" s="675">
        <v>203599</v>
      </c>
      <c r="K19" s="676"/>
      <c r="L19" s="677">
        <f>IFERROR(VLOOKUP(A19,Input[],574,FALSE),"")</f>
        <v>287</v>
      </c>
      <c r="M19" s="678"/>
      <c r="N19" s="679"/>
      <c r="O19" s="648">
        <f>ROUND(SUMIFS(Input[State 
Revenue],Input[Institution Name],$A19),0)</f>
        <v>58895629</v>
      </c>
      <c r="P19" s="649"/>
      <c r="Q19" s="649"/>
      <c r="R19" s="672">
        <f t="shared" si="1"/>
        <v>205211</v>
      </c>
      <c r="S19" s="673"/>
      <c r="T19" s="674"/>
      <c r="U19" s="648">
        <f>ROUND(SUMIFS(Input[Constitutional 
Funds Revenue],Input[Institution Name],$A19),0)</f>
        <v>0</v>
      </c>
      <c r="V19" s="649"/>
      <c r="W19" s="649"/>
      <c r="X19" s="672">
        <f t="shared" si="2"/>
        <v>0</v>
      </c>
      <c r="Y19" s="673"/>
      <c r="Z19" s="674"/>
      <c r="AA19" s="648">
        <f>ROUND(SUMIFS(Input[Net Tuition
Revenue],Input[Institution Name],$A19),0)+ROUND(SUMIFS(Input[Net Fees
Revenue],Input[Institution Name],$A19),0)</f>
        <v>5597045</v>
      </c>
      <c r="AB19" s="649"/>
      <c r="AC19" s="649"/>
      <c r="AD19" s="672">
        <f t="shared" si="3"/>
        <v>19502</v>
      </c>
      <c r="AE19" s="673"/>
      <c r="AF19" s="674"/>
      <c r="AG19" s="648">
        <f>ROUND(SUMIFS(Input[Federal 
Revenue],Input[Institution Name],$A19),0)</f>
        <v>14960358</v>
      </c>
      <c r="AH19" s="649"/>
      <c r="AI19" s="649"/>
      <c r="AJ19" s="672">
        <f t="shared" si="4"/>
        <v>52127</v>
      </c>
      <c r="AK19" s="673"/>
      <c r="AL19" s="674"/>
      <c r="AM19" s="648">
        <f>ROUND(SUMIFS(Input[Institutional 
Revenue],Input[Institution Name],$A19),0)</f>
        <v>42991688</v>
      </c>
      <c r="AN19" s="649"/>
      <c r="AO19" s="649"/>
      <c r="AP19" s="672">
        <f t="shared" si="5"/>
        <v>149797</v>
      </c>
      <c r="AQ19" s="673"/>
      <c r="AR19" s="674"/>
      <c r="AS19" s="648">
        <f t="shared" si="0"/>
        <v>122444720</v>
      </c>
      <c r="AT19" s="649"/>
      <c r="AU19" s="649"/>
      <c r="AV19" s="672">
        <f t="shared" si="6"/>
        <v>426637</v>
      </c>
      <c r="AW19" s="673"/>
      <c r="AX19" s="674"/>
      <c r="AY19" s="146"/>
    </row>
    <row r="20" spans="1:51" s="148" customFormat="1" ht="27" customHeight="1" x14ac:dyDescent="0.55000000000000004">
      <c r="A20" s="655" t="s">
        <v>742</v>
      </c>
      <c r="B20" s="655"/>
      <c r="C20" s="655"/>
      <c r="D20" s="655"/>
      <c r="E20" s="655"/>
      <c r="F20" s="655"/>
      <c r="G20" s="655"/>
      <c r="H20" s="655"/>
      <c r="I20" s="655"/>
      <c r="J20" s="667">
        <v>203658</v>
      </c>
      <c r="K20" s="668"/>
      <c r="L20" s="680">
        <f>IFERROR(VLOOKUP(A20,Input[],574,FALSE),"")</f>
        <v>199</v>
      </c>
      <c r="M20" s="681"/>
      <c r="N20" s="682"/>
      <c r="O20" s="659">
        <f>ROUND(SUMIFS(Input[State 
Revenue],Input[Institution Name],$A20),0)</f>
        <v>19914837</v>
      </c>
      <c r="P20" s="660"/>
      <c r="Q20" s="660"/>
      <c r="R20" s="661">
        <f t="shared" si="1"/>
        <v>100075</v>
      </c>
      <c r="S20" s="662"/>
      <c r="T20" s="663"/>
      <c r="U20" s="659">
        <f>ROUND(SUMIFS(Input[Constitutional 
Funds Revenue],Input[Institution Name],$A20),0)</f>
        <v>25010190</v>
      </c>
      <c r="V20" s="660"/>
      <c r="W20" s="660"/>
      <c r="X20" s="661">
        <f t="shared" si="2"/>
        <v>125679</v>
      </c>
      <c r="Y20" s="662"/>
      <c r="Z20" s="663"/>
      <c r="AA20" s="659">
        <f>ROUND(SUMIFS(Input[Net Tuition
Revenue],Input[Institution Name],$A20),0)+ROUND(SUMIFS(Input[Net Fees
Revenue],Input[Institution Name],$A20),0)</f>
        <v>3714358</v>
      </c>
      <c r="AB20" s="660"/>
      <c r="AC20" s="660"/>
      <c r="AD20" s="661">
        <f t="shared" si="3"/>
        <v>18665</v>
      </c>
      <c r="AE20" s="662"/>
      <c r="AF20" s="663"/>
      <c r="AG20" s="659">
        <f>ROUND(SUMIFS(Input[Federal 
Revenue],Input[Institution Name],$A20),0)</f>
        <v>19750163</v>
      </c>
      <c r="AH20" s="660"/>
      <c r="AI20" s="660"/>
      <c r="AJ20" s="661">
        <f t="shared" si="4"/>
        <v>99247</v>
      </c>
      <c r="AK20" s="662"/>
      <c r="AL20" s="663"/>
      <c r="AM20" s="659">
        <f>ROUND(SUMIFS(Input[Institutional 
Revenue],Input[Institution Name],$A20),0)</f>
        <v>207519513</v>
      </c>
      <c r="AN20" s="660"/>
      <c r="AO20" s="660"/>
      <c r="AP20" s="661">
        <f t="shared" si="5"/>
        <v>1042812</v>
      </c>
      <c r="AQ20" s="662"/>
      <c r="AR20" s="663"/>
      <c r="AS20" s="659">
        <f t="shared" si="0"/>
        <v>275909061</v>
      </c>
      <c r="AT20" s="660"/>
      <c r="AU20" s="660"/>
      <c r="AV20" s="661">
        <f t="shared" si="6"/>
        <v>1386478</v>
      </c>
      <c r="AW20" s="662"/>
      <c r="AX20" s="663"/>
      <c r="AY20" s="146"/>
    </row>
    <row r="21" spans="1:51" s="148" customFormat="1" ht="27" customHeight="1" x14ac:dyDescent="0.55000000000000004">
      <c r="A21" s="656" t="s">
        <v>745</v>
      </c>
      <c r="B21" s="656"/>
      <c r="C21" s="656"/>
      <c r="D21" s="656"/>
      <c r="E21" s="656"/>
      <c r="F21" s="656"/>
      <c r="G21" s="656"/>
      <c r="H21" s="656"/>
      <c r="I21" s="656"/>
      <c r="J21" s="675">
        <v>203652</v>
      </c>
      <c r="K21" s="676"/>
      <c r="L21" s="677">
        <f>IFERROR(VLOOKUP(A21,Input[],574,FALSE),"")</f>
        <v>171</v>
      </c>
      <c r="M21" s="678"/>
      <c r="N21" s="679"/>
      <c r="O21" s="648">
        <f>ROUND(SUMIFS(Input[State 
Revenue],Input[Institution Name],$A21),0)</f>
        <v>20278039</v>
      </c>
      <c r="P21" s="649"/>
      <c r="Q21" s="649"/>
      <c r="R21" s="672">
        <f t="shared" si="1"/>
        <v>118585</v>
      </c>
      <c r="S21" s="673"/>
      <c r="T21" s="674"/>
      <c r="U21" s="648">
        <f>ROUND(SUMIFS(Input[Constitutional 
Funds Revenue],Input[Institution Name],$A21),0)</f>
        <v>0</v>
      </c>
      <c r="V21" s="649"/>
      <c r="W21" s="649"/>
      <c r="X21" s="672">
        <f t="shared" si="2"/>
        <v>0</v>
      </c>
      <c r="Y21" s="673"/>
      <c r="Z21" s="674"/>
      <c r="AA21" s="648">
        <f>ROUND(SUMIFS(Input[Net Tuition
Revenue],Input[Institution Name],$A21),0)+ROUND(SUMIFS(Input[Net Fees
Revenue],Input[Institution Name],$A21),0)</f>
        <v>4091353</v>
      </c>
      <c r="AB21" s="649"/>
      <c r="AC21" s="649"/>
      <c r="AD21" s="672">
        <f t="shared" si="3"/>
        <v>23926</v>
      </c>
      <c r="AE21" s="673"/>
      <c r="AF21" s="674"/>
      <c r="AG21" s="648">
        <f>ROUND(SUMIFS(Input[Federal 
Revenue],Input[Institution Name],$A21),0)</f>
        <v>397544</v>
      </c>
      <c r="AH21" s="649"/>
      <c r="AI21" s="649"/>
      <c r="AJ21" s="672">
        <f t="shared" si="4"/>
        <v>2325</v>
      </c>
      <c r="AK21" s="673"/>
      <c r="AL21" s="674"/>
      <c r="AM21" s="648">
        <f>ROUND(SUMIFS(Input[Institutional 
Revenue],Input[Institution Name],$A21),0)</f>
        <v>16377633</v>
      </c>
      <c r="AN21" s="649"/>
      <c r="AO21" s="649"/>
      <c r="AP21" s="672">
        <f t="shared" si="5"/>
        <v>95776</v>
      </c>
      <c r="AQ21" s="673"/>
      <c r="AR21" s="674"/>
      <c r="AS21" s="648">
        <f t="shared" si="0"/>
        <v>41144569</v>
      </c>
      <c r="AT21" s="649"/>
      <c r="AU21" s="649"/>
      <c r="AV21" s="672">
        <f t="shared" si="6"/>
        <v>240612</v>
      </c>
      <c r="AW21" s="673"/>
      <c r="AX21" s="674"/>
      <c r="AY21" s="146"/>
    </row>
    <row r="22" spans="1:51" s="148" customFormat="1" ht="27" customHeight="1" x14ac:dyDescent="0.55000000000000004">
      <c r="A22" s="655" t="s">
        <v>744</v>
      </c>
      <c r="B22" s="655"/>
      <c r="C22" s="655"/>
      <c r="D22" s="655"/>
      <c r="E22" s="655"/>
      <c r="F22" s="655"/>
      <c r="G22" s="655"/>
      <c r="H22" s="655"/>
      <c r="I22" s="655"/>
      <c r="J22" s="667">
        <v>103606</v>
      </c>
      <c r="K22" s="668"/>
      <c r="L22" s="669">
        <f>IFERROR(VLOOKUP(A22,Input[],574,FALSE),"")</f>
        <v>484</v>
      </c>
      <c r="M22" s="670"/>
      <c r="N22" s="671"/>
      <c r="O22" s="659">
        <f>ROUND(SUMIFS(Input[State 
Revenue],Input[Institution Name],$A22),0)</f>
        <v>18134699</v>
      </c>
      <c r="P22" s="660"/>
      <c r="Q22" s="660"/>
      <c r="R22" s="664">
        <f t="shared" si="1"/>
        <v>37468</v>
      </c>
      <c r="S22" s="665"/>
      <c r="T22" s="666"/>
      <c r="U22" s="659">
        <f>ROUND(SUMIFS(Input[Constitutional 
Funds Revenue],Input[Institution Name],$A22),0)</f>
        <v>0</v>
      </c>
      <c r="V22" s="660"/>
      <c r="W22" s="660"/>
      <c r="X22" s="664">
        <f t="shared" si="2"/>
        <v>0</v>
      </c>
      <c r="Y22" s="665"/>
      <c r="Z22" s="666"/>
      <c r="AA22" s="659">
        <f>ROUND(SUMIFS(Input[Net Tuition
Revenue],Input[Institution Name],$A22),0)+ROUND(SUMIFS(Input[Net Fees
Revenue],Input[Institution Name],$A22),0)</f>
        <v>12792233</v>
      </c>
      <c r="AB22" s="660"/>
      <c r="AC22" s="660"/>
      <c r="AD22" s="664">
        <f t="shared" si="3"/>
        <v>26430</v>
      </c>
      <c r="AE22" s="665"/>
      <c r="AF22" s="666"/>
      <c r="AG22" s="659">
        <f>ROUND(SUMIFS(Input[Federal 
Revenue],Input[Institution Name],$A22),0)</f>
        <v>345462</v>
      </c>
      <c r="AH22" s="660"/>
      <c r="AI22" s="660"/>
      <c r="AJ22" s="664">
        <f t="shared" si="4"/>
        <v>714</v>
      </c>
      <c r="AK22" s="665"/>
      <c r="AL22" s="666"/>
      <c r="AM22" s="659">
        <f>ROUND(SUMIFS(Input[Institutional 
Revenue],Input[Institution Name],$A22),0)</f>
        <v>1986875</v>
      </c>
      <c r="AN22" s="660"/>
      <c r="AO22" s="660"/>
      <c r="AP22" s="664">
        <f t="shared" si="5"/>
        <v>4105</v>
      </c>
      <c r="AQ22" s="665"/>
      <c r="AR22" s="666"/>
      <c r="AS22" s="659">
        <f t="shared" si="0"/>
        <v>33259269</v>
      </c>
      <c r="AT22" s="660"/>
      <c r="AU22" s="660"/>
      <c r="AV22" s="664">
        <f t="shared" si="6"/>
        <v>68717</v>
      </c>
      <c r="AW22" s="665"/>
      <c r="AX22" s="666"/>
      <c r="AY22" s="146"/>
    </row>
    <row r="23" spans="1:51" s="148" customFormat="1" ht="27" customHeight="1" x14ac:dyDescent="0.55000000000000004">
      <c r="A23" s="688"/>
      <c r="B23" s="688"/>
      <c r="C23" s="688"/>
      <c r="D23" s="688"/>
      <c r="E23" s="688"/>
      <c r="F23" s="688"/>
      <c r="G23" s="688"/>
      <c r="H23" s="688"/>
      <c r="I23" s="688"/>
      <c r="J23" s="689">
        <f>COUNT($J$9:$J$22)</f>
        <v>14</v>
      </c>
      <c r="K23" s="690"/>
      <c r="L23" s="691">
        <f>SUBTOTAL(109,$L$9:$L$22)</f>
        <v>30035.09</v>
      </c>
      <c r="M23" s="691"/>
      <c r="N23" s="691"/>
      <c r="O23" s="685">
        <f>SUBTOTAL(109,$O$9:$O$22)</f>
        <v>2383988893</v>
      </c>
      <c r="P23" s="686"/>
      <c r="Q23" s="686"/>
      <c r="R23" s="686">
        <f>SUBTOTAL(109,$R$9:$R$22)</f>
        <v>2286620</v>
      </c>
      <c r="S23" s="686"/>
      <c r="T23" s="687"/>
      <c r="U23" s="685">
        <f>SUBTOTAL(109,$U$9:$U$22)</f>
        <v>93937462</v>
      </c>
      <c r="V23" s="686"/>
      <c r="W23" s="686"/>
      <c r="X23" s="686">
        <f>SUBTOTAL(109,$X$9:$X$22)</f>
        <v>147545</v>
      </c>
      <c r="Y23" s="686"/>
      <c r="Z23" s="687"/>
      <c r="AA23" s="685">
        <f>SUBTOTAL(109,$AA$9:$AA$22)</f>
        <v>409163330</v>
      </c>
      <c r="AB23" s="686"/>
      <c r="AC23" s="686"/>
      <c r="AD23" s="686">
        <f>SUBTOTAL(109,$AD$9:$AD$22)</f>
        <v>212619</v>
      </c>
      <c r="AE23" s="686"/>
      <c r="AF23" s="687"/>
      <c r="AG23" s="685">
        <f>SUBTOTAL(109,$AG$9:$AG$22)</f>
        <v>1693855589</v>
      </c>
      <c r="AH23" s="686"/>
      <c r="AI23" s="686"/>
      <c r="AJ23" s="686">
        <f>SUBTOTAL(109,$AJ$9:$AJ$22)</f>
        <v>1467463</v>
      </c>
      <c r="AK23" s="686"/>
      <c r="AL23" s="687"/>
      <c r="AM23" s="685">
        <f>SUBTOTAL(109,$AM$9:$AM$22)</f>
        <v>5528325612</v>
      </c>
      <c r="AN23" s="686"/>
      <c r="AO23" s="686"/>
      <c r="AP23" s="686">
        <f>SUBTOTAL(109,$AP$9:$AP$22)</f>
        <v>6594117</v>
      </c>
      <c r="AQ23" s="686"/>
      <c r="AR23" s="687"/>
      <c r="AS23" s="685">
        <f>SUBTOTAL(109,$AS$9:$AS$22)</f>
        <v>10109270886</v>
      </c>
      <c r="AT23" s="686"/>
      <c r="AU23" s="686"/>
      <c r="AV23" s="686">
        <f>SUBTOTAL(109,$AV$9:$AV$22)</f>
        <v>10708363</v>
      </c>
      <c r="AW23" s="686"/>
      <c r="AX23" s="687"/>
      <c r="AY23" s="146"/>
    </row>
    <row r="24" spans="1:51" ht="27" customHeight="1" x14ac:dyDescent="0.55000000000000004">
      <c r="A24" s="638" t="s">
        <v>1818</v>
      </c>
      <c r="B24" s="638"/>
      <c r="C24" s="638"/>
      <c r="D24" s="638"/>
      <c r="E24" s="638"/>
      <c r="F24" s="638"/>
      <c r="G24" s="638"/>
      <c r="H24" s="638"/>
      <c r="I24" s="638"/>
      <c r="J24" s="638"/>
      <c r="K24" s="638"/>
      <c r="L24" s="638"/>
      <c r="M24" s="638"/>
      <c r="N24" s="638"/>
      <c r="O24" s="638"/>
      <c r="P24" s="638"/>
      <c r="Q24" s="638"/>
      <c r="R24" s="638"/>
      <c r="S24" s="638"/>
      <c r="T24" s="638"/>
      <c r="U24" s="638"/>
      <c r="V24" s="638"/>
      <c r="W24" s="638"/>
      <c r="X24" s="638"/>
      <c r="Y24" s="638"/>
      <c r="Z24" s="638"/>
      <c r="AA24" s="638"/>
      <c r="AB24" s="638"/>
      <c r="AC24" s="638"/>
      <c r="AD24" s="638"/>
      <c r="AE24" s="638"/>
      <c r="AF24" s="638"/>
      <c r="AG24" s="638"/>
      <c r="AH24" s="638"/>
      <c r="AI24" s="638"/>
      <c r="AJ24" s="638"/>
      <c r="AK24" s="638"/>
      <c r="AL24" s="638"/>
      <c r="AM24" s="638"/>
      <c r="AN24" s="638"/>
      <c r="AO24" s="638"/>
      <c r="AP24" s="638"/>
      <c r="AQ24" s="638"/>
      <c r="AR24" s="638"/>
      <c r="AS24" s="638"/>
      <c r="AT24" s="638"/>
      <c r="AU24" s="638"/>
      <c r="AV24" s="638"/>
      <c r="AW24" s="638"/>
      <c r="AX24" s="638"/>
      <c r="AY24" s="146"/>
    </row>
    <row r="25" spans="1:51" ht="27" customHeight="1" x14ac:dyDescent="0.55000000000000004">
      <c r="A25" s="362"/>
      <c r="B25" s="362"/>
      <c r="C25" s="362"/>
      <c r="D25" s="362"/>
      <c r="E25" s="362"/>
      <c r="F25" s="362"/>
      <c r="G25" s="362"/>
      <c r="H25" s="362"/>
      <c r="I25" s="362"/>
      <c r="J25" s="362"/>
      <c r="K25" s="362"/>
      <c r="L25" s="362"/>
      <c r="M25" s="362"/>
      <c r="N25" s="362"/>
      <c r="O25" s="362"/>
      <c r="P25" s="362"/>
      <c r="Q25" s="362"/>
      <c r="R25" s="362"/>
      <c r="S25" s="362"/>
      <c r="T25" s="362"/>
      <c r="U25" s="362"/>
      <c r="V25" s="362"/>
      <c r="W25" s="362"/>
      <c r="X25" s="362"/>
      <c r="Y25" s="362"/>
      <c r="Z25" s="362"/>
      <c r="AA25" s="362"/>
      <c r="AB25" s="362"/>
      <c r="AC25" s="362"/>
      <c r="AD25" s="362"/>
      <c r="AE25" s="362"/>
      <c r="AF25" s="362"/>
      <c r="AG25" s="362"/>
      <c r="AH25" s="362"/>
      <c r="AI25" s="362"/>
      <c r="AJ25" s="362"/>
      <c r="AK25" s="362"/>
      <c r="AL25" s="362"/>
      <c r="AM25" s="362"/>
      <c r="AN25" s="362"/>
      <c r="AO25" s="362"/>
      <c r="AP25" s="146"/>
      <c r="AQ25" s="146"/>
      <c r="AR25" s="146"/>
      <c r="AS25" s="146"/>
      <c r="AT25" s="146"/>
      <c r="AU25" s="146"/>
      <c r="AV25" s="146"/>
      <c r="AW25" s="146"/>
      <c r="AX25" s="146"/>
      <c r="AY25" s="146"/>
    </row>
    <row r="26" spans="1:51" s="359" customFormat="1" ht="31.95" customHeight="1" x14ac:dyDescent="0.55000000000000004">
      <c r="A26" s="699" t="s">
        <v>820</v>
      </c>
      <c r="B26" s="699"/>
      <c r="C26" s="699"/>
      <c r="D26" s="699"/>
      <c r="E26" s="699"/>
      <c r="F26" s="699"/>
      <c r="G26" s="699"/>
      <c r="H26" s="699"/>
      <c r="I26" s="699"/>
      <c r="J26" s="699"/>
      <c r="K26" s="699"/>
      <c r="L26" s="699"/>
      <c r="M26" s="699"/>
      <c r="N26" s="699"/>
      <c r="O26" s="699"/>
      <c r="P26" s="699"/>
      <c r="Q26" s="699"/>
      <c r="R26" s="699"/>
      <c r="S26" s="699"/>
      <c r="T26" s="699"/>
      <c r="U26" s="699"/>
      <c r="V26" s="699"/>
      <c r="W26" s="699"/>
      <c r="X26" s="699"/>
      <c r="Y26" s="699"/>
      <c r="Z26" s="699"/>
      <c r="AA26" s="699"/>
      <c r="AB26" s="699"/>
      <c r="AC26" s="699"/>
      <c r="AD26" s="699"/>
      <c r="AE26" s="699"/>
      <c r="AF26" s="699"/>
      <c r="AG26" s="699"/>
      <c r="AH26" s="699"/>
      <c r="AI26" s="699"/>
      <c r="AJ26" s="699"/>
      <c r="AK26" s="699"/>
      <c r="AL26" s="699"/>
      <c r="AM26" s="699"/>
      <c r="AN26" s="699"/>
      <c r="AO26" s="699"/>
      <c r="AP26" s="699"/>
      <c r="AQ26" s="699"/>
      <c r="AR26" s="699"/>
      <c r="AS26" s="699"/>
      <c r="AT26" s="699"/>
      <c r="AU26" s="699"/>
      <c r="AV26" s="699"/>
      <c r="AW26" s="357"/>
      <c r="AX26" s="357"/>
      <c r="AY26" s="358"/>
    </row>
    <row r="27" spans="1:51" ht="27" customHeight="1" x14ac:dyDescent="0.55000000000000004">
      <c r="A27" s="146"/>
      <c r="B27" s="146"/>
      <c r="C27" s="146"/>
      <c r="D27" s="146"/>
      <c r="E27" s="146"/>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6"/>
      <c r="AL27" s="146"/>
      <c r="AM27" s="146"/>
      <c r="AN27" s="146"/>
      <c r="AO27" s="146"/>
      <c r="AP27" s="146"/>
      <c r="AQ27" s="146"/>
      <c r="AR27" s="146"/>
      <c r="AS27" s="146"/>
      <c r="AT27" s="146"/>
      <c r="AU27" s="146"/>
      <c r="AV27" s="146"/>
      <c r="AW27" s="146"/>
      <c r="AX27" s="146"/>
      <c r="AY27" s="146"/>
    </row>
    <row r="28" spans="1:51" ht="27" customHeight="1" x14ac:dyDescent="0.55000000000000004">
      <c r="A28" s="657" t="s">
        <v>31</v>
      </c>
      <c r="B28" s="657"/>
      <c r="C28" s="657"/>
      <c r="D28" s="657"/>
      <c r="E28" s="657"/>
      <c r="F28" s="657"/>
      <c r="G28" s="657"/>
      <c r="H28" s="657"/>
      <c r="I28" s="657"/>
      <c r="J28" s="651" t="s">
        <v>33</v>
      </c>
      <c r="K28" s="652"/>
      <c r="L28" s="639" t="s">
        <v>175</v>
      </c>
      <c r="M28" s="639"/>
      <c r="N28" s="639"/>
      <c r="O28" s="642" t="s">
        <v>1819</v>
      </c>
      <c r="P28" s="643"/>
      <c r="Q28" s="643"/>
      <c r="R28" s="643"/>
      <c r="S28" s="643"/>
      <c r="T28" s="644"/>
      <c r="U28" s="642" t="s">
        <v>1822</v>
      </c>
      <c r="V28" s="643"/>
      <c r="W28" s="643"/>
      <c r="X28" s="643"/>
      <c r="Y28" s="643"/>
      <c r="Z28" s="644"/>
      <c r="AA28" s="642" t="s">
        <v>1821</v>
      </c>
      <c r="AB28" s="643"/>
      <c r="AC28" s="643"/>
      <c r="AD28" s="643"/>
      <c r="AE28" s="643"/>
      <c r="AF28" s="644"/>
      <c r="AG28" s="642" t="s">
        <v>1820</v>
      </c>
      <c r="AH28" s="643"/>
      <c r="AI28" s="643"/>
      <c r="AJ28" s="643"/>
      <c r="AK28" s="643"/>
      <c r="AL28" s="644"/>
      <c r="AM28" s="642" t="s">
        <v>1823</v>
      </c>
      <c r="AN28" s="643"/>
      <c r="AO28" s="643"/>
      <c r="AP28" s="643"/>
      <c r="AQ28" s="643"/>
      <c r="AR28" s="644"/>
      <c r="AS28" s="642" t="s">
        <v>1824</v>
      </c>
      <c r="AT28" s="643"/>
      <c r="AU28" s="643"/>
      <c r="AV28" s="643"/>
      <c r="AW28" s="643"/>
      <c r="AX28" s="644"/>
      <c r="AY28" s="146"/>
    </row>
    <row r="29" spans="1:51" ht="27" customHeight="1" x14ac:dyDescent="0.6">
      <c r="A29" s="658"/>
      <c r="B29" s="658"/>
      <c r="C29" s="658"/>
      <c r="D29" s="658"/>
      <c r="E29" s="658"/>
      <c r="F29" s="658"/>
      <c r="G29" s="658"/>
      <c r="H29" s="658"/>
      <c r="I29" s="658"/>
      <c r="J29" s="653"/>
      <c r="K29" s="654"/>
      <c r="L29" s="640"/>
      <c r="M29" s="640"/>
      <c r="N29" s="640"/>
      <c r="O29" s="645" t="s">
        <v>137</v>
      </c>
      <c r="P29" s="646"/>
      <c r="Q29" s="646"/>
      <c r="R29" s="646" t="s">
        <v>136</v>
      </c>
      <c r="S29" s="646"/>
      <c r="T29" s="647"/>
      <c r="U29" s="645" t="s">
        <v>137</v>
      </c>
      <c r="V29" s="646"/>
      <c r="W29" s="646"/>
      <c r="X29" s="646" t="s">
        <v>136</v>
      </c>
      <c r="Y29" s="646"/>
      <c r="Z29" s="647"/>
      <c r="AA29" s="645" t="s">
        <v>137</v>
      </c>
      <c r="AB29" s="646"/>
      <c r="AC29" s="646"/>
      <c r="AD29" s="646" t="s">
        <v>136</v>
      </c>
      <c r="AE29" s="646"/>
      <c r="AF29" s="647"/>
      <c r="AG29" s="645" t="s">
        <v>137</v>
      </c>
      <c r="AH29" s="646"/>
      <c r="AI29" s="646"/>
      <c r="AJ29" s="646" t="s">
        <v>136</v>
      </c>
      <c r="AK29" s="646"/>
      <c r="AL29" s="647"/>
      <c r="AM29" s="645" t="s">
        <v>137</v>
      </c>
      <c r="AN29" s="646"/>
      <c r="AO29" s="646"/>
      <c r="AP29" s="646" t="s">
        <v>136</v>
      </c>
      <c r="AQ29" s="646"/>
      <c r="AR29" s="647"/>
      <c r="AS29" s="645" t="s">
        <v>137</v>
      </c>
      <c r="AT29" s="646"/>
      <c r="AU29" s="646"/>
      <c r="AV29" s="646" t="s">
        <v>136</v>
      </c>
      <c r="AW29" s="646"/>
      <c r="AX29" s="647"/>
      <c r="AY29" s="146"/>
    </row>
    <row r="30" spans="1:51" s="148" customFormat="1" ht="27" customHeight="1" x14ac:dyDescent="0.55000000000000004">
      <c r="A30" s="656" t="s">
        <v>49</v>
      </c>
      <c r="B30" s="656"/>
      <c r="C30" s="656"/>
      <c r="D30" s="656"/>
      <c r="E30" s="656"/>
      <c r="F30" s="656"/>
      <c r="G30" s="656"/>
      <c r="H30" s="656"/>
      <c r="I30" s="656"/>
      <c r="J30" s="675">
        <v>36273</v>
      </c>
      <c r="K30" s="676"/>
      <c r="L30" s="677">
        <f>IFERROR(VLOOKUP(A30,Input[],574,FALSE),"")</f>
        <v>3209.86</v>
      </c>
      <c r="M30" s="678"/>
      <c r="N30" s="679"/>
      <c r="O30" s="648">
        <f>ROUND(SUMIFS(Input[State 
Revenue],Input[Institution Name],$A30),0)</f>
        <v>32578838</v>
      </c>
      <c r="P30" s="649"/>
      <c r="Q30" s="649"/>
      <c r="R30" s="683">
        <f>ROUND(O30/$L30,0)</f>
        <v>10150</v>
      </c>
      <c r="S30" s="683"/>
      <c r="T30" s="684"/>
      <c r="U30" s="648">
        <f>ROUND(SUMIFS(Input[Constitutional 
Funds Revenue],Input[Institution Name],$A30),0)</f>
        <v>2630158</v>
      </c>
      <c r="V30" s="649"/>
      <c r="W30" s="649"/>
      <c r="X30" s="683">
        <f>ROUND(U30/$L30,0)</f>
        <v>819</v>
      </c>
      <c r="Y30" s="683"/>
      <c r="Z30" s="684"/>
      <c r="AA30" s="648">
        <f>ROUND(SUMIFS(Input[Net Tuition
Revenue],Input[Institution Name],$A30),0)+ROUND(SUMIFS(Input[Net Fees
Revenue],Input[Institution Name],$A30),0)</f>
        <v>5834990</v>
      </c>
      <c r="AB30" s="649"/>
      <c r="AC30" s="649"/>
      <c r="AD30" s="683">
        <f>ROUND(AA30/$L30,0)</f>
        <v>1818</v>
      </c>
      <c r="AE30" s="683"/>
      <c r="AF30" s="684"/>
      <c r="AG30" s="648">
        <f>ROUND(SUMIFS(Input[Federal 
Revenue],Input[Institution Name],$A30),0)</f>
        <v>8493905</v>
      </c>
      <c r="AH30" s="649"/>
      <c r="AI30" s="649"/>
      <c r="AJ30" s="683">
        <f>ROUND(AG30/$L30,0)</f>
        <v>2646</v>
      </c>
      <c r="AK30" s="683"/>
      <c r="AL30" s="684"/>
      <c r="AM30" s="648">
        <f>ROUND(SUMIFS(Input[Institutional 
Revenue],Input[Institution Name],$A30),0)</f>
        <v>25722971</v>
      </c>
      <c r="AN30" s="649"/>
      <c r="AO30" s="649"/>
      <c r="AP30" s="683">
        <f>ROUND(AM30/$L30,0)</f>
        <v>8014</v>
      </c>
      <c r="AQ30" s="683"/>
      <c r="AR30" s="684"/>
      <c r="AS30" s="648">
        <f t="shared" ref="AS30:AS38" si="7">SUM($O30,$U30,$AA30,$AG30,$AM30)</f>
        <v>75260862</v>
      </c>
      <c r="AT30" s="649"/>
      <c r="AU30" s="649"/>
      <c r="AV30" s="683">
        <f>ROUND(AS30/$L30,0)</f>
        <v>23447</v>
      </c>
      <c r="AW30" s="683"/>
      <c r="AX30" s="684"/>
      <c r="AY30" s="146"/>
    </row>
    <row r="31" spans="1:51" s="148" customFormat="1" ht="27" customHeight="1" x14ac:dyDescent="0.55000000000000004">
      <c r="A31" s="655" t="s">
        <v>50</v>
      </c>
      <c r="B31" s="655"/>
      <c r="C31" s="655"/>
      <c r="D31" s="655"/>
      <c r="E31" s="655"/>
      <c r="F31" s="655"/>
      <c r="G31" s="655"/>
      <c r="H31" s="655"/>
      <c r="I31" s="655"/>
      <c r="J31" s="667">
        <v>23582</v>
      </c>
      <c r="K31" s="668"/>
      <c r="L31" s="680">
        <f>IFERROR(VLOOKUP(A31,Input[],574,FALSE),"")</f>
        <v>1819.28</v>
      </c>
      <c r="M31" s="681"/>
      <c r="N31" s="682"/>
      <c r="O31" s="659">
        <f>ROUND(SUMIFS(Input[State 
Revenue],Input[Institution Name],$A31),0)</f>
        <v>22044053</v>
      </c>
      <c r="P31" s="660"/>
      <c r="Q31" s="660"/>
      <c r="R31" s="661">
        <f t="shared" ref="R31:R32" si="8">ROUND(O31/$L31,0)</f>
        <v>12117</v>
      </c>
      <c r="S31" s="662"/>
      <c r="T31" s="663"/>
      <c r="U31" s="659">
        <f>ROUND(SUMIFS(Input[Constitutional 
Funds Revenue],Input[Institution Name],$A31),0)</f>
        <v>1533301</v>
      </c>
      <c r="V31" s="660"/>
      <c r="W31" s="660"/>
      <c r="X31" s="661">
        <f t="shared" ref="X31:X38" si="9">ROUND(U31/$L31,0)</f>
        <v>843</v>
      </c>
      <c r="Y31" s="662"/>
      <c r="Z31" s="663"/>
      <c r="AA31" s="659">
        <f>ROUND(SUMIFS(Input[Net Tuition
Revenue],Input[Institution Name],$A31),0)+ROUND(SUMIFS(Input[Net Fees
Revenue],Input[Institution Name],$A31),0)</f>
        <v>3229791</v>
      </c>
      <c r="AB31" s="660"/>
      <c r="AC31" s="660"/>
      <c r="AD31" s="661">
        <f t="shared" ref="AD31:AD38" si="10">ROUND(AA31/$L31,0)</f>
        <v>1775</v>
      </c>
      <c r="AE31" s="662"/>
      <c r="AF31" s="663"/>
      <c r="AG31" s="659">
        <f>ROUND(SUMIFS(Input[Federal 
Revenue],Input[Institution Name],$A31),0)</f>
        <v>4333976</v>
      </c>
      <c r="AH31" s="660"/>
      <c r="AI31" s="660"/>
      <c r="AJ31" s="661">
        <f t="shared" ref="AJ31:AJ38" si="11">ROUND(AG31/$L31,0)</f>
        <v>2382</v>
      </c>
      <c r="AK31" s="662"/>
      <c r="AL31" s="663"/>
      <c r="AM31" s="659">
        <f>ROUND(SUMIFS(Input[Institutional 
Revenue],Input[Institution Name],$A31),0)</f>
        <v>3818078</v>
      </c>
      <c r="AN31" s="660"/>
      <c r="AO31" s="660"/>
      <c r="AP31" s="661">
        <f t="shared" ref="AP31:AP38" si="12">ROUND(AM31/$L31,0)</f>
        <v>2099</v>
      </c>
      <c r="AQ31" s="662"/>
      <c r="AR31" s="663"/>
      <c r="AS31" s="659">
        <f t="shared" si="7"/>
        <v>34959199</v>
      </c>
      <c r="AT31" s="660"/>
      <c r="AU31" s="660"/>
      <c r="AV31" s="661">
        <f t="shared" ref="AV31:AV38" si="13">ROUND(AS31/$L31,0)</f>
        <v>19216</v>
      </c>
      <c r="AW31" s="662"/>
      <c r="AX31" s="663"/>
      <c r="AY31" s="146"/>
    </row>
    <row r="32" spans="1:51" s="148" customFormat="1" ht="27" customHeight="1" x14ac:dyDescent="0.55000000000000004">
      <c r="A32" s="656" t="s">
        <v>51</v>
      </c>
      <c r="B32" s="656"/>
      <c r="C32" s="656"/>
      <c r="D32" s="656"/>
      <c r="E32" s="656"/>
      <c r="F32" s="656"/>
      <c r="G32" s="656"/>
      <c r="H32" s="656"/>
      <c r="I32" s="656"/>
      <c r="J32" s="675">
        <v>23485</v>
      </c>
      <c r="K32" s="676"/>
      <c r="L32" s="677">
        <f>IFERROR(VLOOKUP(A32,Input[],574,FALSE),"")</f>
        <v>2285.77</v>
      </c>
      <c r="M32" s="678"/>
      <c r="N32" s="679"/>
      <c r="O32" s="648">
        <f>ROUND(SUMIFS(Input[State 
Revenue],Input[Institution Name],$A32),0)</f>
        <v>24967945</v>
      </c>
      <c r="P32" s="649"/>
      <c r="Q32" s="649"/>
      <c r="R32" s="672">
        <f t="shared" si="8"/>
        <v>10923</v>
      </c>
      <c r="S32" s="673"/>
      <c r="T32" s="674"/>
      <c r="U32" s="648">
        <f>ROUND(SUMIFS(Input[Constitutional 
Funds Revenue],Input[Institution Name],$A32),0)</f>
        <v>2283992</v>
      </c>
      <c r="V32" s="649"/>
      <c r="W32" s="649"/>
      <c r="X32" s="672">
        <f t="shared" si="9"/>
        <v>999</v>
      </c>
      <c r="Y32" s="673"/>
      <c r="Z32" s="674"/>
      <c r="AA32" s="648">
        <f>ROUND(SUMIFS(Input[Net Tuition
Revenue],Input[Institution Name],$A32),0)+ROUND(SUMIFS(Input[Net Fees
Revenue],Input[Institution Name],$A32),0)</f>
        <v>3509495</v>
      </c>
      <c r="AB32" s="649"/>
      <c r="AC32" s="649"/>
      <c r="AD32" s="672">
        <f t="shared" si="10"/>
        <v>1535</v>
      </c>
      <c r="AE32" s="673"/>
      <c r="AF32" s="674"/>
      <c r="AG32" s="648">
        <f>ROUND(SUMIFS(Input[Federal 
Revenue],Input[Institution Name],$A32),0)</f>
        <v>5605</v>
      </c>
      <c r="AH32" s="649"/>
      <c r="AI32" s="649"/>
      <c r="AJ32" s="672">
        <f t="shared" si="11"/>
        <v>2</v>
      </c>
      <c r="AK32" s="673"/>
      <c r="AL32" s="674"/>
      <c r="AM32" s="648">
        <f>ROUND(SUMIFS(Input[Institutional 
Revenue],Input[Institution Name],$A32),0)</f>
        <v>2250420</v>
      </c>
      <c r="AN32" s="649"/>
      <c r="AO32" s="649"/>
      <c r="AP32" s="672">
        <f t="shared" si="12"/>
        <v>985</v>
      </c>
      <c r="AQ32" s="673"/>
      <c r="AR32" s="674"/>
      <c r="AS32" s="648">
        <f t="shared" si="7"/>
        <v>33017457</v>
      </c>
      <c r="AT32" s="649"/>
      <c r="AU32" s="649"/>
      <c r="AV32" s="672">
        <f t="shared" si="13"/>
        <v>14445</v>
      </c>
      <c r="AW32" s="673"/>
      <c r="AX32" s="674"/>
      <c r="AY32" s="146"/>
    </row>
    <row r="33" spans="1:51" s="148" customFormat="1" ht="27" customHeight="1" x14ac:dyDescent="0.55000000000000004">
      <c r="A33" s="655" t="s">
        <v>52</v>
      </c>
      <c r="B33" s="655"/>
      <c r="C33" s="655"/>
      <c r="D33" s="655"/>
      <c r="E33" s="655"/>
      <c r="F33" s="655"/>
      <c r="G33" s="655"/>
      <c r="H33" s="655"/>
      <c r="I33" s="655"/>
      <c r="J33" s="667">
        <v>9225</v>
      </c>
      <c r="K33" s="668"/>
      <c r="L33" s="680">
        <f>IFERROR(VLOOKUP(A33,Input[],574,FALSE),"")</f>
        <v>2417.59</v>
      </c>
      <c r="M33" s="681"/>
      <c r="N33" s="682"/>
      <c r="O33" s="659">
        <f>ROUND(SUMIFS(Input[State 
Revenue],Input[Institution Name],$A33),0)</f>
        <v>44873047</v>
      </c>
      <c r="P33" s="660"/>
      <c r="Q33" s="660"/>
      <c r="R33" s="661">
        <f t="shared" ref="R33:R38" si="14">ROUND(O33/$L33,0)</f>
        <v>18561</v>
      </c>
      <c r="S33" s="662"/>
      <c r="T33" s="663"/>
      <c r="U33" s="659">
        <f>ROUND(SUMIFS(Input[Constitutional 
Funds Revenue],Input[Institution Name],$A33),0)</f>
        <v>1827580</v>
      </c>
      <c r="V33" s="660"/>
      <c r="W33" s="660"/>
      <c r="X33" s="661">
        <f t="shared" si="9"/>
        <v>756</v>
      </c>
      <c r="Y33" s="662"/>
      <c r="Z33" s="663"/>
      <c r="AA33" s="659">
        <f>ROUND(SUMIFS(Input[Net Tuition
Revenue],Input[Institution Name],$A33),0)+ROUND(SUMIFS(Input[Net Fees
Revenue],Input[Institution Name],$A33),0)</f>
        <v>6816569</v>
      </c>
      <c r="AB33" s="660"/>
      <c r="AC33" s="660"/>
      <c r="AD33" s="661">
        <f t="shared" si="10"/>
        <v>2820</v>
      </c>
      <c r="AE33" s="662"/>
      <c r="AF33" s="663"/>
      <c r="AG33" s="659">
        <f>ROUND(SUMIFS(Input[Federal 
Revenue],Input[Institution Name],$A33),0)</f>
        <v>13951571</v>
      </c>
      <c r="AH33" s="660"/>
      <c r="AI33" s="660"/>
      <c r="AJ33" s="661">
        <f t="shared" si="11"/>
        <v>5771</v>
      </c>
      <c r="AK33" s="662"/>
      <c r="AL33" s="663"/>
      <c r="AM33" s="659">
        <f>ROUND(SUMIFS(Input[Institutional 
Revenue],Input[Institution Name],$A33),0)</f>
        <v>2567240</v>
      </c>
      <c r="AN33" s="660"/>
      <c r="AO33" s="660"/>
      <c r="AP33" s="661">
        <f t="shared" si="12"/>
        <v>1062</v>
      </c>
      <c r="AQ33" s="662"/>
      <c r="AR33" s="663"/>
      <c r="AS33" s="659">
        <f t="shared" si="7"/>
        <v>70036007</v>
      </c>
      <c r="AT33" s="660"/>
      <c r="AU33" s="660"/>
      <c r="AV33" s="661">
        <f t="shared" si="13"/>
        <v>28969</v>
      </c>
      <c r="AW33" s="662"/>
      <c r="AX33" s="663"/>
      <c r="AY33" s="146"/>
    </row>
    <row r="34" spans="1:51" s="148" customFormat="1" ht="27" customHeight="1" x14ac:dyDescent="0.55000000000000004">
      <c r="A34" s="656" t="s">
        <v>53</v>
      </c>
      <c r="B34" s="656"/>
      <c r="C34" s="656"/>
      <c r="D34" s="656"/>
      <c r="E34" s="656"/>
      <c r="F34" s="656"/>
      <c r="G34" s="656"/>
      <c r="H34" s="656"/>
      <c r="I34" s="656"/>
      <c r="J34" s="675">
        <v>9932</v>
      </c>
      <c r="K34" s="676"/>
      <c r="L34" s="677">
        <f>IFERROR(VLOOKUP(A34,Input[],574,FALSE),"")</f>
        <v>970.76</v>
      </c>
      <c r="M34" s="678"/>
      <c r="N34" s="679"/>
      <c r="O34" s="648">
        <f>ROUND(SUMIFS(Input[State 
Revenue],Input[Institution Name],$A34),0)</f>
        <v>22947815</v>
      </c>
      <c r="P34" s="649"/>
      <c r="Q34" s="649"/>
      <c r="R34" s="672">
        <f t="shared" si="14"/>
        <v>23639</v>
      </c>
      <c r="S34" s="673"/>
      <c r="T34" s="674"/>
      <c r="U34" s="648">
        <f>ROUND(SUMIFS(Input[Constitutional 
Funds Revenue],Input[Institution Name],$A34),0)</f>
        <v>697595</v>
      </c>
      <c r="V34" s="649"/>
      <c r="W34" s="649"/>
      <c r="X34" s="672">
        <f t="shared" si="9"/>
        <v>719</v>
      </c>
      <c r="Y34" s="673"/>
      <c r="Z34" s="674"/>
      <c r="AA34" s="648">
        <f>ROUND(SUMIFS(Input[Net Tuition
Revenue],Input[Institution Name],$A34),0)+ROUND(SUMIFS(Input[Net Fees
Revenue],Input[Institution Name],$A34),0)</f>
        <v>4015916</v>
      </c>
      <c r="AB34" s="649"/>
      <c r="AC34" s="649"/>
      <c r="AD34" s="672">
        <f t="shared" si="10"/>
        <v>4137</v>
      </c>
      <c r="AE34" s="673"/>
      <c r="AF34" s="674"/>
      <c r="AG34" s="648">
        <f>ROUND(SUMIFS(Input[Federal 
Revenue],Input[Institution Name],$A34),0)</f>
        <v>4152512</v>
      </c>
      <c r="AH34" s="649"/>
      <c r="AI34" s="649"/>
      <c r="AJ34" s="672">
        <f t="shared" si="11"/>
        <v>4278</v>
      </c>
      <c r="AK34" s="673"/>
      <c r="AL34" s="674"/>
      <c r="AM34" s="648">
        <f>ROUND(SUMIFS(Input[Institutional 
Revenue],Input[Institution Name],$A34),0)</f>
        <v>3019727</v>
      </c>
      <c r="AN34" s="649"/>
      <c r="AO34" s="649"/>
      <c r="AP34" s="672">
        <f t="shared" si="12"/>
        <v>3111</v>
      </c>
      <c r="AQ34" s="673"/>
      <c r="AR34" s="674"/>
      <c r="AS34" s="648">
        <f t="shared" si="7"/>
        <v>34833565</v>
      </c>
      <c r="AT34" s="649"/>
      <c r="AU34" s="649"/>
      <c r="AV34" s="672">
        <f t="shared" si="13"/>
        <v>35883</v>
      </c>
      <c r="AW34" s="673"/>
      <c r="AX34" s="674"/>
      <c r="AY34" s="146"/>
    </row>
    <row r="35" spans="1:51" s="148" customFormat="1" ht="27" customHeight="1" x14ac:dyDescent="0.55000000000000004">
      <c r="A35" s="655" t="s">
        <v>54</v>
      </c>
      <c r="B35" s="655"/>
      <c r="C35" s="655"/>
      <c r="D35" s="655"/>
      <c r="E35" s="655"/>
      <c r="F35" s="655"/>
      <c r="G35" s="655"/>
      <c r="H35" s="655"/>
      <c r="I35" s="655"/>
      <c r="J35" s="667">
        <v>33965</v>
      </c>
      <c r="K35" s="668"/>
      <c r="L35" s="680">
        <f>IFERROR(VLOOKUP(A35,Input[],574,FALSE),"")</f>
        <v>521.96</v>
      </c>
      <c r="M35" s="681"/>
      <c r="N35" s="682"/>
      <c r="O35" s="659">
        <f>ROUND(SUMIFS(Input[State 
Revenue],Input[Institution Name],$A35),0)</f>
        <v>13487583</v>
      </c>
      <c r="P35" s="660"/>
      <c r="Q35" s="660"/>
      <c r="R35" s="661">
        <f t="shared" si="14"/>
        <v>25840</v>
      </c>
      <c r="S35" s="662"/>
      <c r="T35" s="663"/>
      <c r="U35" s="659">
        <f>ROUND(SUMIFS(Input[Constitutional 
Funds Revenue],Input[Institution Name],$A35),0)</f>
        <v>310083</v>
      </c>
      <c r="V35" s="660"/>
      <c r="W35" s="660"/>
      <c r="X35" s="661">
        <f t="shared" si="9"/>
        <v>594</v>
      </c>
      <c r="Y35" s="662"/>
      <c r="Z35" s="663"/>
      <c r="AA35" s="659">
        <f>ROUND(SUMIFS(Input[Net Tuition
Revenue],Input[Institution Name],$A35),0)+ROUND(SUMIFS(Input[Net Fees
Revenue],Input[Institution Name],$A35),0)</f>
        <v>2395155</v>
      </c>
      <c r="AB35" s="660"/>
      <c r="AC35" s="660"/>
      <c r="AD35" s="661">
        <f t="shared" si="10"/>
        <v>4589</v>
      </c>
      <c r="AE35" s="662"/>
      <c r="AF35" s="663"/>
      <c r="AG35" s="659">
        <f>ROUND(SUMIFS(Input[Federal 
Revenue],Input[Institution Name],$A35),0)</f>
        <v>2117735</v>
      </c>
      <c r="AH35" s="660"/>
      <c r="AI35" s="660"/>
      <c r="AJ35" s="661">
        <f t="shared" si="11"/>
        <v>4057</v>
      </c>
      <c r="AK35" s="662"/>
      <c r="AL35" s="663"/>
      <c r="AM35" s="659">
        <f>ROUND(SUMIFS(Input[Institutional 
Revenue],Input[Institution Name],$A35),0)</f>
        <v>643063</v>
      </c>
      <c r="AN35" s="660"/>
      <c r="AO35" s="660"/>
      <c r="AP35" s="661">
        <f t="shared" si="12"/>
        <v>1232</v>
      </c>
      <c r="AQ35" s="662"/>
      <c r="AR35" s="663"/>
      <c r="AS35" s="659">
        <f t="shared" si="7"/>
        <v>18953619</v>
      </c>
      <c r="AT35" s="660"/>
      <c r="AU35" s="660"/>
      <c r="AV35" s="661">
        <f t="shared" si="13"/>
        <v>36312</v>
      </c>
      <c r="AW35" s="662"/>
      <c r="AX35" s="663"/>
      <c r="AY35" s="146"/>
    </row>
    <row r="36" spans="1:51" s="148" customFormat="1" ht="27" customHeight="1" x14ac:dyDescent="0.55000000000000004">
      <c r="A36" s="656" t="s">
        <v>55</v>
      </c>
      <c r="B36" s="656"/>
      <c r="C36" s="656"/>
      <c r="D36" s="656"/>
      <c r="E36" s="656"/>
      <c r="F36" s="656"/>
      <c r="G36" s="656"/>
      <c r="H36" s="656"/>
      <c r="I36" s="656"/>
      <c r="J36" s="675">
        <v>3634</v>
      </c>
      <c r="K36" s="676"/>
      <c r="L36" s="677">
        <f>IFERROR(VLOOKUP(A36,Input[],574,FALSE),"")</f>
        <v>4359.9799999999996</v>
      </c>
      <c r="M36" s="678"/>
      <c r="N36" s="679"/>
      <c r="O36" s="648">
        <f>ROUND(SUMIFS(Input[State 
Revenue],Input[Institution Name],$A36),0)</f>
        <v>71606773</v>
      </c>
      <c r="P36" s="649"/>
      <c r="Q36" s="649"/>
      <c r="R36" s="672">
        <f t="shared" si="14"/>
        <v>16424</v>
      </c>
      <c r="S36" s="673"/>
      <c r="T36" s="674"/>
      <c r="U36" s="648">
        <f>ROUND(SUMIFS(Input[Constitutional 
Funds Revenue],Input[Institution Name],$A36),0)</f>
        <v>5235201</v>
      </c>
      <c r="V36" s="649"/>
      <c r="W36" s="649"/>
      <c r="X36" s="672">
        <f t="shared" si="9"/>
        <v>1201</v>
      </c>
      <c r="Y36" s="673"/>
      <c r="Z36" s="674"/>
      <c r="AA36" s="648">
        <f>ROUND(SUMIFS(Input[Net Tuition
Revenue],Input[Institution Name],$A36),0)+ROUND(SUMIFS(Input[Net Fees
Revenue],Input[Institution Name],$A36),0)</f>
        <v>21094875</v>
      </c>
      <c r="AB36" s="649"/>
      <c r="AC36" s="649"/>
      <c r="AD36" s="672">
        <f t="shared" si="10"/>
        <v>4838</v>
      </c>
      <c r="AE36" s="673"/>
      <c r="AF36" s="674"/>
      <c r="AG36" s="648">
        <f>ROUND(SUMIFS(Input[Federal 
Revenue],Input[Institution Name],$A36),0)</f>
        <v>23295099</v>
      </c>
      <c r="AH36" s="649"/>
      <c r="AI36" s="649"/>
      <c r="AJ36" s="672">
        <f t="shared" si="11"/>
        <v>5343</v>
      </c>
      <c r="AK36" s="673"/>
      <c r="AL36" s="674"/>
      <c r="AM36" s="648">
        <f>ROUND(SUMIFS(Input[Institutional 
Revenue],Input[Institution Name],$A36),0)</f>
        <v>5919648</v>
      </c>
      <c r="AN36" s="649"/>
      <c r="AO36" s="649"/>
      <c r="AP36" s="672">
        <f t="shared" si="12"/>
        <v>1358</v>
      </c>
      <c r="AQ36" s="673"/>
      <c r="AR36" s="674"/>
      <c r="AS36" s="648">
        <f t="shared" si="7"/>
        <v>127151596</v>
      </c>
      <c r="AT36" s="649"/>
      <c r="AU36" s="649"/>
      <c r="AV36" s="672">
        <f t="shared" si="13"/>
        <v>29163</v>
      </c>
      <c r="AW36" s="673"/>
      <c r="AX36" s="674"/>
      <c r="AY36" s="146"/>
    </row>
    <row r="37" spans="1:51" s="148" customFormat="1" ht="27" customHeight="1" x14ac:dyDescent="0.55000000000000004">
      <c r="A37" s="655" t="s">
        <v>56</v>
      </c>
      <c r="B37" s="655"/>
      <c r="C37" s="655"/>
      <c r="D37" s="655"/>
      <c r="E37" s="655"/>
      <c r="F37" s="655"/>
      <c r="G37" s="655"/>
      <c r="H37" s="655"/>
      <c r="I37" s="655"/>
      <c r="J37" s="667">
        <v>133965</v>
      </c>
      <c r="K37" s="668"/>
      <c r="L37" s="680">
        <f>IFERROR(VLOOKUP(A37,Input[],574,FALSE),"")</f>
        <v>262.23</v>
      </c>
      <c r="M37" s="681"/>
      <c r="N37" s="682"/>
      <c r="O37" s="659">
        <f>ROUND(SUMIFS(Input[State 
Revenue],Input[Institution Name],$A37),0)</f>
        <v>8734880</v>
      </c>
      <c r="P37" s="660"/>
      <c r="Q37" s="660"/>
      <c r="R37" s="661">
        <f t="shared" si="14"/>
        <v>33310</v>
      </c>
      <c r="S37" s="662"/>
      <c r="T37" s="663"/>
      <c r="U37" s="659">
        <f>ROUND(SUMIFS(Input[Constitutional 
Funds Revenue],Input[Institution Name],$A37),0)</f>
        <v>0</v>
      </c>
      <c r="V37" s="660"/>
      <c r="W37" s="660"/>
      <c r="X37" s="661">
        <f t="shared" si="9"/>
        <v>0</v>
      </c>
      <c r="Y37" s="662"/>
      <c r="Z37" s="663"/>
      <c r="AA37" s="659">
        <f>ROUND(SUMIFS(Input[Net Tuition
Revenue],Input[Institution Name],$A37),0)+ROUND(SUMIFS(Input[Net Fees
Revenue],Input[Institution Name],$A37),0)</f>
        <v>1053148</v>
      </c>
      <c r="AB37" s="660"/>
      <c r="AC37" s="660"/>
      <c r="AD37" s="661">
        <f t="shared" si="10"/>
        <v>4016</v>
      </c>
      <c r="AE37" s="662"/>
      <c r="AF37" s="663"/>
      <c r="AG37" s="659">
        <f>ROUND(SUMIFS(Input[Federal 
Revenue],Input[Institution Name],$A37),0)</f>
        <v>1272743</v>
      </c>
      <c r="AH37" s="660"/>
      <c r="AI37" s="660"/>
      <c r="AJ37" s="661">
        <f t="shared" si="11"/>
        <v>4854</v>
      </c>
      <c r="AK37" s="662"/>
      <c r="AL37" s="663"/>
      <c r="AM37" s="659">
        <f>ROUND(SUMIFS(Input[Institutional 
Revenue],Input[Institution Name],$A37),0)</f>
        <v>318967</v>
      </c>
      <c r="AN37" s="660"/>
      <c r="AO37" s="660"/>
      <c r="AP37" s="661">
        <f t="shared" si="12"/>
        <v>1216</v>
      </c>
      <c r="AQ37" s="662"/>
      <c r="AR37" s="663"/>
      <c r="AS37" s="659">
        <f t="shared" si="7"/>
        <v>11379738</v>
      </c>
      <c r="AT37" s="660"/>
      <c r="AU37" s="660"/>
      <c r="AV37" s="661">
        <f t="shared" si="13"/>
        <v>43396</v>
      </c>
      <c r="AW37" s="662"/>
      <c r="AX37" s="663"/>
      <c r="AY37" s="146"/>
    </row>
    <row r="38" spans="1:51" s="148" customFormat="1" ht="27" customHeight="1" x14ac:dyDescent="0.55000000000000004">
      <c r="A38" s="656" t="s">
        <v>57</v>
      </c>
      <c r="B38" s="656"/>
      <c r="C38" s="656"/>
      <c r="D38" s="656"/>
      <c r="E38" s="656"/>
      <c r="F38" s="656"/>
      <c r="G38" s="656"/>
      <c r="H38" s="656"/>
      <c r="I38" s="656"/>
      <c r="J38" s="675">
        <v>203634</v>
      </c>
      <c r="K38" s="676"/>
      <c r="L38" s="695">
        <f>IFERROR(VLOOKUP(A38,Input[],574,FALSE),"")</f>
        <v>674.78</v>
      </c>
      <c r="M38" s="696"/>
      <c r="N38" s="697"/>
      <c r="O38" s="648">
        <f>ROUND(SUMIFS(Input[State 
Revenue],Input[Institution Name],$A38),0)</f>
        <v>13874509</v>
      </c>
      <c r="P38" s="649"/>
      <c r="Q38" s="649"/>
      <c r="R38" s="692">
        <f t="shared" si="14"/>
        <v>20562</v>
      </c>
      <c r="S38" s="693"/>
      <c r="T38" s="694"/>
      <c r="U38" s="648">
        <f>ROUND(SUMIFS(Input[Constitutional 
Funds Revenue],Input[Institution Name],$A38),0)</f>
        <v>592040</v>
      </c>
      <c r="V38" s="649"/>
      <c r="W38" s="649"/>
      <c r="X38" s="692">
        <f t="shared" si="9"/>
        <v>877</v>
      </c>
      <c r="Y38" s="693"/>
      <c r="Z38" s="694"/>
      <c r="AA38" s="648">
        <f>ROUND(SUMIFS(Input[Net Tuition
Revenue],Input[Institution Name],$A38),0)+ROUND(SUMIFS(Input[Net Fees
Revenue],Input[Institution Name],$A38),0)</f>
        <v>3050118</v>
      </c>
      <c r="AB38" s="649"/>
      <c r="AC38" s="649"/>
      <c r="AD38" s="692">
        <f t="shared" si="10"/>
        <v>4520</v>
      </c>
      <c r="AE38" s="693"/>
      <c r="AF38" s="694"/>
      <c r="AG38" s="648">
        <f>ROUND(SUMIFS(Input[Federal 
Revenue],Input[Institution Name],$A38),0)</f>
        <v>2841477</v>
      </c>
      <c r="AH38" s="649"/>
      <c r="AI38" s="649"/>
      <c r="AJ38" s="692">
        <f t="shared" si="11"/>
        <v>4211</v>
      </c>
      <c r="AK38" s="693"/>
      <c r="AL38" s="694"/>
      <c r="AM38" s="648">
        <f>ROUND(SUMIFS(Input[Institutional 
Revenue],Input[Institution Name],$A38),0)</f>
        <v>1439318</v>
      </c>
      <c r="AN38" s="649"/>
      <c r="AO38" s="649"/>
      <c r="AP38" s="692">
        <f t="shared" si="12"/>
        <v>2133</v>
      </c>
      <c r="AQ38" s="693"/>
      <c r="AR38" s="694"/>
      <c r="AS38" s="648">
        <f t="shared" si="7"/>
        <v>21797462</v>
      </c>
      <c r="AT38" s="649"/>
      <c r="AU38" s="649"/>
      <c r="AV38" s="692">
        <f t="shared" si="13"/>
        <v>32303</v>
      </c>
      <c r="AW38" s="693"/>
      <c r="AX38" s="694"/>
      <c r="AY38" s="146"/>
    </row>
    <row r="39" spans="1:51" s="148" customFormat="1" ht="27" customHeight="1" x14ac:dyDescent="0.55000000000000004">
      <c r="A39" s="688"/>
      <c r="B39" s="688"/>
      <c r="C39" s="688"/>
      <c r="D39" s="688"/>
      <c r="E39" s="688"/>
      <c r="F39" s="688"/>
      <c r="G39" s="688"/>
      <c r="H39" s="688"/>
      <c r="I39" s="688"/>
      <c r="J39" s="689">
        <f>COUNT($J$30:$J$38)</f>
        <v>9</v>
      </c>
      <c r="K39" s="690"/>
      <c r="L39" s="691">
        <f>SUBTOTAL(109,$L$30:$L$38)</f>
        <v>16522.21</v>
      </c>
      <c r="M39" s="691"/>
      <c r="N39" s="691"/>
      <c r="O39" s="685">
        <f>SUBTOTAL(109,$O$30:$O$38)</f>
        <v>255115443</v>
      </c>
      <c r="P39" s="686"/>
      <c r="Q39" s="686"/>
      <c r="R39" s="686">
        <f>SUBTOTAL(109,$R$30:$R$38)</f>
        <v>171526</v>
      </c>
      <c r="S39" s="686"/>
      <c r="T39" s="687"/>
      <c r="U39" s="685">
        <f>SUBTOTAL(109,$U$30:$U$38)</f>
        <v>15109950</v>
      </c>
      <c r="V39" s="686"/>
      <c r="W39" s="686"/>
      <c r="X39" s="686">
        <f>SUBTOTAL(109,$X$30:$X$38)</f>
        <v>6808</v>
      </c>
      <c r="Y39" s="686"/>
      <c r="Z39" s="687"/>
      <c r="AA39" s="685">
        <f>SUBTOTAL(109,$AA$30:$AA$38)</f>
        <v>51000057</v>
      </c>
      <c r="AB39" s="686"/>
      <c r="AC39" s="686"/>
      <c r="AD39" s="686">
        <f>SUBTOTAL(109,$AD$30:$AD$38)</f>
        <v>30048</v>
      </c>
      <c r="AE39" s="686"/>
      <c r="AF39" s="687"/>
      <c r="AG39" s="685">
        <f>SUBTOTAL(109,$AG$30:$AG$38)</f>
        <v>60464623</v>
      </c>
      <c r="AH39" s="686"/>
      <c r="AI39" s="686"/>
      <c r="AJ39" s="686">
        <f>SUBTOTAL(109,$AJ$30:$AJ$38)</f>
        <v>33544</v>
      </c>
      <c r="AK39" s="686"/>
      <c r="AL39" s="687"/>
      <c r="AM39" s="685">
        <f>SUBTOTAL(109,$AM$30:$AM$38)</f>
        <v>45699432</v>
      </c>
      <c r="AN39" s="686"/>
      <c r="AO39" s="686"/>
      <c r="AP39" s="686">
        <f>SUBTOTAL(109,$AP$30:$AP$38)</f>
        <v>21210</v>
      </c>
      <c r="AQ39" s="686"/>
      <c r="AR39" s="687"/>
      <c r="AS39" s="685">
        <f>SUBTOTAL(109,$AS$30:$AS$38)</f>
        <v>427389505</v>
      </c>
      <c r="AT39" s="686"/>
      <c r="AU39" s="686"/>
      <c r="AV39" s="686">
        <f>SUBTOTAL(109,$AV$30:$AV$38)</f>
        <v>263134</v>
      </c>
      <c r="AW39" s="686"/>
      <c r="AX39" s="687"/>
      <c r="AY39" s="146"/>
    </row>
    <row r="40" spans="1:51" s="148" customFormat="1" ht="27" customHeight="1" x14ac:dyDescent="0.6">
      <c r="A40" s="638" t="s">
        <v>1818</v>
      </c>
      <c r="B40" s="638"/>
      <c r="C40" s="638"/>
      <c r="D40" s="638"/>
      <c r="E40" s="638"/>
      <c r="F40" s="638"/>
      <c r="G40" s="638"/>
      <c r="H40" s="638"/>
      <c r="I40" s="638"/>
      <c r="J40" s="638"/>
      <c r="K40" s="638"/>
      <c r="L40" s="638"/>
      <c r="M40" s="638"/>
      <c r="N40" s="638"/>
      <c r="O40" s="638"/>
      <c r="P40" s="638"/>
      <c r="Q40" s="638"/>
      <c r="R40" s="638"/>
      <c r="S40" s="638"/>
      <c r="T40" s="638"/>
      <c r="U40" s="638"/>
      <c r="V40" s="638"/>
      <c r="W40" s="638"/>
      <c r="X40" s="638"/>
      <c r="Y40" s="638"/>
      <c r="Z40" s="638"/>
      <c r="AA40" s="638"/>
      <c r="AB40" s="638"/>
      <c r="AC40" s="638"/>
      <c r="AD40" s="638"/>
      <c r="AE40" s="638"/>
      <c r="AF40" s="638"/>
      <c r="AG40" s="638"/>
      <c r="AH40" s="638"/>
      <c r="AI40" s="638"/>
      <c r="AJ40" s="638"/>
      <c r="AK40" s="638"/>
      <c r="AL40" s="638"/>
      <c r="AM40" s="638"/>
      <c r="AN40" s="638"/>
      <c r="AO40" s="638"/>
      <c r="AP40" s="638"/>
      <c r="AQ40" s="638"/>
      <c r="AR40" s="638"/>
      <c r="AS40" s="638"/>
      <c r="AT40" s="638"/>
      <c r="AU40" s="638"/>
      <c r="AV40" s="638"/>
      <c r="AW40" s="638"/>
      <c r="AX40" s="638"/>
      <c r="AY40" s="144"/>
    </row>
    <row r="41" spans="1:51" s="148" customFormat="1" ht="27" customHeight="1" x14ac:dyDescent="0.6">
      <c r="A41" s="149"/>
      <c r="B41" s="149"/>
      <c r="C41" s="149"/>
      <c r="D41" s="149"/>
      <c r="E41" s="149"/>
      <c r="F41" s="149"/>
      <c r="G41" s="149"/>
      <c r="H41" s="149"/>
      <c r="I41" s="149"/>
      <c r="J41" s="149"/>
      <c r="K41" s="149"/>
      <c r="L41" s="149"/>
      <c r="M41" s="149"/>
      <c r="N41" s="149"/>
      <c r="O41" s="149"/>
      <c r="P41" s="149"/>
      <c r="Q41" s="149"/>
      <c r="R41" s="149"/>
      <c r="S41" s="149"/>
      <c r="T41" s="149"/>
      <c r="U41" s="149"/>
      <c r="V41" s="149"/>
      <c r="W41" s="149"/>
      <c r="X41" s="149"/>
      <c r="Y41" s="149"/>
      <c r="Z41" s="149"/>
      <c r="AA41" s="149"/>
      <c r="AB41" s="149"/>
      <c r="AC41" s="149"/>
      <c r="AD41" s="149"/>
      <c r="AE41" s="149"/>
      <c r="AF41" s="149"/>
      <c r="AG41" s="149"/>
      <c r="AH41" s="149"/>
      <c r="AI41" s="149"/>
      <c r="AJ41" s="149"/>
      <c r="AK41" s="149"/>
      <c r="AL41" s="149"/>
      <c r="AM41" s="149"/>
      <c r="AN41" s="149"/>
      <c r="AO41" s="149"/>
      <c r="AP41" s="149"/>
      <c r="AQ41" s="149"/>
      <c r="AR41" s="149"/>
      <c r="AS41" s="146"/>
      <c r="AT41" s="146"/>
      <c r="AU41" s="146"/>
      <c r="AV41" s="146"/>
      <c r="AW41" s="146"/>
      <c r="AX41" s="146"/>
      <c r="AY41" s="144"/>
    </row>
    <row r="42" spans="1:51" s="359" customFormat="1" ht="31.95" customHeight="1" x14ac:dyDescent="0.75">
      <c r="A42" s="699" t="s">
        <v>22</v>
      </c>
      <c r="B42" s="699"/>
      <c r="C42" s="699"/>
      <c r="D42" s="699"/>
      <c r="E42" s="699"/>
      <c r="F42" s="699"/>
      <c r="G42" s="699"/>
      <c r="H42" s="699"/>
      <c r="I42" s="699"/>
      <c r="J42" s="699"/>
      <c r="K42" s="699"/>
      <c r="L42" s="699"/>
      <c r="M42" s="699"/>
      <c r="N42" s="699"/>
      <c r="O42" s="699"/>
      <c r="P42" s="699"/>
      <c r="Q42" s="699"/>
      <c r="R42" s="699"/>
      <c r="S42" s="699"/>
      <c r="T42" s="699"/>
      <c r="U42" s="699"/>
      <c r="V42" s="699"/>
      <c r="W42" s="699"/>
      <c r="X42" s="699"/>
      <c r="Y42" s="699"/>
      <c r="Z42" s="699"/>
      <c r="AA42" s="699"/>
      <c r="AB42" s="699"/>
      <c r="AC42" s="699"/>
      <c r="AD42" s="699"/>
      <c r="AE42" s="699"/>
      <c r="AF42" s="699"/>
      <c r="AG42" s="699"/>
      <c r="AH42" s="699"/>
      <c r="AI42" s="699"/>
      <c r="AJ42" s="699"/>
      <c r="AK42" s="699"/>
      <c r="AL42" s="699"/>
      <c r="AM42" s="699"/>
      <c r="AN42" s="699"/>
      <c r="AO42" s="699"/>
      <c r="AP42" s="699"/>
      <c r="AQ42" s="699"/>
      <c r="AR42" s="699"/>
      <c r="AS42" s="699"/>
      <c r="AT42" s="699"/>
      <c r="AU42" s="699"/>
      <c r="AV42" s="699"/>
      <c r="AW42" s="357"/>
      <c r="AX42" s="357"/>
      <c r="AY42" s="353"/>
    </row>
    <row r="43" spans="1:51" ht="27" customHeight="1" x14ac:dyDescent="0.6">
      <c r="A43" s="146"/>
      <c r="B43" s="146"/>
      <c r="C43" s="146"/>
      <c r="D43" s="146"/>
      <c r="E43" s="146"/>
      <c r="F43" s="146"/>
      <c r="G43" s="146"/>
      <c r="H43" s="146"/>
      <c r="I43" s="146"/>
      <c r="J43" s="146"/>
      <c r="K43" s="146"/>
      <c r="L43" s="146"/>
      <c r="M43" s="146"/>
      <c r="N43" s="146"/>
      <c r="O43" s="146"/>
      <c r="P43" s="146"/>
      <c r="Q43" s="146"/>
      <c r="R43" s="146"/>
      <c r="S43" s="146"/>
      <c r="T43" s="146"/>
      <c r="U43" s="146"/>
      <c r="V43" s="146"/>
      <c r="W43" s="146"/>
      <c r="X43" s="146"/>
      <c r="Y43" s="146"/>
      <c r="Z43" s="146"/>
      <c r="AA43" s="146"/>
      <c r="AB43" s="146"/>
      <c r="AC43" s="146"/>
      <c r="AD43" s="146"/>
      <c r="AE43" s="146"/>
      <c r="AF43" s="146"/>
      <c r="AG43" s="146"/>
      <c r="AH43" s="146"/>
      <c r="AI43" s="146"/>
      <c r="AJ43" s="146"/>
      <c r="AK43" s="146"/>
      <c r="AL43" s="146"/>
      <c r="AM43" s="146"/>
      <c r="AN43" s="146"/>
      <c r="AO43" s="146"/>
      <c r="AP43" s="146"/>
      <c r="AQ43" s="146"/>
      <c r="AR43" s="146"/>
      <c r="AS43" s="146"/>
      <c r="AT43" s="146"/>
      <c r="AU43" s="146"/>
      <c r="AV43" s="146"/>
      <c r="AW43" s="146"/>
      <c r="AX43" s="146"/>
      <c r="AY43" s="144"/>
    </row>
    <row r="44" spans="1:51" s="150" customFormat="1" ht="27" customHeight="1" x14ac:dyDescent="0.6">
      <c r="A44" s="657" t="s">
        <v>31</v>
      </c>
      <c r="B44" s="657"/>
      <c r="C44" s="657"/>
      <c r="D44" s="657"/>
      <c r="E44" s="657"/>
      <c r="F44" s="657"/>
      <c r="G44" s="657"/>
      <c r="H44" s="657"/>
      <c r="I44" s="657"/>
      <c r="J44" s="651" t="s">
        <v>33</v>
      </c>
      <c r="K44" s="652"/>
      <c r="L44" s="639" t="s">
        <v>175</v>
      </c>
      <c r="M44" s="639"/>
      <c r="N44" s="639"/>
      <c r="O44" s="642" t="s">
        <v>1819</v>
      </c>
      <c r="P44" s="643"/>
      <c r="Q44" s="643"/>
      <c r="R44" s="643"/>
      <c r="S44" s="643"/>
      <c r="T44" s="644"/>
      <c r="U44" s="642" t="s">
        <v>1822</v>
      </c>
      <c r="V44" s="643"/>
      <c r="W44" s="643"/>
      <c r="X44" s="643"/>
      <c r="Y44" s="643"/>
      <c r="Z44" s="644"/>
      <c r="AA44" s="642" t="s">
        <v>1821</v>
      </c>
      <c r="AB44" s="643"/>
      <c r="AC44" s="643"/>
      <c r="AD44" s="643"/>
      <c r="AE44" s="643"/>
      <c r="AF44" s="644"/>
      <c r="AG44" s="642" t="s">
        <v>1820</v>
      </c>
      <c r="AH44" s="643"/>
      <c r="AI44" s="643"/>
      <c r="AJ44" s="643"/>
      <c r="AK44" s="643"/>
      <c r="AL44" s="644"/>
      <c r="AM44" s="642" t="s">
        <v>1823</v>
      </c>
      <c r="AN44" s="643"/>
      <c r="AO44" s="643"/>
      <c r="AP44" s="643"/>
      <c r="AQ44" s="643"/>
      <c r="AR44" s="644"/>
      <c r="AS44" s="642" t="s">
        <v>1824</v>
      </c>
      <c r="AT44" s="643"/>
      <c r="AU44" s="643"/>
      <c r="AV44" s="643"/>
      <c r="AW44" s="643"/>
      <c r="AX44" s="644"/>
      <c r="AY44" s="144"/>
    </row>
    <row r="45" spans="1:51" s="150" customFormat="1" ht="27" customHeight="1" x14ac:dyDescent="0.6">
      <c r="A45" s="658"/>
      <c r="B45" s="658"/>
      <c r="C45" s="658"/>
      <c r="D45" s="658"/>
      <c r="E45" s="658"/>
      <c r="F45" s="658"/>
      <c r="G45" s="658"/>
      <c r="H45" s="658"/>
      <c r="I45" s="658"/>
      <c r="J45" s="653"/>
      <c r="K45" s="654"/>
      <c r="L45" s="640"/>
      <c r="M45" s="640"/>
      <c r="N45" s="640"/>
      <c r="O45" s="645" t="s">
        <v>137</v>
      </c>
      <c r="P45" s="646"/>
      <c r="Q45" s="646"/>
      <c r="R45" s="646" t="s">
        <v>136</v>
      </c>
      <c r="S45" s="646"/>
      <c r="T45" s="647"/>
      <c r="U45" s="645" t="s">
        <v>137</v>
      </c>
      <c r="V45" s="646"/>
      <c r="W45" s="646"/>
      <c r="X45" s="646" t="s">
        <v>136</v>
      </c>
      <c r="Y45" s="646"/>
      <c r="Z45" s="647"/>
      <c r="AA45" s="645" t="s">
        <v>137</v>
      </c>
      <c r="AB45" s="646"/>
      <c r="AC45" s="646"/>
      <c r="AD45" s="646" t="s">
        <v>136</v>
      </c>
      <c r="AE45" s="646"/>
      <c r="AF45" s="647"/>
      <c r="AG45" s="645" t="s">
        <v>137</v>
      </c>
      <c r="AH45" s="646"/>
      <c r="AI45" s="646"/>
      <c r="AJ45" s="646" t="s">
        <v>136</v>
      </c>
      <c r="AK45" s="646"/>
      <c r="AL45" s="647"/>
      <c r="AM45" s="645" t="s">
        <v>137</v>
      </c>
      <c r="AN45" s="646"/>
      <c r="AO45" s="646"/>
      <c r="AP45" s="646" t="s">
        <v>136</v>
      </c>
      <c r="AQ45" s="646"/>
      <c r="AR45" s="647"/>
      <c r="AS45" s="645" t="s">
        <v>137</v>
      </c>
      <c r="AT45" s="646"/>
      <c r="AU45" s="646"/>
      <c r="AV45" s="646" t="s">
        <v>136</v>
      </c>
      <c r="AW45" s="646"/>
      <c r="AX45" s="647"/>
      <c r="AY45" s="144"/>
    </row>
    <row r="46" spans="1:51" s="148" customFormat="1" ht="27" customHeight="1" x14ac:dyDescent="0.55000000000000004">
      <c r="A46" s="656" t="s">
        <v>58</v>
      </c>
      <c r="B46" s="656"/>
      <c r="C46" s="656"/>
      <c r="D46" s="656"/>
      <c r="E46" s="656"/>
      <c r="F46" s="656"/>
      <c r="G46" s="656"/>
      <c r="H46" s="656"/>
      <c r="I46" s="656"/>
      <c r="J46" s="675">
        <v>3656</v>
      </c>
      <c r="K46" s="676"/>
      <c r="L46" s="677">
        <f>IFERROR(VLOOKUP(A46,Input[],574,FALSE),"")</f>
        <v>33010.629999999997</v>
      </c>
      <c r="M46" s="678"/>
      <c r="N46" s="679"/>
      <c r="O46" s="648">
        <f>ROUND(SUMIFS(Input[State 
Revenue],Input[Institution Name],$A46),0)</f>
        <v>215125322</v>
      </c>
      <c r="P46" s="649"/>
      <c r="Q46" s="649"/>
      <c r="R46" s="683">
        <f>ROUND(O46/$L46,0)</f>
        <v>6517</v>
      </c>
      <c r="S46" s="683"/>
      <c r="T46" s="684"/>
      <c r="U46" s="648">
        <f>ROUND(SUMIFS(Input[Constitutional 
Funds Revenue],Input[Institution Name],$A46),0)</f>
        <v>0</v>
      </c>
      <c r="V46" s="649"/>
      <c r="W46" s="649"/>
      <c r="X46" s="683">
        <f>ROUND(U46/$L46,0)</f>
        <v>0</v>
      </c>
      <c r="Y46" s="683"/>
      <c r="Z46" s="684"/>
      <c r="AA46" s="648">
        <f>ROUND(SUMIFS(Input[Net Tuition
Revenue],Input[Institution Name],$A46),0)+ROUND(SUMIFS(Input[Net Fees
Revenue],Input[Institution Name],$A46),0)</f>
        <v>342717916</v>
      </c>
      <c r="AB46" s="649"/>
      <c r="AC46" s="649"/>
      <c r="AD46" s="683">
        <f>ROUND(AA46/$L46,0)</f>
        <v>10382</v>
      </c>
      <c r="AE46" s="683"/>
      <c r="AF46" s="684"/>
      <c r="AG46" s="648">
        <f>ROUND(SUMIFS(Input[Federal 
Revenue],Input[Institution Name],$A46),0)</f>
        <v>172642160</v>
      </c>
      <c r="AH46" s="649"/>
      <c r="AI46" s="649"/>
      <c r="AJ46" s="683">
        <f>ROUND(AG46/$L46,0)</f>
        <v>5230</v>
      </c>
      <c r="AK46" s="683"/>
      <c r="AL46" s="684"/>
      <c r="AM46" s="648">
        <f>ROUND(SUMIFS(Input[Institutional 
Revenue],Input[Institution Name],$A46),0)</f>
        <v>114891764</v>
      </c>
      <c r="AN46" s="649"/>
      <c r="AO46" s="649"/>
      <c r="AP46" s="683">
        <f>ROUND(AM46/$L46,0)</f>
        <v>3480</v>
      </c>
      <c r="AQ46" s="683"/>
      <c r="AR46" s="684"/>
      <c r="AS46" s="648">
        <f t="shared" ref="AS46:AS81" si="15">SUM($O46,$U46,$AA46,$AG46,$AM46)</f>
        <v>845377162</v>
      </c>
      <c r="AT46" s="649"/>
      <c r="AU46" s="649"/>
      <c r="AV46" s="683">
        <f>ROUND(AS46/$L46,0)</f>
        <v>25609</v>
      </c>
      <c r="AW46" s="683"/>
      <c r="AX46" s="684"/>
      <c r="AY46" s="146"/>
    </row>
    <row r="47" spans="1:51" s="148" customFormat="1" ht="27" customHeight="1" x14ac:dyDescent="0.55000000000000004">
      <c r="A47" s="655" t="s">
        <v>59</v>
      </c>
      <c r="B47" s="655"/>
      <c r="C47" s="655"/>
      <c r="D47" s="655"/>
      <c r="E47" s="655"/>
      <c r="F47" s="655"/>
      <c r="G47" s="655"/>
      <c r="H47" s="655"/>
      <c r="I47" s="655"/>
      <c r="J47" s="667">
        <v>3658</v>
      </c>
      <c r="K47" s="668"/>
      <c r="L47" s="680">
        <f>IFERROR(VLOOKUP(A47,Input[],574,FALSE),"")</f>
        <v>49666.81</v>
      </c>
      <c r="M47" s="681"/>
      <c r="N47" s="682"/>
      <c r="O47" s="659">
        <f>ROUND(SUMIFS(Input[State 
Revenue],Input[Institution Name],$A47),0)</f>
        <v>470990073</v>
      </c>
      <c r="P47" s="660"/>
      <c r="Q47" s="660"/>
      <c r="R47" s="661">
        <f t="shared" ref="R47:R48" si="16">ROUND(O47/$L47,0)</f>
        <v>9483</v>
      </c>
      <c r="S47" s="662"/>
      <c r="T47" s="663"/>
      <c r="U47" s="659">
        <f>ROUND(SUMIFS(Input[Constitutional 
Funds Revenue],Input[Institution Name],$A47),0)</f>
        <v>499956810</v>
      </c>
      <c r="V47" s="660"/>
      <c r="W47" s="660"/>
      <c r="X47" s="661">
        <f t="shared" ref="X47:X81" si="17">ROUND(U47/$L47,0)</f>
        <v>10066</v>
      </c>
      <c r="Y47" s="662"/>
      <c r="Z47" s="663"/>
      <c r="AA47" s="659">
        <f>ROUND(SUMIFS(Input[Net Tuition
Revenue],Input[Institution Name],$A47),0)+ROUND(SUMIFS(Input[Net Fees
Revenue],Input[Institution Name],$A47),0)</f>
        <v>513290459</v>
      </c>
      <c r="AB47" s="660"/>
      <c r="AC47" s="660"/>
      <c r="AD47" s="661">
        <f t="shared" ref="AD47:AD81" si="18">ROUND(AA47/$L47,0)</f>
        <v>10335</v>
      </c>
      <c r="AE47" s="662"/>
      <c r="AF47" s="663"/>
      <c r="AG47" s="659">
        <f>ROUND(SUMIFS(Input[Federal 
Revenue],Input[Institution Name],$A47),0)</f>
        <v>825582628</v>
      </c>
      <c r="AH47" s="660"/>
      <c r="AI47" s="660"/>
      <c r="AJ47" s="661">
        <f t="shared" ref="AJ47:AJ81" si="19">ROUND(AG47/$L47,0)</f>
        <v>16622</v>
      </c>
      <c r="AK47" s="662"/>
      <c r="AL47" s="663"/>
      <c r="AM47" s="659">
        <f>ROUND(SUMIFS(Input[Institutional 
Revenue],Input[Institution Name],$A47),0)</f>
        <v>1270439106</v>
      </c>
      <c r="AN47" s="660"/>
      <c r="AO47" s="660"/>
      <c r="AP47" s="661">
        <f t="shared" ref="AP47:AP81" si="20">ROUND(AM47/$L47,0)</f>
        <v>25579</v>
      </c>
      <c r="AQ47" s="662"/>
      <c r="AR47" s="663"/>
      <c r="AS47" s="659">
        <f t="shared" si="15"/>
        <v>3580259076</v>
      </c>
      <c r="AT47" s="660"/>
      <c r="AU47" s="660"/>
      <c r="AV47" s="661">
        <f t="shared" ref="AV47:AV81" si="21">ROUND(AS47/$L47,0)</f>
        <v>72086</v>
      </c>
      <c r="AW47" s="662"/>
      <c r="AX47" s="663"/>
      <c r="AY47" s="146"/>
    </row>
    <row r="48" spans="1:51" s="148" customFormat="1" ht="27" customHeight="1" x14ac:dyDescent="0.55000000000000004">
      <c r="A48" s="656" t="s">
        <v>60</v>
      </c>
      <c r="B48" s="656"/>
      <c r="C48" s="656"/>
      <c r="D48" s="656"/>
      <c r="E48" s="656"/>
      <c r="F48" s="656"/>
      <c r="G48" s="656"/>
      <c r="H48" s="656"/>
      <c r="I48" s="656"/>
      <c r="J48" s="675">
        <v>9741</v>
      </c>
      <c r="K48" s="676"/>
      <c r="L48" s="677">
        <f>IFERROR(VLOOKUP(A48,Input[],574,FALSE),"")</f>
        <v>26080.89</v>
      </c>
      <c r="M48" s="678"/>
      <c r="N48" s="679"/>
      <c r="O48" s="648">
        <f>ROUND(SUMIFS(Input[State 
Revenue],Input[Institution Name],$A48),0)</f>
        <v>211942339</v>
      </c>
      <c r="P48" s="649"/>
      <c r="Q48" s="649"/>
      <c r="R48" s="672">
        <f t="shared" si="16"/>
        <v>8126</v>
      </c>
      <c r="S48" s="673"/>
      <c r="T48" s="674"/>
      <c r="U48" s="648">
        <f>ROUND(SUMIFS(Input[Constitutional 
Funds Revenue],Input[Institution Name],$A48),0)</f>
        <v>0</v>
      </c>
      <c r="V48" s="649"/>
      <c r="W48" s="649"/>
      <c r="X48" s="672">
        <f t="shared" si="17"/>
        <v>0</v>
      </c>
      <c r="Y48" s="673"/>
      <c r="Z48" s="674"/>
      <c r="AA48" s="648">
        <f>ROUND(SUMIFS(Input[Net Tuition
Revenue],Input[Institution Name],$A48),0)+ROUND(SUMIFS(Input[Net Fees
Revenue],Input[Institution Name],$A48),0)</f>
        <v>368914935</v>
      </c>
      <c r="AB48" s="649"/>
      <c r="AC48" s="649"/>
      <c r="AD48" s="672">
        <f t="shared" si="18"/>
        <v>14145</v>
      </c>
      <c r="AE48" s="673"/>
      <c r="AF48" s="674"/>
      <c r="AG48" s="648">
        <f>ROUND(SUMIFS(Input[Federal 
Revenue],Input[Institution Name],$A48),0)</f>
        <v>125328548</v>
      </c>
      <c r="AH48" s="649"/>
      <c r="AI48" s="649"/>
      <c r="AJ48" s="672">
        <f t="shared" si="19"/>
        <v>4805</v>
      </c>
      <c r="AK48" s="673"/>
      <c r="AL48" s="674"/>
      <c r="AM48" s="648">
        <f>ROUND(SUMIFS(Input[Institutional 
Revenue],Input[Institution Name],$A48),0)</f>
        <v>156631595</v>
      </c>
      <c r="AN48" s="649"/>
      <c r="AO48" s="649"/>
      <c r="AP48" s="672">
        <f t="shared" si="20"/>
        <v>6006</v>
      </c>
      <c r="AQ48" s="673"/>
      <c r="AR48" s="674"/>
      <c r="AS48" s="648">
        <f t="shared" si="15"/>
        <v>862817417</v>
      </c>
      <c r="AT48" s="649"/>
      <c r="AU48" s="649"/>
      <c r="AV48" s="672">
        <f t="shared" si="21"/>
        <v>33082</v>
      </c>
      <c r="AW48" s="673"/>
      <c r="AX48" s="674"/>
      <c r="AY48" s="146"/>
    </row>
    <row r="49" spans="1:51" s="148" customFormat="1" ht="27" customHeight="1" x14ac:dyDescent="0.55000000000000004">
      <c r="A49" s="655" t="s">
        <v>61</v>
      </c>
      <c r="B49" s="655"/>
      <c r="C49" s="655"/>
      <c r="D49" s="655"/>
      <c r="E49" s="655"/>
      <c r="F49" s="655"/>
      <c r="G49" s="655"/>
      <c r="H49" s="655"/>
      <c r="I49" s="655"/>
      <c r="J49" s="667">
        <v>3661</v>
      </c>
      <c r="K49" s="668"/>
      <c r="L49" s="680">
        <f>IFERROR(VLOOKUP(A49,Input[],574,FALSE),"")</f>
        <v>19593.310000000001</v>
      </c>
      <c r="M49" s="681"/>
      <c r="N49" s="682"/>
      <c r="O49" s="659">
        <f>ROUND(SUMIFS(Input[State 
Revenue],Input[Institution Name],$A49),0)</f>
        <v>177142335</v>
      </c>
      <c r="P49" s="660"/>
      <c r="Q49" s="660"/>
      <c r="R49" s="661">
        <f t="shared" ref="R49:R81" si="22">ROUND(O49/$L49,0)</f>
        <v>9041</v>
      </c>
      <c r="S49" s="662"/>
      <c r="T49" s="663"/>
      <c r="U49" s="659">
        <f>ROUND(SUMIFS(Input[Constitutional 
Funds Revenue],Input[Institution Name],$A49),0)</f>
        <v>0</v>
      </c>
      <c r="V49" s="660"/>
      <c r="W49" s="660"/>
      <c r="X49" s="661">
        <f t="shared" si="17"/>
        <v>0</v>
      </c>
      <c r="Y49" s="662"/>
      <c r="Z49" s="663"/>
      <c r="AA49" s="659">
        <f>ROUND(SUMIFS(Input[Net Tuition
Revenue],Input[Institution Name],$A49),0)+ROUND(SUMIFS(Input[Net Fees
Revenue],Input[Institution Name],$A49),0)</f>
        <v>127615897</v>
      </c>
      <c r="AB49" s="660"/>
      <c r="AC49" s="660"/>
      <c r="AD49" s="661">
        <f t="shared" si="18"/>
        <v>6513</v>
      </c>
      <c r="AE49" s="662"/>
      <c r="AF49" s="663"/>
      <c r="AG49" s="659">
        <f>ROUND(SUMIFS(Input[Federal 
Revenue],Input[Institution Name],$A49),0)</f>
        <v>179622697</v>
      </c>
      <c r="AH49" s="660"/>
      <c r="AI49" s="660"/>
      <c r="AJ49" s="661">
        <f t="shared" si="19"/>
        <v>9168</v>
      </c>
      <c r="AK49" s="662"/>
      <c r="AL49" s="663"/>
      <c r="AM49" s="659">
        <f>ROUND(SUMIFS(Input[Institutional 
Revenue],Input[Institution Name],$A49),0)</f>
        <v>54461745</v>
      </c>
      <c r="AN49" s="660"/>
      <c r="AO49" s="660"/>
      <c r="AP49" s="661">
        <f t="shared" si="20"/>
        <v>2780</v>
      </c>
      <c r="AQ49" s="662"/>
      <c r="AR49" s="663"/>
      <c r="AS49" s="659">
        <f t="shared" si="15"/>
        <v>538842674</v>
      </c>
      <c r="AT49" s="660"/>
      <c r="AU49" s="660"/>
      <c r="AV49" s="661">
        <f t="shared" si="21"/>
        <v>27501</v>
      </c>
      <c r="AW49" s="662"/>
      <c r="AX49" s="663"/>
      <c r="AY49" s="146"/>
    </row>
    <row r="50" spans="1:51" s="148" customFormat="1" ht="27" customHeight="1" x14ac:dyDescent="0.55000000000000004">
      <c r="A50" s="656" t="s">
        <v>62</v>
      </c>
      <c r="B50" s="656"/>
      <c r="C50" s="656"/>
      <c r="D50" s="656"/>
      <c r="E50" s="656"/>
      <c r="F50" s="656"/>
      <c r="G50" s="656"/>
      <c r="H50" s="656"/>
      <c r="I50" s="656"/>
      <c r="J50" s="675">
        <v>3599</v>
      </c>
      <c r="K50" s="676"/>
      <c r="L50" s="677">
        <f>IFERROR(VLOOKUP(A50,Input[],574,FALSE),"")</f>
        <v>27185.39</v>
      </c>
      <c r="M50" s="678"/>
      <c r="N50" s="679"/>
      <c r="O50" s="648">
        <f>ROUND(SUMIFS(Input[State 
Revenue],Input[Institution Name],$A50),0)</f>
        <v>202891682</v>
      </c>
      <c r="P50" s="649"/>
      <c r="Q50" s="649"/>
      <c r="R50" s="672">
        <f t="shared" si="22"/>
        <v>7463</v>
      </c>
      <c r="S50" s="673"/>
      <c r="T50" s="674"/>
      <c r="U50" s="648">
        <f>ROUND(SUMIFS(Input[Constitutional 
Funds Revenue],Input[Institution Name],$A50),0)</f>
        <v>0</v>
      </c>
      <c r="V50" s="649"/>
      <c r="W50" s="649"/>
      <c r="X50" s="672">
        <f t="shared" si="17"/>
        <v>0</v>
      </c>
      <c r="Y50" s="673"/>
      <c r="Z50" s="674"/>
      <c r="AA50" s="648">
        <f>ROUND(SUMIFS(Input[Net Tuition
Revenue],Input[Institution Name],$A50),0)+ROUND(SUMIFS(Input[Net Fees
Revenue],Input[Institution Name],$A50),0)</f>
        <v>110865232</v>
      </c>
      <c r="AB50" s="649"/>
      <c r="AC50" s="649"/>
      <c r="AD50" s="672">
        <f t="shared" si="18"/>
        <v>4078</v>
      </c>
      <c r="AE50" s="673"/>
      <c r="AF50" s="674"/>
      <c r="AG50" s="648">
        <f>ROUND(SUMIFS(Input[Federal 
Revenue],Input[Institution Name],$A50),0)</f>
        <v>173761143</v>
      </c>
      <c r="AH50" s="649"/>
      <c r="AI50" s="649"/>
      <c r="AJ50" s="672">
        <f t="shared" si="19"/>
        <v>6392</v>
      </c>
      <c r="AK50" s="673"/>
      <c r="AL50" s="674"/>
      <c r="AM50" s="648">
        <f>ROUND(SUMIFS(Input[Institutional 
Revenue],Input[Institution Name],$A50),0)</f>
        <v>56985519</v>
      </c>
      <c r="AN50" s="649"/>
      <c r="AO50" s="649"/>
      <c r="AP50" s="672">
        <f t="shared" si="20"/>
        <v>2096</v>
      </c>
      <c r="AQ50" s="673"/>
      <c r="AR50" s="674"/>
      <c r="AS50" s="648">
        <f t="shared" si="15"/>
        <v>544503576</v>
      </c>
      <c r="AT50" s="649"/>
      <c r="AU50" s="649"/>
      <c r="AV50" s="672">
        <f t="shared" si="21"/>
        <v>20029</v>
      </c>
      <c r="AW50" s="673"/>
      <c r="AX50" s="674"/>
      <c r="AY50" s="146"/>
    </row>
    <row r="51" spans="1:51" s="148" customFormat="1" ht="27" customHeight="1" x14ac:dyDescent="0.55000000000000004">
      <c r="A51" s="655" t="s">
        <v>63</v>
      </c>
      <c r="B51" s="655"/>
      <c r="C51" s="655"/>
      <c r="D51" s="655"/>
      <c r="E51" s="655"/>
      <c r="F51" s="655"/>
      <c r="G51" s="655"/>
      <c r="H51" s="655"/>
      <c r="I51" s="655"/>
      <c r="J51" s="667">
        <v>9930</v>
      </c>
      <c r="K51" s="668"/>
      <c r="L51" s="680">
        <f>IFERROR(VLOOKUP(A51,Input[],574,FALSE),"")</f>
        <v>3956.21</v>
      </c>
      <c r="M51" s="681"/>
      <c r="N51" s="682"/>
      <c r="O51" s="659">
        <f>ROUND(SUMIFS(Input[State 
Revenue],Input[Institution Name],$A51),0)</f>
        <v>48684168</v>
      </c>
      <c r="P51" s="660"/>
      <c r="Q51" s="660"/>
      <c r="R51" s="661">
        <f t="shared" si="22"/>
        <v>12306</v>
      </c>
      <c r="S51" s="662"/>
      <c r="T51" s="663"/>
      <c r="U51" s="659">
        <f>ROUND(SUMIFS(Input[Constitutional 
Funds Revenue],Input[Institution Name],$A51),0)</f>
        <v>0</v>
      </c>
      <c r="V51" s="660"/>
      <c r="W51" s="660"/>
      <c r="X51" s="661">
        <f t="shared" si="17"/>
        <v>0</v>
      </c>
      <c r="Y51" s="662"/>
      <c r="Z51" s="663"/>
      <c r="AA51" s="659">
        <f>ROUND(SUMIFS(Input[Net Tuition
Revenue],Input[Institution Name],$A51),0)+ROUND(SUMIFS(Input[Net Fees
Revenue],Input[Institution Name],$A51),0)</f>
        <v>25767329</v>
      </c>
      <c r="AB51" s="660"/>
      <c r="AC51" s="660"/>
      <c r="AD51" s="661">
        <f t="shared" si="18"/>
        <v>6513</v>
      </c>
      <c r="AE51" s="662"/>
      <c r="AF51" s="663"/>
      <c r="AG51" s="659">
        <f>ROUND(SUMIFS(Input[Federal 
Revenue],Input[Institution Name],$A51),0)</f>
        <v>18183229</v>
      </c>
      <c r="AH51" s="660"/>
      <c r="AI51" s="660"/>
      <c r="AJ51" s="661">
        <f t="shared" si="19"/>
        <v>4596</v>
      </c>
      <c r="AK51" s="662"/>
      <c r="AL51" s="663"/>
      <c r="AM51" s="659">
        <f>ROUND(SUMIFS(Input[Institutional 
Revenue],Input[Institution Name],$A51),0)</f>
        <v>12759804</v>
      </c>
      <c r="AN51" s="660"/>
      <c r="AO51" s="660"/>
      <c r="AP51" s="661">
        <f t="shared" si="20"/>
        <v>3225</v>
      </c>
      <c r="AQ51" s="662"/>
      <c r="AR51" s="663"/>
      <c r="AS51" s="659">
        <f t="shared" si="15"/>
        <v>105394530</v>
      </c>
      <c r="AT51" s="660"/>
      <c r="AU51" s="660"/>
      <c r="AV51" s="661">
        <f t="shared" si="21"/>
        <v>26640</v>
      </c>
      <c r="AW51" s="662"/>
      <c r="AX51" s="663"/>
      <c r="AY51" s="146"/>
    </row>
    <row r="52" spans="1:51" s="148" customFormat="1" ht="27" customHeight="1" x14ac:dyDescent="0.55000000000000004">
      <c r="A52" s="656" t="s">
        <v>64</v>
      </c>
      <c r="B52" s="656"/>
      <c r="C52" s="656"/>
      <c r="D52" s="656"/>
      <c r="E52" s="656"/>
      <c r="F52" s="656"/>
      <c r="G52" s="656"/>
      <c r="H52" s="656"/>
      <c r="I52" s="656"/>
      <c r="J52" s="675">
        <v>10115</v>
      </c>
      <c r="K52" s="676"/>
      <c r="L52" s="677">
        <f>IFERROR(VLOOKUP(A52,Input[],574,FALSE),"")</f>
        <v>28223.53</v>
      </c>
      <c r="M52" s="678"/>
      <c r="N52" s="679"/>
      <c r="O52" s="648">
        <f>ROUND(SUMIFS(Input[State 
Revenue],Input[Institution Name],$A52),0)</f>
        <v>221197169</v>
      </c>
      <c r="P52" s="649"/>
      <c r="Q52" s="649"/>
      <c r="R52" s="672">
        <f t="shared" si="22"/>
        <v>7837</v>
      </c>
      <c r="S52" s="673"/>
      <c r="T52" s="674"/>
      <c r="U52" s="648">
        <f>ROUND(SUMIFS(Input[Constitutional 
Funds Revenue],Input[Institution Name],$A52),0)</f>
        <v>0</v>
      </c>
      <c r="V52" s="649"/>
      <c r="W52" s="649"/>
      <c r="X52" s="672">
        <f t="shared" si="17"/>
        <v>0</v>
      </c>
      <c r="Y52" s="673"/>
      <c r="Z52" s="674"/>
      <c r="AA52" s="648">
        <f>ROUND(SUMIFS(Input[Net Tuition
Revenue],Input[Institution Name],$A52),0)+ROUND(SUMIFS(Input[Net Fees
Revenue],Input[Institution Name],$A52),0)</f>
        <v>218420698</v>
      </c>
      <c r="AB52" s="649"/>
      <c r="AC52" s="649"/>
      <c r="AD52" s="672">
        <f t="shared" si="18"/>
        <v>7739</v>
      </c>
      <c r="AE52" s="673"/>
      <c r="AF52" s="674"/>
      <c r="AG52" s="648">
        <f>ROUND(SUMIFS(Input[Federal 
Revenue],Input[Institution Name],$A52),0)</f>
        <v>164283652</v>
      </c>
      <c r="AH52" s="649"/>
      <c r="AI52" s="649"/>
      <c r="AJ52" s="672">
        <f t="shared" si="19"/>
        <v>5821</v>
      </c>
      <c r="AK52" s="673"/>
      <c r="AL52" s="674"/>
      <c r="AM52" s="648">
        <f>ROUND(SUMIFS(Input[Institutional 
Revenue],Input[Institution Name],$A52),0)</f>
        <v>79495367</v>
      </c>
      <c r="AN52" s="649"/>
      <c r="AO52" s="649"/>
      <c r="AP52" s="672">
        <f t="shared" si="20"/>
        <v>2817</v>
      </c>
      <c r="AQ52" s="673"/>
      <c r="AR52" s="674"/>
      <c r="AS52" s="648">
        <f t="shared" si="15"/>
        <v>683396886</v>
      </c>
      <c r="AT52" s="649"/>
      <c r="AU52" s="649"/>
      <c r="AV52" s="672">
        <f t="shared" si="21"/>
        <v>24214</v>
      </c>
      <c r="AW52" s="673"/>
      <c r="AX52" s="674"/>
      <c r="AY52" s="146"/>
    </row>
    <row r="53" spans="1:51" s="148" customFormat="1" ht="27" customHeight="1" x14ac:dyDescent="0.55000000000000004">
      <c r="A53" s="655" t="s">
        <v>65</v>
      </c>
      <c r="B53" s="655"/>
      <c r="C53" s="655"/>
      <c r="D53" s="655"/>
      <c r="E53" s="655"/>
      <c r="F53" s="655"/>
      <c r="G53" s="655"/>
      <c r="H53" s="655"/>
      <c r="I53" s="655"/>
      <c r="J53" s="667">
        <v>11163</v>
      </c>
      <c r="K53" s="668"/>
      <c r="L53" s="680">
        <f>IFERROR(VLOOKUP(A53,Input[],574,FALSE),"")</f>
        <v>8111.83</v>
      </c>
      <c r="M53" s="681"/>
      <c r="N53" s="682"/>
      <c r="O53" s="659">
        <f>ROUND(SUMIFS(Input[State 
Revenue],Input[Institution Name],$A53),0)</f>
        <v>74548776</v>
      </c>
      <c r="P53" s="660"/>
      <c r="Q53" s="660"/>
      <c r="R53" s="661">
        <f t="shared" si="22"/>
        <v>9190</v>
      </c>
      <c r="S53" s="662"/>
      <c r="T53" s="663"/>
      <c r="U53" s="659">
        <f>ROUND(SUMIFS(Input[Constitutional 
Funds Revenue],Input[Institution Name],$A53),0)</f>
        <v>0</v>
      </c>
      <c r="V53" s="660"/>
      <c r="W53" s="660"/>
      <c r="X53" s="661">
        <f t="shared" si="17"/>
        <v>0</v>
      </c>
      <c r="Y53" s="662"/>
      <c r="Z53" s="663"/>
      <c r="AA53" s="659">
        <f>ROUND(SUMIFS(Input[Net Tuition
Revenue],Input[Institution Name],$A53),0)+ROUND(SUMIFS(Input[Net Fees
Revenue],Input[Institution Name],$A53),0)</f>
        <v>53878924</v>
      </c>
      <c r="AB53" s="660"/>
      <c r="AC53" s="660"/>
      <c r="AD53" s="661">
        <f t="shared" si="18"/>
        <v>6642</v>
      </c>
      <c r="AE53" s="662"/>
      <c r="AF53" s="663"/>
      <c r="AG53" s="659">
        <f>ROUND(SUMIFS(Input[Federal 
Revenue],Input[Institution Name],$A53),0)</f>
        <v>22158343</v>
      </c>
      <c r="AH53" s="660"/>
      <c r="AI53" s="660"/>
      <c r="AJ53" s="661">
        <f t="shared" si="19"/>
        <v>2732</v>
      </c>
      <c r="AK53" s="662"/>
      <c r="AL53" s="663"/>
      <c r="AM53" s="659">
        <f>ROUND(SUMIFS(Input[Institutional 
Revenue],Input[Institution Name],$A53),0)</f>
        <v>21836534</v>
      </c>
      <c r="AN53" s="660"/>
      <c r="AO53" s="660"/>
      <c r="AP53" s="661">
        <f t="shared" si="20"/>
        <v>2692</v>
      </c>
      <c r="AQ53" s="662"/>
      <c r="AR53" s="663"/>
      <c r="AS53" s="659">
        <f t="shared" si="15"/>
        <v>172422577</v>
      </c>
      <c r="AT53" s="660"/>
      <c r="AU53" s="660"/>
      <c r="AV53" s="661">
        <f t="shared" si="21"/>
        <v>21256</v>
      </c>
      <c r="AW53" s="662"/>
      <c r="AX53" s="663"/>
      <c r="AY53" s="146"/>
    </row>
    <row r="54" spans="1:51" s="148" customFormat="1" ht="27" customHeight="1" x14ac:dyDescent="0.55000000000000004">
      <c r="A54" s="656" t="s">
        <v>66</v>
      </c>
      <c r="B54" s="656"/>
      <c r="C54" s="656"/>
      <c r="D54" s="656"/>
      <c r="E54" s="656"/>
      <c r="F54" s="656"/>
      <c r="G54" s="656"/>
      <c r="H54" s="656"/>
      <c r="I54" s="656"/>
      <c r="J54" s="675">
        <v>3632</v>
      </c>
      <c r="K54" s="676"/>
      <c r="L54" s="677">
        <f>IFERROR(VLOOKUP(A54,Input[],574,FALSE),"")</f>
        <v>61626.03</v>
      </c>
      <c r="M54" s="678"/>
      <c r="N54" s="679"/>
      <c r="O54" s="648">
        <f>ROUND(SUMIFS(Input[State 
Revenue],Input[Institution Name],$A54),0)</f>
        <v>756935591</v>
      </c>
      <c r="P54" s="649"/>
      <c r="Q54" s="649"/>
      <c r="R54" s="672">
        <f t="shared" si="22"/>
        <v>12283</v>
      </c>
      <c r="S54" s="673"/>
      <c r="T54" s="674"/>
      <c r="U54" s="648">
        <f>ROUND(SUMIFS(Input[Constitutional 
Funds Revenue],Input[Institution Name],$A54),0)</f>
        <v>205415746</v>
      </c>
      <c r="V54" s="649"/>
      <c r="W54" s="649"/>
      <c r="X54" s="672">
        <f t="shared" si="17"/>
        <v>3333</v>
      </c>
      <c r="Y54" s="673"/>
      <c r="Z54" s="674"/>
      <c r="AA54" s="648">
        <f>ROUND(SUMIFS(Input[Net Tuition
Revenue],Input[Institution Name],$A54),0)+ROUND(SUMIFS(Input[Net Fees
Revenue],Input[Institution Name],$A54),0)</f>
        <v>736489625</v>
      </c>
      <c r="AB54" s="649"/>
      <c r="AC54" s="649"/>
      <c r="AD54" s="672">
        <f t="shared" si="18"/>
        <v>11951</v>
      </c>
      <c r="AE54" s="673"/>
      <c r="AF54" s="674"/>
      <c r="AG54" s="648">
        <f>ROUND(SUMIFS(Input[Federal 
Revenue],Input[Institution Name],$A54),0)</f>
        <v>230528200</v>
      </c>
      <c r="AH54" s="649"/>
      <c r="AI54" s="649"/>
      <c r="AJ54" s="672">
        <f t="shared" si="19"/>
        <v>3741</v>
      </c>
      <c r="AK54" s="673"/>
      <c r="AL54" s="674"/>
      <c r="AM54" s="648">
        <f>ROUND(SUMIFS(Input[Institutional 
Revenue],Input[Institution Name],$A54),0)</f>
        <v>560201284</v>
      </c>
      <c r="AN54" s="649"/>
      <c r="AO54" s="649"/>
      <c r="AP54" s="672">
        <f t="shared" si="20"/>
        <v>9090</v>
      </c>
      <c r="AQ54" s="673"/>
      <c r="AR54" s="674"/>
      <c r="AS54" s="648">
        <f t="shared" si="15"/>
        <v>2489570446</v>
      </c>
      <c r="AT54" s="649"/>
      <c r="AU54" s="649"/>
      <c r="AV54" s="672">
        <f t="shared" si="21"/>
        <v>40398</v>
      </c>
      <c r="AW54" s="673"/>
      <c r="AX54" s="674"/>
      <c r="AY54" s="146"/>
    </row>
    <row r="55" spans="1:51" s="148" customFormat="1" ht="27" customHeight="1" x14ac:dyDescent="0.55000000000000004">
      <c r="A55" s="655" t="s">
        <v>67</v>
      </c>
      <c r="B55" s="655"/>
      <c r="C55" s="655"/>
      <c r="D55" s="655"/>
      <c r="E55" s="655"/>
      <c r="F55" s="655"/>
      <c r="G55" s="655"/>
      <c r="H55" s="655"/>
      <c r="I55" s="655"/>
      <c r="J55" s="667">
        <v>10298</v>
      </c>
      <c r="K55" s="668"/>
      <c r="L55" s="680">
        <f>IFERROR(VLOOKUP(A55,Input[],574,FALSE),"")</f>
        <v>1871.76</v>
      </c>
      <c r="M55" s="681"/>
      <c r="N55" s="682"/>
      <c r="O55" s="659">
        <f>ROUND(SUMIFS(Input[State 
Revenue],Input[Institution Name],$A55),0)</f>
        <v>31223993</v>
      </c>
      <c r="P55" s="660"/>
      <c r="Q55" s="660"/>
      <c r="R55" s="661">
        <f t="shared" si="22"/>
        <v>16682</v>
      </c>
      <c r="S55" s="662"/>
      <c r="T55" s="663"/>
      <c r="U55" s="659">
        <f>ROUND(SUMIFS(Input[Constitutional 
Funds Revenue],Input[Institution Name],$A55),0)</f>
        <v>0</v>
      </c>
      <c r="V55" s="660"/>
      <c r="W55" s="660"/>
      <c r="X55" s="661">
        <f t="shared" si="17"/>
        <v>0</v>
      </c>
      <c r="Y55" s="662"/>
      <c r="Z55" s="663"/>
      <c r="AA55" s="659">
        <f>ROUND(SUMIFS(Input[Net Tuition
Revenue],Input[Institution Name],$A55),0)+ROUND(SUMIFS(Input[Net Fees
Revenue],Input[Institution Name],$A55),0)</f>
        <v>26130026</v>
      </c>
      <c r="AB55" s="660"/>
      <c r="AC55" s="660"/>
      <c r="AD55" s="661">
        <f t="shared" si="18"/>
        <v>13960</v>
      </c>
      <c r="AE55" s="662"/>
      <c r="AF55" s="663"/>
      <c r="AG55" s="659">
        <f>ROUND(SUMIFS(Input[Federal 
Revenue],Input[Institution Name],$A55),0)</f>
        <v>11095754</v>
      </c>
      <c r="AH55" s="660"/>
      <c r="AI55" s="660"/>
      <c r="AJ55" s="661">
        <f t="shared" si="19"/>
        <v>5928</v>
      </c>
      <c r="AK55" s="662"/>
      <c r="AL55" s="663"/>
      <c r="AM55" s="659">
        <f>ROUND(SUMIFS(Input[Institutional 
Revenue],Input[Institution Name],$A55),0)</f>
        <v>20676207</v>
      </c>
      <c r="AN55" s="660"/>
      <c r="AO55" s="660"/>
      <c r="AP55" s="661">
        <f t="shared" si="20"/>
        <v>11046</v>
      </c>
      <c r="AQ55" s="662"/>
      <c r="AR55" s="663"/>
      <c r="AS55" s="659">
        <f t="shared" si="15"/>
        <v>89125980</v>
      </c>
      <c r="AT55" s="660"/>
      <c r="AU55" s="660"/>
      <c r="AV55" s="661">
        <f t="shared" si="21"/>
        <v>47616</v>
      </c>
      <c r="AW55" s="662"/>
      <c r="AX55" s="663"/>
      <c r="AY55" s="146"/>
    </row>
    <row r="56" spans="1:51" s="148" customFormat="1" ht="27" customHeight="1" x14ac:dyDescent="0.55000000000000004">
      <c r="A56" s="656" t="s">
        <v>68</v>
      </c>
      <c r="B56" s="656"/>
      <c r="C56" s="656"/>
      <c r="D56" s="656"/>
      <c r="E56" s="656"/>
      <c r="F56" s="656"/>
      <c r="G56" s="656"/>
      <c r="H56" s="656"/>
      <c r="I56" s="656"/>
      <c r="J56" s="675">
        <v>3630</v>
      </c>
      <c r="K56" s="676"/>
      <c r="L56" s="677">
        <f>IFERROR(VLOOKUP(A56,Input[],574,FALSE),"")</f>
        <v>8505.59</v>
      </c>
      <c r="M56" s="678"/>
      <c r="N56" s="679"/>
      <c r="O56" s="648">
        <f>ROUND(SUMIFS(Input[State 
Revenue],Input[Institution Name],$A56),0)</f>
        <v>89604927</v>
      </c>
      <c r="P56" s="649"/>
      <c r="Q56" s="649"/>
      <c r="R56" s="672">
        <f t="shared" si="22"/>
        <v>10535</v>
      </c>
      <c r="S56" s="673"/>
      <c r="T56" s="674"/>
      <c r="U56" s="648">
        <f>ROUND(SUMIFS(Input[Constitutional 
Funds Revenue],Input[Institution Name],$A56),0)</f>
        <v>32552500</v>
      </c>
      <c r="V56" s="649"/>
      <c r="W56" s="649"/>
      <c r="X56" s="672">
        <f t="shared" si="17"/>
        <v>3827</v>
      </c>
      <c r="Y56" s="673"/>
      <c r="Z56" s="674"/>
      <c r="AA56" s="648">
        <f>ROUND(SUMIFS(Input[Net Tuition
Revenue],Input[Institution Name],$A56),0)+ROUND(SUMIFS(Input[Net Fees
Revenue],Input[Institution Name],$A56),0)</f>
        <v>48305685</v>
      </c>
      <c r="AB56" s="649"/>
      <c r="AC56" s="649"/>
      <c r="AD56" s="672">
        <f t="shared" si="18"/>
        <v>5679</v>
      </c>
      <c r="AE56" s="673"/>
      <c r="AF56" s="674"/>
      <c r="AG56" s="648">
        <f>ROUND(SUMIFS(Input[Federal 
Revenue],Input[Institution Name],$A56),0)</f>
        <v>92140293</v>
      </c>
      <c r="AH56" s="649"/>
      <c r="AI56" s="649"/>
      <c r="AJ56" s="672">
        <f t="shared" si="19"/>
        <v>10833</v>
      </c>
      <c r="AK56" s="673"/>
      <c r="AL56" s="674"/>
      <c r="AM56" s="648">
        <f>ROUND(SUMIFS(Input[Institutional 
Revenue],Input[Institution Name],$A56),0)</f>
        <v>30728129</v>
      </c>
      <c r="AN56" s="649"/>
      <c r="AO56" s="649"/>
      <c r="AP56" s="672">
        <f t="shared" si="20"/>
        <v>3613</v>
      </c>
      <c r="AQ56" s="673"/>
      <c r="AR56" s="674"/>
      <c r="AS56" s="648">
        <f t="shared" si="15"/>
        <v>293331534</v>
      </c>
      <c r="AT56" s="649"/>
      <c r="AU56" s="649"/>
      <c r="AV56" s="672">
        <f t="shared" si="21"/>
        <v>34487</v>
      </c>
      <c r="AW56" s="673"/>
      <c r="AX56" s="674"/>
      <c r="AY56" s="146"/>
    </row>
    <row r="57" spans="1:51" s="148" customFormat="1" ht="27" customHeight="1" x14ac:dyDescent="0.55000000000000004">
      <c r="A57" s="655" t="s">
        <v>69</v>
      </c>
      <c r="B57" s="655"/>
      <c r="C57" s="655"/>
      <c r="D57" s="655"/>
      <c r="E57" s="655"/>
      <c r="F57" s="655"/>
      <c r="G57" s="655"/>
      <c r="H57" s="655"/>
      <c r="I57" s="655"/>
      <c r="J57" s="667">
        <v>3631</v>
      </c>
      <c r="K57" s="668"/>
      <c r="L57" s="680">
        <f>IFERROR(VLOOKUP(A57,Input[],574,FALSE),"")</f>
        <v>12684.8</v>
      </c>
      <c r="M57" s="681"/>
      <c r="N57" s="682"/>
      <c r="O57" s="659">
        <f>ROUND(SUMIFS(Input[State 
Revenue],Input[Institution Name],$A57),0)</f>
        <v>95886289</v>
      </c>
      <c r="P57" s="660"/>
      <c r="Q57" s="660"/>
      <c r="R57" s="661">
        <f t="shared" si="22"/>
        <v>7559</v>
      </c>
      <c r="S57" s="662"/>
      <c r="T57" s="663"/>
      <c r="U57" s="659">
        <f>ROUND(SUMIFS(Input[Constitutional 
Funds Revenue],Input[Institution Name],$A57),0)</f>
        <v>0</v>
      </c>
      <c r="V57" s="660"/>
      <c r="W57" s="660"/>
      <c r="X57" s="661">
        <f t="shared" si="17"/>
        <v>0</v>
      </c>
      <c r="Y57" s="662"/>
      <c r="Z57" s="663"/>
      <c r="AA57" s="659">
        <f>ROUND(SUMIFS(Input[Net Tuition
Revenue],Input[Institution Name],$A57),0)+ROUND(SUMIFS(Input[Net Fees
Revenue],Input[Institution Name],$A57),0)</f>
        <v>88239994</v>
      </c>
      <c r="AB57" s="660"/>
      <c r="AC57" s="660"/>
      <c r="AD57" s="661">
        <f t="shared" si="18"/>
        <v>6956</v>
      </c>
      <c r="AE57" s="662"/>
      <c r="AF57" s="663"/>
      <c r="AG57" s="659">
        <f>ROUND(SUMIFS(Input[Federal 
Revenue],Input[Institution Name],$A57),0)</f>
        <v>39949042</v>
      </c>
      <c r="AH57" s="660"/>
      <c r="AI57" s="660"/>
      <c r="AJ57" s="661">
        <f t="shared" si="19"/>
        <v>3149</v>
      </c>
      <c r="AK57" s="662"/>
      <c r="AL57" s="663"/>
      <c r="AM57" s="659">
        <f>ROUND(SUMIFS(Input[Institutional 
Revenue],Input[Institution Name],$A57),0)</f>
        <v>30623553</v>
      </c>
      <c r="AN57" s="660"/>
      <c r="AO57" s="660"/>
      <c r="AP57" s="661">
        <f t="shared" si="20"/>
        <v>2414</v>
      </c>
      <c r="AQ57" s="662"/>
      <c r="AR57" s="663"/>
      <c r="AS57" s="659">
        <f t="shared" si="15"/>
        <v>254698878</v>
      </c>
      <c r="AT57" s="660"/>
      <c r="AU57" s="660"/>
      <c r="AV57" s="661">
        <f t="shared" si="21"/>
        <v>20079</v>
      </c>
      <c r="AW57" s="662"/>
      <c r="AX57" s="663"/>
      <c r="AY57" s="146"/>
    </row>
    <row r="58" spans="1:51" s="148" customFormat="1" ht="27" customHeight="1" x14ac:dyDescent="0.55000000000000004">
      <c r="A58" s="656" t="s">
        <v>70</v>
      </c>
      <c r="B58" s="656"/>
      <c r="C58" s="656"/>
      <c r="D58" s="656"/>
      <c r="E58" s="656"/>
      <c r="F58" s="656"/>
      <c r="G58" s="656"/>
      <c r="H58" s="656"/>
      <c r="I58" s="656"/>
      <c r="J58" s="675">
        <v>11161</v>
      </c>
      <c r="K58" s="676"/>
      <c r="L58" s="677">
        <f>IFERROR(VLOOKUP(A58,Input[],574,FALSE),"")</f>
        <v>8942.9599999999991</v>
      </c>
      <c r="M58" s="678"/>
      <c r="N58" s="679"/>
      <c r="O58" s="648">
        <f>ROUND(SUMIFS(Input[State 
Revenue],Input[Institution Name],$A58),0)</f>
        <v>85663262</v>
      </c>
      <c r="P58" s="649"/>
      <c r="Q58" s="649"/>
      <c r="R58" s="672">
        <f t="shared" si="22"/>
        <v>9579</v>
      </c>
      <c r="S58" s="673"/>
      <c r="T58" s="674"/>
      <c r="U58" s="648">
        <f>ROUND(SUMIFS(Input[Constitutional 
Funds Revenue],Input[Institution Name],$A58),0)</f>
        <v>11825139</v>
      </c>
      <c r="V58" s="649"/>
      <c r="W58" s="649"/>
      <c r="X58" s="672">
        <f t="shared" si="17"/>
        <v>1322</v>
      </c>
      <c r="Y58" s="673"/>
      <c r="Z58" s="674"/>
      <c r="AA58" s="648">
        <f>ROUND(SUMIFS(Input[Net Tuition
Revenue],Input[Institution Name],$A58),0)+ROUND(SUMIFS(Input[Net Fees
Revenue],Input[Institution Name],$A58),0)</f>
        <v>71738679</v>
      </c>
      <c r="AB58" s="649"/>
      <c r="AC58" s="649"/>
      <c r="AD58" s="672">
        <f t="shared" si="18"/>
        <v>8022</v>
      </c>
      <c r="AE58" s="673"/>
      <c r="AF58" s="674"/>
      <c r="AG58" s="648">
        <f>ROUND(SUMIFS(Input[Federal 
Revenue],Input[Institution Name],$A58),0)</f>
        <v>48435623</v>
      </c>
      <c r="AH58" s="649"/>
      <c r="AI58" s="649"/>
      <c r="AJ58" s="672">
        <f t="shared" si="19"/>
        <v>5416</v>
      </c>
      <c r="AK58" s="673"/>
      <c r="AL58" s="674"/>
      <c r="AM58" s="648">
        <f>ROUND(SUMIFS(Input[Institutional 
Revenue],Input[Institution Name],$A58),0)</f>
        <v>30705020</v>
      </c>
      <c r="AN58" s="649"/>
      <c r="AO58" s="649"/>
      <c r="AP58" s="672">
        <f t="shared" si="20"/>
        <v>3433</v>
      </c>
      <c r="AQ58" s="673"/>
      <c r="AR58" s="674"/>
      <c r="AS58" s="648">
        <f t="shared" si="15"/>
        <v>248367723</v>
      </c>
      <c r="AT58" s="649"/>
      <c r="AU58" s="649"/>
      <c r="AV58" s="672">
        <f t="shared" si="21"/>
        <v>27772</v>
      </c>
      <c r="AW58" s="673"/>
      <c r="AX58" s="674"/>
      <c r="AY58" s="146"/>
    </row>
    <row r="59" spans="1:51" s="148" customFormat="1" ht="27" customHeight="1" x14ac:dyDescent="0.55000000000000004">
      <c r="A59" s="655" t="s">
        <v>71</v>
      </c>
      <c r="B59" s="655"/>
      <c r="C59" s="655"/>
      <c r="D59" s="655"/>
      <c r="E59" s="655"/>
      <c r="F59" s="655"/>
      <c r="G59" s="655"/>
      <c r="H59" s="655"/>
      <c r="I59" s="655"/>
      <c r="J59" s="667">
        <v>3639</v>
      </c>
      <c r="K59" s="668"/>
      <c r="L59" s="680">
        <f>IFERROR(VLOOKUP(A59,Input[],574,FALSE),"")</f>
        <v>5361.74</v>
      </c>
      <c r="M59" s="681"/>
      <c r="N59" s="682"/>
      <c r="O59" s="659">
        <f>ROUND(SUMIFS(Input[State 
Revenue],Input[Institution Name],$A59),0)</f>
        <v>62704652</v>
      </c>
      <c r="P59" s="660"/>
      <c r="Q59" s="660"/>
      <c r="R59" s="661">
        <f t="shared" si="22"/>
        <v>11695</v>
      </c>
      <c r="S59" s="662"/>
      <c r="T59" s="663"/>
      <c r="U59" s="659">
        <f>ROUND(SUMIFS(Input[Constitutional 
Funds Revenue],Input[Institution Name],$A59),0)</f>
        <v>9125307</v>
      </c>
      <c r="V59" s="660"/>
      <c r="W59" s="660"/>
      <c r="X59" s="661">
        <f t="shared" si="17"/>
        <v>1702</v>
      </c>
      <c r="Y59" s="662"/>
      <c r="Z59" s="663"/>
      <c r="AA59" s="659">
        <f>ROUND(SUMIFS(Input[Net Tuition
Revenue],Input[Institution Name],$A59),0)+ROUND(SUMIFS(Input[Net Fees
Revenue],Input[Institution Name],$A59),0)</f>
        <v>33012520</v>
      </c>
      <c r="AB59" s="660"/>
      <c r="AC59" s="660"/>
      <c r="AD59" s="661">
        <f t="shared" si="18"/>
        <v>6157</v>
      </c>
      <c r="AE59" s="662"/>
      <c r="AF59" s="663"/>
      <c r="AG59" s="659">
        <f>ROUND(SUMIFS(Input[Federal 
Revenue],Input[Institution Name],$A59),0)</f>
        <v>44598276</v>
      </c>
      <c r="AH59" s="660"/>
      <c r="AI59" s="660"/>
      <c r="AJ59" s="661">
        <f t="shared" si="19"/>
        <v>8318</v>
      </c>
      <c r="AK59" s="662"/>
      <c r="AL59" s="663"/>
      <c r="AM59" s="659">
        <f>ROUND(SUMIFS(Input[Institutional 
Revenue],Input[Institution Name],$A59),0)</f>
        <v>25506350</v>
      </c>
      <c r="AN59" s="660"/>
      <c r="AO59" s="660"/>
      <c r="AP59" s="661">
        <f t="shared" si="20"/>
        <v>4757</v>
      </c>
      <c r="AQ59" s="662"/>
      <c r="AR59" s="663"/>
      <c r="AS59" s="659">
        <f t="shared" si="15"/>
        <v>174947105</v>
      </c>
      <c r="AT59" s="660"/>
      <c r="AU59" s="660"/>
      <c r="AV59" s="661">
        <f t="shared" si="21"/>
        <v>32629</v>
      </c>
      <c r="AW59" s="662"/>
      <c r="AX59" s="663"/>
      <c r="AY59" s="146"/>
    </row>
    <row r="60" spans="1:51" s="148" customFormat="1" ht="27" customHeight="1" x14ac:dyDescent="0.55000000000000004">
      <c r="A60" s="656" t="s">
        <v>72</v>
      </c>
      <c r="B60" s="656"/>
      <c r="C60" s="656"/>
      <c r="D60" s="656"/>
      <c r="E60" s="656"/>
      <c r="F60" s="656"/>
      <c r="G60" s="656"/>
      <c r="H60" s="656"/>
      <c r="I60" s="656"/>
      <c r="J60" s="675">
        <v>9651</v>
      </c>
      <c r="K60" s="676"/>
      <c r="L60" s="677">
        <f>IFERROR(VLOOKUP(A60,Input[],574,FALSE),"")</f>
        <v>7118.52</v>
      </c>
      <c r="M60" s="678"/>
      <c r="N60" s="679"/>
      <c r="O60" s="648">
        <f>ROUND(SUMIFS(Input[State 
Revenue],Input[Institution Name],$A60),0)</f>
        <v>68108558</v>
      </c>
      <c r="P60" s="649"/>
      <c r="Q60" s="649"/>
      <c r="R60" s="672">
        <f t="shared" si="22"/>
        <v>9568</v>
      </c>
      <c r="S60" s="673"/>
      <c r="T60" s="674"/>
      <c r="U60" s="648">
        <f>ROUND(SUMIFS(Input[Constitutional 
Funds Revenue],Input[Institution Name],$A60),0)</f>
        <v>7687534</v>
      </c>
      <c r="V60" s="649"/>
      <c r="W60" s="649"/>
      <c r="X60" s="672">
        <f t="shared" si="17"/>
        <v>1080</v>
      </c>
      <c r="Y60" s="673"/>
      <c r="Z60" s="674"/>
      <c r="AA60" s="648">
        <f>ROUND(SUMIFS(Input[Net Tuition
Revenue],Input[Institution Name],$A60),0)+ROUND(SUMIFS(Input[Net Fees
Revenue],Input[Institution Name],$A60),0)</f>
        <v>31033564</v>
      </c>
      <c r="AB60" s="649"/>
      <c r="AC60" s="649"/>
      <c r="AD60" s="672">
        <f t="shared" si="18"/>
        <v>4360</v>
      </c>
      <c r="AE60" s="673"/>
      <c r="AF60" s="674"/>
      <c r="AG60" s="648">
        <f>ROUND(SUMIFS(Input[Federal 
Revenue],Input[Institution Name],$A60),0)</f>
        <v>35000485</v>
      </c>
      <c r="AH60" s="649"/>
      <c r="AI60" s="649"/>
      <c r="AJ60" s="672">
        <f t="shared" si="19"/>
        <v>4917</v>
      </c>
      <c r="AK60" s="673"/>
      <c r="AL60" s="674"/>
      <c r="AM60" s="648">
        <f>ROUND(SUMIFS(Input[Institutional 
Revenue],Input[Institution Name],$A60),0)</f>
        <v>13689875</v>
      </c>
      <c r="AN60" s="649"/>
      <c r="AO60" s="649"/>
      <c r="AP60" s="672">
        <f t="shared" si="20"/>
        <v>1923</v>
      </c>
      <c r="AQ60" s="673"/>
      <c r="AR60" s="674"/>
      <c r="AS60" s="648">
        <f t="shared" si="15"/>
        <v>155520016</v>
      </c>
      <c r="AT60" s="649"/>
      <c r="AU60" s="649"/>
      <c r="AV60" s="672">
        <f t="shared" si="21"/>
        <v>21847</v>
      </c>
      <c r="AW60" s="673"/>
      <c r="AX60" s="674"/>
      <c r="AY60" s="146"/>
    </row>
    <row r="61" spans="1:51" s="148" customFormat="1" ht="27" customHeight="1" x14ac:dyDescent="0.55000000000000004">
      <c r="A61" s="655" t="s">
        <v>73</v>
      </c>
      <c r="B61" s="655"/>
      <c r="C61" s="655"/>
      <c r="D61" s="655"/>
      <c r="E61" s="655"/>
      <c r="F61" s="655"/>
      <c r="G61" s="655"/>
      <c r="H61" s="655"/>
      <c r="I61" s="655"/>
      <c r="J61" s="667">
        <v>3665</v>
      </c>
      <c r="K61" s="668"/>
      <c r="L61" s="680">
        <f>IFERROR(VLOOKUP(A61,Input[],574,FALSE),"")</f>
        <v>7276.21</v>
      </c>
      <c r="M61" s="681"/>
      <c r="N61" s="682"/>
      <c r="O61" s="659">
        <f>ROUND(SUMIFS(Input[State 
Revenue],Input[Institution Name],$A61),0)</f>
        <v>61187904</v>
      </c>
      <c r="P61" s="660"/>
      <c r="Q61" s="660"/>
      <c r="R61" s="661">
        <f t="shared" si="22"/>
        <v>8409</v>
      </c>
      <c r="S61" s="662"/>
      <c r="T61" s="663"/>
      <c r="U61" s="659">
        <f>ROUND(SUMIFS(Input[Constitutional 
Funds Revenue],Input[Institution Name],$A61),0)</f>
        <v>7671155</v>
      </c>
      <c r="V61" s="660"/>
      <c r="W61" s="660"/>
      <c r="X61" s="661">
        <f t="shared" si="17"/>
        <v>1054</v>
      </c>
      <c r="Y61" s="662"/>
      <c r="Z61" s="663"/>
      <c r="AA61" s="659">
        <f>ROUND(SUMIFS(Input[Net Tuition
Revenue],Input[Institution Name],$A61),0)+ROUND(SUMIFS(Input[Net Fees
Revenue],Input[Institution Name],$A61),0)</f>
        <v>46106682</v>
      </c>
      <c r="AB61" s="660"/>
      <c r="AC61" s="660"/>
      <c r="AD61" s="661">
        <f t="shared" si="18"/>
        <v>6337</v>
      </c>
      <c r="AE61" s="662"/>
      <c r="AF61" s="663"/>
      <c r="AG61" s="659">
        <f>ROUND(SUMIFS(Input[Federal 
Revenue],Input[Institution Name],$A61),0)</f>
        <v>23203631</v>
      </c>
      <c r="AH61" s="660"/>
      <c r="AI61" s="660"/>
      <c r="AJ61" s="661">
        <f t="shared" si="19"/>
        <v>3189</v>
      </c>
      <c r="AK61" s="662"/>
      <c r="AL61" s="663"/>
      <c r="AM61" s="659">
        <f>ROUND(SUMIFS(Input[Institutional 
Revenue],Input[Institution Name],$A61),0)</f>
        <v>40260541</v>
      </c>
      <c r="AN61" s="660"/>
      <c r="AO61" s="660"/>
      <c r="AP61" s="661">
        <f t="shared" si="20"/>
        <v>5533</v>
      </c>
      <c r="AQ61" s="662"/>
      <c r="AR61" s="663"/>
      <c r="AS61" s="659">
        <f t="shared" si="15"/>
        <v>178429913</v>
      </c>
      <c r="AT61" s="660"/>
      <c r="AU61" s="660"/>
      <c r="AV61" s="661">
        <f t="shared" si="21"/>
        <v>24522</v>
      </c>
      <c r="AW61" s="662"/>
      <c r="AX61" s="663"/>
      <c r="AY61" s="146"/>
    </row>
    <row r="62" spans="1:51" s="148" customFormat="1" ht="27" customHeight="1" x14ac:dyDescent="0.55000000000000004">
      <c r="A62" s="656" t="s">
        <v>1788</v>
      </c>
      <c r="B62" s="656"/>
      <c r="C62" s="656"/>
      <c r="D62" s="656"/>
      <c r="E62" s="656"/>
      <c r="F62" s="656"/>
      <c r="G62" s="656"/>
      <c r="H62" s="656"/>
      <c r="I62" s="656"/>
      <c r="J62" s="675">
        <v>3565</v>
      </c>
      <c r="K62" s="676"/>
      <c r="L62" s="677">
        <f>IFERROR(VLOOKUP(A62,Input[],574,FALSE),"")</f>
        <v>9052.2199999999993</v>
      </c>
      <c r="M62" s="678"/>
      <c r="N62" s="679"/>
      <c r="O62" s="648">
        <f>ROUND(SUMIFS(Input[State 
Revenue],Input[Institution Name],$A62),0)</f>
        <v>75967994</v>
      </c>
      <c r="P62" s="649"/>
      <c r="Q62" s="649"/>
      <c r="R62" s="672">
        <f t="shared" si="22"/>
        <v>8392</v>
      </c>
      <c r="S62" s="673"/>
      <c r="T62" s="674"/>
      <c r="U62" s="648">
        <f>ROUND(SUMIFS(Input[Constitutional 
Funds Revenue],Input[Institution Name],$A62),0)</f>
        <v>11459464</v>
      </c>
      <c r="V62" s="649"/>
      <c r="W62" s="649"/>
      <c r="X62" s="672">
        <f t="shared" si="17"/>
        <v>1266</v>
      </c>
      <c r="Y62" s="673"/>
      <c r="Z62" s="674"/>
      <c r="AA62" s="648">
        <f>ROUND(SUMIFS(Input[Net Tuition
Revenue],Input[Institution Name],$A62),0)+ROUND(SUMIFS(Input[Net Fees
Revenue],Input[Institution Name],$A62),0)</f>
        <v>54636797</v>
      </c>
      <c r="AB62" s="649"/>
      <c r="AC62" s="649"/>
      <c r="AD62" s="672">
        <f t="shared" si="18"/>
        <v>6036</v>
      </c>
      <c r="AE62" s="673"/>
      <c r="AF62" s="674"/>
      <c r="AG62" s="648">
        <f>ROUND(SUMIFS(Input[Federal 
Revenue],Input[Institution Name],$A62),0)</f>
        <v>26364810</v>
      </c>
      <c r="AH62" s="649"/>
      <c r="AI62" s="649"/>
      <c r="AJ62" s="672">
        <f t="shared" si="19"/>
        <v>2913</v>
      </c>
      <c r="AK62" s="673"/>
      <c r="AL62" s="674"/>
      <c r="AM62" s="648">
        <f>ROUND(SUMIFS(Input[Institutional 
Revenue],Input[Institution Name],$A62),0)</f>
        <v>25027464</v>
      </c>
      <c r="AN62" s="649"/>
      <c r="AO62" s="649"/>
      <c r="AP62" s="672">
        <f t="shared" si="20"/>
        <v>2765</v>
      </c>
      <c r="AQ62" s="673"/>
      <c r="AR62" s="674"/>
      <c r="AS62" s="648">
        <f t="shared" si="15"/>
        <v>193456529</v>
      </c>
      <c r="AT62" s="649"/>
      <c r="AU62" s="649"/>
      <c r="AV62" s="672">
        <f t="shared" si="21"/>
        <v>21371</v>
      </c>
      <c r="AW62" s="673"/>
      <c r="AX62" s="674"/>
      <c r="AY62" s="146"/>
    </row>
    <row r="63" spans="1:51" s="148" customFormat="1" ht="27" customHeight="1" x14ac:dyDescent="0.55000000000000004">
      <c r="A63" s="655" t="s">
        <v>75</v>
      </c>
      <c r="B63" s="655"/>
      <c r="C63" s="655"/>
      <c r="D63" s="655"/>
      <c r="E63" s="655"/>
      <c r="F63" s="655"/>
      <c r="G63" s="655"/>
      <c r="H63" s="655"/>
      <c r="I63" s="655"/>
      <c r="J63" s="667">
        <v>29269</v>
      </c>
      <c r="K63" s="668"/>
      <c r="L63" s="680">
        <f>IFERROR(VLOOKUP(A63,Input[],574,FALSE),"")</f>
        <v>1615.92</v>
      </c>
      <c r="M63" s="681"/>
      <c r="N63" s="682"/>
      <c r="O63" s="659">
        <f>ROUND(SUMIFS(Input[State 
Revenue],Input[Institution Name],$A63),0)</f>
        <v>38417989</v>
      </c>
      <c r="P63" s="660"/>
      <c r="Q63" s="660"/>
      <c r="R63" s="661">
        <f t="shared" si="22"/>
        <v>23775</v>
      </c>
      <c r="S63" s="662"/>
      <c r="T63" s="663"/>
      <c r="U63" s="659">
        <f>ROUND(SUMIFS(Input[Constitutional 
Funds Revenue],Input[Institution Name],$A63),0)</f>
        <v>2112129</v>
      </c>
      <c r="V63" s="660"/>
      <c r="W63" s="660"/>
      <c r="X63" s="661">
        <f t="shared" si="17"/>
        <v>1307</v>
      </c>
      <c r="Y63" s="662"/>
      <c r="Z63" s="663"/>
      <c r="AA63" s="659">
        <f>ROUND(SUMIFS(Input[Net Tuition
Revenue],Input[Institution Name],$A63),0)+ROUND(SUMIFS(Input[Net Fees
Revenue],Input[Institution Name],$A63),0)</f>
        <v>12998246</v>
      </c>
      <c r="AB63" s="660"/>
      <c r="AC63" s="660"/>
      <c r="AD63" s="661">
        <f t="shared" si="18"/>
        <v>8044</v>
      </c>
      <c r="AE63" s="662"/>
      <c r="AF63" s="663"/>
      <c r="AG63" s="659">
        <f>ROUND(SUMIFS(Input[Federal 
Revenue],Input[Institution Name],$A63),0)</f>
        <v>3874434</v>
      </c>
      <c r="AH63" s="660"/>
      <c r="AI63" s="660"/>
      <c r="AJ63" s="661">
        <f t="shared" si="19"/>
        <v>2398</v>
      </c>
      <c r="AK63" s="662"/>
      <c r="AL63" s="663"/>
      <c r="AM63" s="659">
        <f>ROUND(SUMIFS(Input[Institutional 
Revenue],Input[Institution Name],$A63),0)</f>
        <v>9657701</v>
      </c>
      <c r="AN63" s="660"/>
      <c r="AO63" s="660"/>
      <c r="AP63" s="661">
        <f t="shared" si="20"/>
        <v>5977</v>
      </c>
      <c r="AQ63" s="662"/>
      <c r="AR63" s="663"/>
      <c r="AS63" s="659">
        <f t="shared" si="15"/>
        <v>67060499</v>
      </c>
      <c r="AT63" s="660"/>
      <c r="AU63" s="660"/>
      <c r="AV63" s="661">
        <f t="shared" si="21"/>
        <v>41500</v>
      </c>
      <c r="AW63" s="662"/>
      <c r="AX63" s="663"/>
      <c r="AY63" s="146"/>
    </row>
    <row r="64" spans="1:51" s="148" customFormat="1" ht="27" customHeight="1" x14ac:dyDescent="0.55000000000000004">
      <c r="A64" s="656" t="s">
        <v>76</v>
      </c>
      <c r="B64" s="656"/>
      <c r="C64" s="656"/>
      <c r="D64" s="656"/>
      <c r="E64" s="656"/>
      <c r="F64" s="656"/>
      <c r="G64" s="656"/>
      <c r="H64" s="656"/>
      <c r="I64" s="656"/>
      <c r="J64" s="675">
        <v>42295</v>
      </c>
      <c r="K64" s="676"/>
      <c r="L64" s="677">
        <f>IFERROR(VLOOKUP(A64,Input[],574,FALSE),"")</f>
        <v>1689.82</v>
      </c>
      <c r="M64" s="678"/>
      <c r="N64" s="679"/>
      <c r="O64" s="648">
        <f>ROUND(SUMIFS(Input[State 
Revenue],Input[Institution Name],$A64),0)</f>
        <v>26351326</v>
      </c>
      <c r="P64" s="649"/>
      <c r="Q64" s="649"/>
      <c r="R64" s="672">
        <f t="shared" si="22"/>
        <v>15594</v>
      </c>
      <c r="S64" s="673"/>
      <c r="T64" s="674"/>
      <c r="U64" s="648">
        <f>ROUND(SUMIFS(Input[Constitutional 
Funds Revenue],Input[Institution Name],$A64),0)</f>
        <v>0</v>
      </c>
      <c r="V64" s="649"/>
      <c r="W64" s="649"/>
      <c r="X64" s="672">
        <f t="shared" si="17"/>
        <v>0</v>
      </c>
      <c r="Y64" s="673"/>
      <c r="Z64" s="674"/>
      <c r="AA64" s="648">
        <f>ROUND(SUMIFS(Input[Net Tuition
Revenue],Input[Institution Name],$A64),0)+ROUND(SUMIFS(Input[Net Fees
Revenue],Input[Institution Name],$A64),0)</f>
        <v>12924704</v>
      </c>
      <c r="AB64" s="649"/>
      <c r="AC64" s="649"/>
      <c r="AD64" s="672">
        <f t="shared" si="18"/>
        <v>7649</v>
      </c>
      <c r="AE64" s="673"/>
      <c r="AF64" s="674"/>
      <c r="AG64" s="648">
        <f>ROUND(SUMIFS(Input[Federal 
Revenue],Input[Institution Name],$A64),0)</f>
        <v>8025836</v>
      </c>
      <c r="AH64" s="649"/>
      <c r="AI64" s="649"/>
      <c r="AJ64" s="672">
        <f t="shared" si="19"/>
        <v>4750</v>
      </c>
      <c r="AK64" s="673"/>
      <c r="AL64" s="674"/>
      <c r="AM64" s="648">
        <f>ROUND(SUMIFS(Input[Institutional 
Revenue],Input[Institution Name],$A64),0)</f>
        <v>3625716</v>
      </c>
      <c r="AN64" s="649"/>
      <c r="AO64" s="649"/>
      <c r="AP64" s="672">
        <f t="shared" si="20"/>
        <v>2146</v>
      </c>
      <c r="AQ64" s="673"/>
      <c r="AR64" s="674"/>
      <c r="AS64" s="648">
        <f t="shared" si="15"/>
        <v>50927582</v>
      </c>
      <c r="AT64" s="649"/>
      <c r="AU64" s="649"/>
      <c r="AV64" s="672">
        <f t="shared" si="21"/>
        <v>30138</v>
      </c>
      <c r="AW64" s="673"/>
      <c r="AX64" s="674"/>
      <c r="AY64" s="146"/>
    </row>
    <row r="65" spans="1:51" s="148" customFormat="1" ht="27" customHeight="1" x14ac:dyDescent="0.55000000000000004">
      <c r="A65" s="655" t="s">
        <v>77</v>
      </c>
      <c r="B65" s="655"/>
      <c r="C65" s="655"/>
      <c r="D65" s="655"/>
      <c r="E65" s="655"/>
      <c r="F65" s="655"/>
      <c r="G65" s="655"/>
      <c r="H65" s="655"/>
      <c r="I65" s="655"/>
      <c r="J65" s="667">
        <v>42485</v>
      </c>
      <c r="K65" s="668"/>
      <c r="L65" s="680">
        <f>IFERROR(VLOOKUP(A65,Input[],574,FALSE),"")</f>
        <v>5196.08</v>
      </c>
      <c r="M65" s="681"/>
      <c r="N65" s="682"/>
      <c r="O65" s="659">
        <f>ROUND(SUMIFS(Input[State 
Revenue],Input[Institution Name],$A65),0)</f>
        <v>49203331</v>
      </c>
      <c r="P65" s="660"/>
      <c r="Q65" s="660"/>
      <c r="R65" s="661">
        <f t="shared" si="22"/>
        <v>9469</v>
      </c>
      <c r="S65" s="662"/>
      <c r="T65" s="663"/>
      <c r="U65" s="659">
        <f>ROUND(SUMIFS(Input[Constitutional 
Funds Revenue],Input[Institution Name],$A65),0)</f>
        <v>0</v>
      </c>
      <c r="V65" s="660"/>
      <c r="W65" s="660"/>
      <c r="X65" s="661">
        <f t="shared" si="17"/>
        <v>0</v>
      </c>
      <c r="Y65" s="662"/>
      <c r="Z65" s="663"/>
      <c r="AA65" s="659">
        <f>ROUND(SUMIFS(Input[Net Tuition
Revenue],Input[Institution Name],$A65),0)+ROUND(SUMIFS(Input[Net Fees
Revenue],Input[Institution Name],$A65),0)</f>
        <v>39142463</v>
      </c>
      <c r="AB65" s="660"/>
      <c r="AC65" s="660"/>
      <c r="AD65" s="661">
        <f t="shared" si="18"/>
        <v>7533</v>
      </c>
      <c r="AE65" s="662"/>
      <c r="AF65" s="663"/>
      <c r="AG65" s="659">
        <f>ROUND(SUMIFS(Input[Federal 
Revenue],Input[Institution Name],$A65),0)</f>
        <v>17254439</v>
      </c>
      <c r="AH65" s="660"/>
      <c r="AI65" s="660"/>
      <c r="AJ65" s="661">
        <f t="shared" si="19"/>
        <v>3321</v>
      </c>
      <c r="AK65" s="662"/>
      <c r="AL65" s="663"/>
      <c r="AM65" s="659">
        <f>ROUND(SUMIFS(Input[Institutional 
Revenue],Input[Institution Name],$A65),0)</f>
        <v>16079671</v>
      </c>
      <c r="AN65" s="660"/>
      <c r="AO65" s="660"/>
      <c r="AP65" s="661">
        <f t="shared" si="20"/>
        <v>3095</v>
      </c>
      <c r="AQ65" s="662"/>
      <c r="AR65" s="663"/>
      <c r="AS65" s="659">
        <f t="shared" si="15"/>
        <v>121679904</v>
      </c>
      <c r="AT65" s="660"/>
      <c r="AU65" s="660"/>
      <c r="AV65" s="661">
        <f t="shared" si="21"/>
        <v>23418</v>
      </c>
      <c r="AW65" s="662"/>
      <c r="AX65" s="663"/>
      <c r="AY65" s="146"/>
    </row>
    <row r="66" spans="1:51" s="148" customFormat="1" ht="27" customHeight="1" x14ac:dyDescent="0.55000000000000004">
      <c r="A66" s="656" t="s">
        <v>78</v>
      </c>
      <c r="B66" s="656"/>
      <c r="C66" s="656"/>
      <c r="D66" s="656"/>
      <c r="E66" s="656"/>
      <c r="F66" s="656"/>
      <c r="G66" s="656"/>
      <c r="H66" s="656"/>
      <c r="I66" s="656"/>
      <c r="J66" s="675">
        <v>3652</v>
      </c>
      <c r="K66" s="676"/>
      <c r="L66" s="677">
        <f>IFERROR(VLOOKUP(A66,Input[],574,FALSE),"")</f>
        <v>39204.69</v>
      </c>
      <c r="M66" s="678"/>
      <c r="N66" s="679"/>
      <c r="O66" s="648">
        <f>ROUND(SUMIFS(Input[State 
Revenue],Input[Institution Name],$A66),0)</f>
        <v>325916114</v>
      </c>
      <c r="P66" s="649"/>
      <c r="Q66" s="649"/>
      <c r="R66" s="672">
        <f t="shared" si="22"/>
        <v>8313</v>
      </c>
      <c r="S66" s="673"/>
      <c r="T66" s="674"/>
      <c r="U66" s="648">
        <f>ROUND(SUMIFS(Input[Constitutional 
Funds Revenue],Input[Institution Name],$A66),0)</f>
        <v>56158685</v>
      </c>
      <c r="V66" s="649"/>
      <c r="W66" s="649"/>
      <c r="X66" s="672">
        <f t="shared" si="17"/>
        <v>1432</v>
      </c>
      <c r="Y66" s="673"/>
      <c r="Z66" s="674"/>
      <c r="AA66" s="648">
        <f>ROUND(SUMIFS(Input[Net Tuition
Revenue],Input[Institution Name],$A66),0)+ROUND(SUMIFS(Input[Net Fees
Revenue],Input[Institution Name],$A66),0)</f>
        <v>382084620</v>
      </c>
      <c r="AB66" s="649"/>
      <c r="AC66" s="649"/>
      <c r="AD66" s="672">
        <f t="shared" si="18"/>
        <v>9746</v>
      </c>
      <c r="AE66" s="673"/>
      <c r="AF66" s="674"/>
      <c r="AG66" s="648">
        <f>ROUND(SUMIFS(Input[Federal 
Revenue],Input[Institution Name],$A66),0)</f>
        <v>196754520</v>
      </c>
      <c r="AH66" s="649"/>
      <c r="AI66" s="649"/>
      <c r="AJ66" s="672">
        <f t="shared" si="19"/>
        <v>5019</v>
      </c>
      <c r="AK66" s="673"/>
      <c r="AL66" s="674"/>
      <c r="AM66" s="648">
        <f>ROUND(SUMIFS(Input[Institutional 
Revenue],Input[Institution Name],$A66),0)</f>
        <v>269140254</v>
      </c>
      <c r="AN66" s="649"/>
      <c r="AO66" s="649"/>
      <c r="AP66" s="672">
        <f t="shared" si="20"/>
        <v>6865</v>
      </c>
      <c r="AQ66" s="673"/>
      <c r="AR66" s="674"/>
      <c r="AS66" s="648">
        <f t="shared" si="15"/>
        <v>1230054193</v>
      </c>
      <c r="AT66" s="649"/>
      <c r="AU66" s="649"/>
      <c r="AV66" s="672">
        <f t="shared" si="21"/>
        <v>31375</v>
      </c>
      <c r="AW66" s="673"/>
      <c r="AX66" s="674"/>
      <c r="AY66" s="146"/>
    </row>
    <row r="67" spans="1:51" s="148" customFormat="1" ht="27" customHeight="1" x14ac:dyDescent="0.55000000000000004">
      <c r="A67" s="655" t="s">
        <v>79</v>
      </c>
      <c r="B67" s="655"/>
      <c r="C67" s="655"/>
      <c r="D67" s="655"/>
      <c r="E67" s="655"/>
      <c r="F67" s="655"/>
      <c r="G67" s="655"/>
      <c r="H67" s="655"/>
      <c r="I67" s="655"/>
      <c r="J67" s="667">
        <v>11711</v>
      </c>
      <c r="K67" s="668"/>
      <c r="L67" s="680">
        <f>IFERROR(VLOOKUP(A67,Input[],574,FALSE),"")</f>
        <v>5934.41</v>
      </c>
      <c r="M67" s="681"/>
      <c r="N67" s="682"/>
      <c r="O67" s="659">
        <f>ROUND(SUMIFS(Input[State 
Revenue],Input[Institution Name],$A67),0)</f>
        <v>49754230</v>
      </c>
      <c r="P67" s="660"/>
      <c r="Q67" s="660"/>
      <c r="R67" s="661">
        <f t="shared" si="22"/>
        <v>8384</v>
      </c>
      <c r="S67" s="662"/>
      <c r="T67" s="663"/>
      <c r="U67" s="659">
        <f>ROUND(SUMIFS(Input[Constitutional 
Funds Revenue],Input[Institution Name],$A67),0)</f>
        <v>7959137</v>
      </c>
      <c r="V67" s="660"/>
      <c r="W67" s="660"/>
      <c r="X67" s="661">
        <f t="shared" si="17"/>
        <v>1341</v>
      </c>
      <c r="Y67" s="662"/>
      <c r="Z67" s="663"/>
      <c r="AA67" s="659">
        <f>ROUND(SUMIFS(Input[Net Tuition
Revenue],Input[Institution Name],$A67),0)+ROUND(SUMIFS(Input[Net Fees
Revenue],Input[Institution Name],$A67),0)</f>
        <v>48029804</v>
      </c>
      <c r="AB67" s="660"/>
      <c r="AC67" s="660"/>
      <c r="AD67" s="661">
        <f t="shared" si="18"/>
        <v>8093</v>
      </c>
      <c r="AE67" s="662"/>
      <c r="AF67" s="663"/>
      <c r="AG67" s="659">
        <f>ROUND(SUMIFS(Input[Federal 
Revenue],Input[Institution Name],$A67),0)</f>
        <v>21704479</v>
      </c>
      <c r="AH67" s="660"/>
      <c r="AI67" s="660"/>
      <c r="AJ67" s="661">
        <f t="shared" si="19"/>
        <v>3657</v>
      </c>
      <c r="AK67" s="662"/>
      <c r="AL67" s="663"/>
      <c r="AM67" s="659">
        <f>ROUND(SUMIFS(Input[Institutional 
Revenue],Input[Institution Name],$A67),0)</f>
        <v>16222218</v>
      </c>
      <c r="AN67" s="660"/>
      <c r="AO67" s="660"/>
      <c r="AP67" s="661">
        <f t="shared" si="20"/>
        <v>2734</v>
      </c>
      <c r="AQ67" s="662"/>
      <c r="AR67" s="663"/>
      <c r="AS67" s="659">
        <f t="shared" si="15"/>
        <v>143669868</v>
      </c>
      <c r="AT67" s="660"/>
      <c r="AU67" s="660"/>
      <c r="AV67" s="661">
        <f t="shared" si="21"/>
        <v>24210</v>
      </c>
      <c r="AW67" s="662"/>
      <c r="AX67" s="663"/>
      <c r="AY67" s="146"/>
    </row>
    <row r="68" spans="1:51" s="148" customFormat="1" ht="27" customHeight="1" x14ac:dyDescent="0.55000000000000004">
      <c r="A68" s="656" t="s">
        <v>80</v>
      </c>
      <c r="B68" s="656"/>
      <c r="C68" s="656"/>
      <c r="D68" s="656"/>
      <c r="E68" s="656"/>
      <c r="F68" s="656"/>
      <c r="G68" s="656"/>
      <c r="H68" s="656"/>
      <c r="I68" s="656"/>
      <c r="J68" s="675">
        <v>12826</v>
      </c>
      <c r="K68" s="676"/>
      <c r="L68" s="677">
        <f>IFERROR(VLOOKUP(A68,Input[],574,FALSE),"")</f>
        <v>10302.99</v>
      </c>
      <c r="M68" s="678"/>
      <c r="N68" s="679"/>
      <c r="O68" s="648">
        <f>ROUND(SUMIFS(Input[State 
Revenue],Input[Institution Name],$A68),0)</f>
        <v>47409776</v>
      </c>
      <c r="P68" s="649"/>
      <c r="Q68" s="649"/>
      <c r="R68" s="672">
        <f t="shared" si="22"/>
        <v>4602</v>
      </c>
      <c r="S68" s="673"/>
      <c r="T68" s="674"/>
      <c r="U68" s="648">
        <f>ROUND(SUMIFS(Input[Constitutional 
Funds Revenue],Input[Institution Name],$A68),0)</f>
        <v>11155034</v>
      </c>
      <c r="V68" s="649"/>
      <c r="W68" s="649"/>
      <c r="X68" s="672">
        <f t="shared" si="17"/>
        <v>1083</v>
      </c>
      <c r="Y68" s="673"/>
      <c r="Z68" s="674"/>
      <c r="AA68" s="648">
        <f>ROUND(SUMIFS(Input[Net Tuition
Revenue],Input[Institution Name],$A68),0)+ROUND(SUMIFS(Input[Net Fees
Revenue],Input[Institution Name],$A68),0)</f>
        <v>68048718</v>
      </c>
      <c r="AB68" s="649"/>
      <c r="AC68" s="649"/>
      <c r="AD68" s="672">
        <f t="shared" si="18"/>
        <v>6605</v>
      </c>
      <c r="AE68" s="673"/>
      <c r="AF68" s="674"/>
      <c r="AG68" s="648">
        <f>ROUND(SUMIFS(Input[Federal 
Revenue],Input[Institution Name],$A68),0)</f>
        <v>50311517</v>
      </c>
      <c r="AH68" s="649"/>
      <c r="AI68" s="649"/>
      <c r="AJ68" s="672">
        <f t="shared" si="19"/>
        <v>4883</v>
      </c>
      <c r="AK68" s="673"/>
      <c r="AL68" s="674"/>
      <c r="AM68" s="648">
        <f>ROUND(SUMIFS(Input[Institutional 
Revenue],Input[Institution Name],$A68),0)</f>
        <v>9796215</v>
      </c>
      <c r="AN68" s="649"/>
      <c r="AO68" s="649"/>
      <c r="AP68" s="672">
        <f t="shared" si="20"/>
        <v>951</v>
      </c>
      <c r="AQ68" s="673"/>
      <c r="AR68" s="674"/>
      <c r="AS68" s="648">
        <f t="shared" si="15"/>
        <v>186721260</v>
      </c>
      <c r="AT68" s="649"/>
      <c r="AU68" s="649"/>
      <c r="AV68" s="672">
        <f t="shared" si="21"/>
        <v>18123</v>
      </c>
      <c r="AW68" s="673"/>
      <c r="AX68" s="674"/>
      <c r="AY68" s="146"/>
    </row>
    <row r="69" spans="1:51" s="148" customFormat="1" ht="27" customHeight="1" x14ac:dyDescent="0.55000000000000004">
      <c r="A69" s="655" t="s">
        <v>81</v>
      </c>
      <c r="B69" s="655"/>
      <c r="C69" s="655"/>
      <c r="D69" s="655"/>
      <c r="E69" s="655"/>
      <c r="F69" s="655"/>
      <c r="G69" s="655"/>
      <c r="H69" s="655"/>
      <c r="I69" s="655"/>
      <c r="J69" s="667">
        <v>13231</v>
      </c>
      <c r="K69" s="668"/>
      <c r="L69" s="680">
        <f>IFERROR(VLOOKUP(A69,Input[],574,FALSE),"")</f>
        <v>2826.05</v>
      </c>
      <c r="M69" s="681"/>
      <c r="N69" s="682"/>
      <c r="O69" s="659">
        <f>ROUND(SUMIFS(Input[State 
Revenue],Input[Institution Name],$A69),0)</f>
        <v>22480628</v>
      </c>
      <c r="P69" s="660"/>
      <c r="Q69" s="660"/>
      <c r="R69" s="661">
        <f t="shared" si="22"/>
        <v>7955</v>
      </c>
      <c r="S69" s="662"/>
      <c r="T69" s="663"/>
      <c r="U69" s="659">
        <f>ROUND(SUMIFS(Input[Constitutional 
Funds Revenue],Input[Institution Name],$A69),0)</f>
        <v>3649703</v>
      </c>
      <c r="V69" s="660"/>
      <c r="W69" s="660"/>
      <c r="X69" s="661">
        <f t="shared" si="17"/>
        <v>1291</v>
      </c>
      <c r="Y69" s="662"/>
      <c r="Z69" s="663"/>
      <c r="AA69" s="659">
        <f>ROUND(SUMIFS(Input[Net Tuition
Revenue],Input[Institution Name],$A69),0)+ROUND(SUMIFS(Input[Net Fees
Revenue],Input[Institution Name],$A69),0)</f>
        <v>18572314</v>
      </c>
      <c r="AB69" s="660"/>
      <c r="AC69" s="660"/>
      <c r="AD69" s="661">
        <f t="shared" si="18"/>
        <v>6572</v>
      </c>
      <c r="AE69" s="662"/>
      <c r="AF69" s="663"/>
      <c r="AG69" s="659">
        <f>ROUND(SUMIFS(Input[Federal 
Revenue],Input[Institution Name],$A69),0)</f>
        <v>10146552</v>
      </c>
      <c r="AH69" s="660"/>
      <c r="AI69" s="660"/>
      <c r="AJ69" s="661">
        <f t="shared" si="19"/>
        <v>3590</v>
      </c>
      <c r="AK69" s="662"/>
      <c r="AL69" s="663"/>
      <c r="AM69" s="659">
        <f>ROUND(SUMIFS(Input[Institutional 
Revenue],Input[Institution Name],$A69),0)</f>
        <v>4831360</v>
      </c>
      <c r="AN69" s="660"/>
      <c r="AO69" s="660"/>
      <c r="AP69" s="661">
        <f t="shared" si="20"/>
        <v>1710</v>
      </c>
      <c r="AQ69" s="662"/>
      <c r="AR69" s="663"/>
      <c r="AS69" s="659">
        <f t="shared" si="15"/>
        <v>59680557</v>
      </c>
      <c r="AT69" s="660"/>
      <c r="AU69" s="660"/>
      <c r="AV69" s="661">
        <f t="shared" si="21"/>
        <v>21118</v>
      </c>
      <c r="AW69" s="662"/>
      <c r="AX69" s="663"/>
      <c r="AY69" s="146"/>
    </row>
    <row r="70" spans="1:51" s="148" customFormat="1" ht="27" customHeight="1" x14ac:dyDescent="0.55000000000000004">
      <c r="A70" s="656" t="s">
        <v>1417</v>
      </c>
      <c r="B70" s="656"/>
      <c r="C70" s="656"/>
      <c r="D70" s="656"/>
      <c r="E70" s="656"/>
      <c r="F70" s="656"/>
      <c r="G70" s="656"/>
      <c r="H70" s="656"/>
      <c r="I70" s="656"/>
      <c r="J70" s="675">
        <v>3581</v>
      </c>
      <c r="K70" s="676"/>
      <c r="L70" s="677">
        <f>IFERROR(VLOOKUP(A70,Input[],574,FALSE),"")</f>
        <v>13933.47</v>
      </c>
      <c r="M70" s="678"/>
      <c r="N70" s="679"/>
      <c r="O70" s="648">
        <f>ROUND(SUMIFS(Input[State 
Revenue],Input[Institution Name],$A70),0)</f>
        <v>109698786</v>
      </c>
      <c r="P70" s="649"/>
      <c r="Q70" s="649"/>
      <c r="R70" s="672">
        <f t="shared" si="22"/>
        <v>7873</v>
      </c>
      <c r="S70" s="673"/>
      <c r="T70" s="674"/>
      <c r="U70" s="648">
        <f>ROUND(SUMIFS(Input[Constitutional 
Funds Revenue],Input[Institution Name],$A70),0)</f>
        <v>13537649</v>
      </c>
      <c r="V70" s="649"/>
      <c r="W70" s="649"/>
      <c r="X70" s="672">
        <f t="shared" si="17"/>
        <v>972</v>
      </c>
      <c r="Y70" s="673"/>
      <c r="Z70" s="674"/>
      <c r="AA70" s="648">
        <f>ROUND(SUMIFS(Input[Net Tuition
Revenue],Input[Institution Name],$A70),0)+ROUND(SUMIFS(Input[Net Fees
Revenue],Input[Institution Name],$A70),0)</f>
        <v>113756413</v>
      </c>
      <c r="AB70" s="649"/>
      <c r="AC70" s="649"/>
      <c r="AD70" s="672">
        <f t="shared" si="18"/>
        <v>8164</v>
      </c>
      <c r="AE70" s="673"/>
      <c r="AF70" s="674"/>
      <c r="AG70" s="648">
        <f>ROUND(SUMIFS(Input[Federal 
Revenue],Input[Institution Name],$A70),0)</f>
        <v>28426958</v>
      </c>
      <c r="AH70" s="649"/>
      <c r="AI70" s="649"/>
      <c r="AJ70" s="672">
        <f t="shared" si="19"/>
        <v>2040</v>
      </c>
      <c r="AK70" s="673"/>
      <c r="AL70" s="674"/>
      <c r="AM70" s="648">
        <f>ROUND(SUMIFS(Input[Institutional 
Revenue],Input[Institution Name],$A70),0)</f>
        <v>16532221</v>
      </c>
      <c r="AN70" s="649"/>
      <c r="AO70" s="649"/>
      <c r="AP70" s="672">
        <f t="shared" si="20"/>
        <v>1187</v>
      </c>
      <c r="AQ70" s="673"/>
      <c r="AR70" s="674"/>
      <c r="AS70" s="648">
        <f t="shared" si="15"/>
        <v>281952027</v>
      </c>
      <c r="AT70" s="649"/>
      <c r="AU70" s="649"/>
      <c r="AV70" s="672">
        <f t="shared" si="21"/>
        <v>20236</v>
      </c>
      <c r="AW70" s="673"/>
      <c r="AX70" s="674"/>
      <c r="AY70" s="146"/>
    </row>
    <row r="71" spans="1:51" s="148" customFormat="1" ht="27" customHeight="1" x14ac:dyDescent="0.55000000000000004">
      <c r="A71" s="655" t="s">
        <v>82</v>
      </c>
      <c r="B71" s="655"/>
      <c r="C71" s="655"/>
      <c r="D71" s="655"/>
      <c r="E71" s="655"/>
      <c r="F71" s="655"/>
      <c r="G71" s="655"/>
      <c r="H71" s="655"/>
      <c r="I71" s="655"/>
      <c r="J71" s="667">
        <v>3606</v>
      </c>
      <c r="K71" s="668"/>
      <c r="L71" s="680">
        <f>IFERROR(VLOOKUP(A71,Input[],574,FALSE),"")</f>
        <v>17233.689999999999</v>
      </c>
      <c r="M71" s="681"/>
      <c r="N71" s="682"/>
      <c r="O71" s="659">
        <f>ROUND(SUMIFS(Input[State 
Revenue],Input[Institution Name],$A71),0)</f>
        <v>119681491</v>
      </c>
      <c r="P71" s="660"/>
      <c r="Q71" s="660"/>
      <c r="R71" s="661">
        <f t="shared" si="22"/>
        <v>6945</v>
      </c>
      <c r="S71" s="662"/>
      <c r="T71" s="663"/>
      <c r="U71" s="659">
        <f>ROUND(SUMIFS(Input[Constitutional 
Funds Revenue],Input[Institution Name],$A71),0)</f>
        <v>18787013</v>
      </c>
      <c r="V71" s="660"/>
      <c r="W71" s="660"/>
      <c r="X71" s="661">
        <f t="shared" si="17"/>
        <v>1090</v>
      </c>
      <c r="Y71" s="662"/>
      <c r="Z71" s="663"/>
      <c r="AA71" s="659">
        <f>ROUND(SUMIFS(Input[Net Tuition
Revenue],Input[Institution Name],$A71),0)+ROUND(SUMIFS(Input[Net Fees
Revenue],Input[Institution Name],$A71),0)</f>
        <v>158807703</v>
      </c>
      <c r="AB71" s="660"/>
      <c r="AC71" s="660"/>
      <c r="AD71" s="661">
        <f t="shared" si="18"/>
        <v>9215</v>
      </c>
      <c r="AE71" s="662"/>
      <c r="AF71" s="663"/>
      <c r="AG71" s="659">
        <f>ROUND(SUMIFS(Input[Federal 
Revenue],Input[Institution Name],$A71),0)</f>
        <v>62168828</v>
      </c>
      <c r="AH71" s="660"/>
      <c r="AI71" s="660"/>
      <c r="AJ71" s="661">
        <f t="shared" si="19"/>
        <v>3607</v>
      </c>
      <c r="AK71" s="662"/>
      <c r="AL71" s="663"/>
      <c r="AM71" s="659">
        <f>ROUND(SUMIFS(Input[Institutional 
Revenue],Input[Institution Name],$A71),0)</f>
        <v>38653656</v>
      </c>
      <c r="AN71" s="660"/>
      <c r="AO71" s="660"/>
      <c r="AP71" s="661">
        <f t="shared" si="20"/>
        <v>2243</v>
      </c>
      <c r="AQ71" s="662"/>
      <c r="AR71" s="663"/>
      <c r="AS71" s="659">
        <f t="shared" si="15"/>
        <v>398098691</v>
      </c>
      <c r="AT71" s="660"/>
      <c r="AU71" s="660"/>
      <c r="AV71" s="661">
        <f t="shared" si="21"/>
        <v>23100</v>
      </c>
      <c r="AW71" s="662"/>
      <c r="AX71" s="663"/>
      <c r="AY71" s="146"/>
    </row>
    <row r="72" spans="1:51" s="148" customFormat="1" ht="27" customHeight="1" x14ac:dyDescent="0.55000000000000004">
      <c r="A72" s="656" t="s">
        <v>83</v>
      </c>
      <c r="B72" s="656"/>
      <c r="C72" s="656"/>
      <c r="D72" s="656"/>
      <c r="E72" s="656"/>
      <c r="F72" s="656"/>
      <c r="G72" s="656"/>
      <c r="H72" s="656"/>
      <c r="I72" s="656"/>
      <c r="J72" s="675">
        <v>3615</v>
      </c>
      <c r="K72" s="676"/>
      <c r="L72" s="677">
        <f>IFERROR(VLOOKUP(A72,Input[],574,FALSE),"")</f>
        <v>32955.14</v>
      </c>
      <c r="M72" s="678"/>
      <c r="N72" s="679"/>
      <c r="O72" s="648">
        <f>ROUND(SUMIFS(Input[State 
Revenue],Input[Institution Name],$A72),0)</f>
        <v>212469386</v>
      </c>
      <c r="P72" s="649"/>
      <c r="Q72" s="649"/>
      <c r="R72" s="672">
        <f t="shared" si="22"/>
        <v>6447</v>
      </c>
      <c r="S72" s="673"/>
      <c r="T72" s="674"/>
      <c r="U72" s="648">
        <f>ROUND(SUMIFS(Input[Constitutional 
Funds Revenue],Input[Institution Name],$A72),0)</f>
        <v>38741061</v>
      </c>
      <c r="V72" s="649"/>
      <c r="W72" s="649"/>
      <c r="X72" s="672">
        <f t="shared" si="17"/>
        <v>1176</v>
      </c>
      <c r="Y72" s="673"/>
      <c r="Z72" s="674"/>
      <c r="AA72" s="648">
        <f>ROUND(SUMIFS(Input[Net Tuition
Revenue],Input[Institution Name],$A72),0)+ROUND(SUMIFS(Input[Net Fees
Revenue],Input[Institution Name],$A72),0)</f>
        <v>253434877</v>
      </c>
      <c r="AB72" s="649"/>
      <c r="AC72" s="649"/>
      <c r="AD72" s="672">
        <f t="shared" si="18"/>
        <v>7690</v>
      </c>
      <c r="AE72" s="673"/>
      <c r="AF72" s="674"/>
      <c r="AG72" s="648">
        <f>ROUND(SUMIFS(Input[Federal 
Revenue],Input[Institution Name],$A72),0)</f>
        <v>144423963</v>
      </c>
      <c r="AH72" s="649"/>
      <c r="AI72" s="649"/>
      <c r="AJ72" s="672">
        <f t="shared" si="19"/>
        <v>4382</v>
      </c>
      <c r="AK72" s="673"/>
      <c r="AL72" s="674"/>
      <c r="AM72" s="648">
        <f>ROUND(SUMIFS(Input[Institutional 
Revenue],Input[Institution Name],$A72),0)</f>
        <v>68357615</v>
      </c>
      <c r="AN72" s="649"/>
      <c r="AO72" s="649"/>
      <c r="AP72" s="672">
        <f t="shared" si="20"/>
        <v>2074</v>
      </c>
      <c r="AQ72" s="673"/>
      <c r="AR72" s="674"/>
      <c r="AS72" s="648">
        <f t="shared" si="15"/>
        <v>717426902</v>
      </c>
      <c r="AT72" s="649"/>
      <c r="AU72" s="649"/>
      <c r="AV72" s="672">
        <f t="shared" si="21"/>
        <v>21770</v>
      </c>
      <c r="AW72" s="673"/>
      <c r="AX72" s="674"/>
      <c r="AY72" s="146"/>
    </row>
    <row r="73" spans="1:51" s="148" customFormat="1" ht="27" customHeight="1" x14ac:dyDescent="0.55000000000000004">
      <c r="A73" s="655" t="s">
        <v>84</v>
      </c>
      <c r="B73" s="655"/>
      <c r="C73" s="655"/>
      <c r="D73" s="655"/>
      <c r="E73" s="655"/>
      <c r="F73" s="655"/>
      <c r="G73" s="655"/>
      <c r="H73" s="655"/>
      <c r="I73" s="655"/>
      <c r="J73" s="667">
        <v>3625</v>
      </c>
      <c r="K73" s="668"/>
      <c r="L73" s="680">
        <f>IFERROR(VLOOKUP(A73,Input[],574,FALSE),"")</f>
        <v>1133.98</v>
      </c>
      <c r="M73" s="681"/>
      <c r="N73" s="682"/>
      <c r="O73" s="659">
        <f>ROUND(SUMIFS(Input[State 
Revenue],Input[Institution Name],$A73),0)</f>
        <v>28066173</v>
      </c>
      <c r="P73" s="660"/>
      <c r="Q73" s="660"/>
      <c r="R73" s="661">
        <f t="shared" si="22"/>
        <v>24750</v>
      </c>
      <c r="S73" s="662"/>
      <c r="T73" s="663"/>
      <c r="U73" s="659">
        <f>ROUND(SUMIFS(Input[Constitutional 
Funds Revenue],Input[Institution Name],$A73),0)</f>
        <v>2703797</v>
      </c>
      <c r="V73" s="660"/>
      <c r="W73" s="660"/>
      <c r="X73" s="661">
        <f t="shared" si="17"/>
        <v>2384</v>
      </c>
      <c r="Y73" s="662"/>
      <c r="Z73" s="663"/>
      <c r="AA73" s="659">
        <f>ROUND(SUMIFS(Input[Net Tuition
Revenue],Input[Institution Name],$A73),0)+ROUND(SUMIFS(Input[Net Fees
Revenue],Input[Institution Name],$A73),0)</f>
        <v>10328432</v>
      </c>
      <c r="AB73" s="660"/>
      <c r="AC73" s="660"/>
      <c r="AD73" s="661">
        <f t="shared" si="18"/>
        <v>9108</v>
      </c>
      <c r="AE73" s="662"/>
      <c r="AF73" s="663"/>
      <c r="AG73" s="659">
        <f>ROUND(SUMIFS(Input[Federal 
Revenue],Input[Institution Name],$A73),0)</f>
        <v>14083450</v>
      </c>
      <c r="AH73" s="660"/>
      <c r="AI73" s="660"/>
      <c r="AJ73" s="661">
        <f t="shared" si="19"/>
        <v>12419</v>
      </c>
      <c r="AK73" s="662"/>
      <c r="AL73" s="663"/>
      <c r="AM73" s="659">
        <f>ROUND(SUMIFS(Input[Institutional 
Revenue],Input[Institution Name],$A73),0)</f>
        <v>7864528</v>
      </c>
      <c r="AN73" s="660"/>
      <c r="AO73" s="660"/>
      <c r="AP73" s="661">
        <f t="shared" si="20"/>
        <v>6935</v>
      </c>
      <c r="AQ73" s="662"/>
      <c r="AR73" s="663"/>
      <c r="AS73" s="659">
        <f t="shared" si="15"/>
        <v>63046380</v>
      </c>
      <c r="AT73" s="660"/>
      <c r="AU73" s="660"/>
      <c r="AV73" s="661">
        <f t="shared" si="21"/>
        <v>55597</v>
      </c>
      <c r="AW73" s="662"/>
      <c r="AX73" s="663"/>
      <c r="AY73" s="146"/>
    </row>
    <row r="74" spans="1:51" s="148" customFormat="1" ht="27" customHeight="1" x14ac:dyDescent="0.55000000000000004">
      <c r="A74" s="656" t="s">
        <v>85</v>
      </c>
      <c r="B74" s="656"/>
      <c r="C74" s="656"/>
      <c r="D74" s="656"/>
      <c r="E74" s="656"/>
      <c r="F74" s="656"/>
      <c r="G74" s="656"/>
      <c r="H74" s="656"/>
      <c r="I74" s="656"/>
      <c r="J74" s="675">
        <v>3644</v>
      </c>
      <c r="K74" s="676"/>
      <c r="L74" s="677">
        <f>IFERROR(VLOOKUP(A74,Input[],574,FALSE),"")</f>
        <v>38275.120000000003</v>
      </c>
      <c r="M74" s="678"/>
      <c r="N74" s="679"/>
      <c r="O74" s="648">
        <f>ROUND(SUMIFS(Input[State 
Revenue],Input[Institution Name],$A74),0)</f>
        <v>312159950</v>
      </c>
      <c r="P74" s="649"/>
      <c r="Q74" s="649"/>
      <c r="R74" s="672">
        <f t="shared" si="22"/>
        <v>8156</v>
      </c>
      <c r="S74" s="673"/>
      <c r="T74" s="674"/>
      <c r="U74" s="648">
        <f>ROUND(SUMIFS(Input[Constitutional 
Funds Revenue],Input[Institution Name],$A74),0)</f>
        <v>51379461</v>
      </c>
      <c r="V74" s="649"/>
      <c r="W74" s="649"/>
      <c r="X74" s="672">
        <f t="shared" si="17"/>
        <v>1342</v>
      </c>
      <c r="Y74" s="673"/>
      <c r="Z74" s="674"/>
      <c r="AA74" s="648">
        <f>ROUND(SUMIFS(Input[Net Tuition
Revenue],Input[Institution Name],$A74),0)+ROUND(SUMIFS(Input[Net Fees
Revenue],Input[Institution Name],$A74),0)</f>
        <v>389110643</v>
      </c>
      <c r="AB74" s="649"/>
      <c r="AC74" s="649"/>
      <c r="AD74" s="672">
        <f t="shared" si="18"/>
        <v>10166</v>
      </c>
      <c r="AE74" s="673"/>
      <c r="AF74" s="674"/>
      <c r="AG74" s="648">
        <f>ROUND(SUMIFS(Input[Federal 
Revenue],Input[Institution Name],$A74),0)</f>
        <v>137455020</v>
      </c>
      <c r="AH74" s="649"/>
      <c r="AI74" s="649"/>
      <c r="AJ74" s="672">
        <f t="shared" si="19"/>
        <v>3591</v>
      </c>
      <c r="AK74" s="673"/>
      <c r="AL74" s="674"/>
      <c r="AM74" s="648">
        <f>ROUND(SUMIFS(Input[Institutional 
Revenue],Input[Institution Name],$A74),0)</f>
        <v>186566827</v>
      </c>
      <c r="AN74" s="649"/>
      <c r="AO74" s="649"/>
      <c r="AP74" s="672">
        <f t="shared" si="20"/>
        <v>4874</v>
      </c>
      <c r="AQ74" s="673"/>
      <c r="AR74" s="674"/>
      <c r="AS74" s="648">
        <f t="shared" si="15"/>
        <v>1076671901</v>
      </c>
      <c r="AT74" s="649"/>
      <c r="AU74" s="649"/>
      <c r="AV74" s="672">
        <f t="shared" si="21"/>
        <v>28130</v>
      </c>
      <c r="AW74" s="673"/>
      <c r="AX74" s="674"/>
      <c r="AY74" s="146"/>
    </row>
    <row r="75" spans="1:51" s="148" customFormat="1" ht="27" customHeight="1" x14ac:dyDescent="0.55000000000000004">
      <c r="A75" s="655" t="s">
        <v>86</v>
      </c>
      <c r="B75" s="655"/>
      <c r="C75" s="655"/>
      <c r="D75" s="655"/>
      <c r="E75" s="655"/>
      <c r="F75" s="655"/>
      <c r="G75" s="655"/>
      <c r="H75" s="655"/>
      <c r="I75" s="655"/>
      <c r="J75" s="667">
        <v>3541</v>
      </c>
      <c r="K75" s="668"/>
      <c r="L75" s="680">
        <f>IFERROR(VLOOKUP(A75,Input[],574,FALSE),"")</f>
        <v>7610.39</v>
      </c>
      <c r="M75" s="681"/>
      <c r="N75" s="682"/>
      <c r="O75" s="659">
        <f>ROUND(SUMIFS(Input[State 
Revenue],Input[Institution Name],$A75),0)</f>
        <v>53179730</v>
      </c>
      <c r="P75" s="660"/>
      <c r="Q75" s="660"/>
      <c r="R75" s="661">
        <f t="shared" si="22"/>
        <v>6988</v>
      </c>
      <c r="S75" s="662"/>
      <c r="T75" s="663"/>
      <c r="U75" s="659">
        <f>ROUND(SUMIFS(Input[Constitutional 
Funds Revenue],Input[Institution Name],$A75),0)</f>
        <v>6997943</v>
      </c>
      <c r="V75" s="660"/>
      <c r="W75" s="660"/>
      <c r="X75" s="661">
        <f t="shared" si="17"/>
        <v>920</v>
      </c>
      <c r="Y75" s="662"/>
      <c r="Z75" s="663"/>
      <c r="AA75" s="659">
        <f>ROUND(SUMIFS(Input[Net Tuition
Revenue],Input[Institution Name],$A75),0)+ROUND(SUMIFS(Input[Net Fees
Revenue],Input[Institution Name],$A75),0)</f>
        <v>40188941</v>
      </c>
      <c r="AB75" s="660"/>
      <c r="AC75" s="660"/>
      <c r="AD75" s="661">
        <f t="shared" si="18"/>
        <v>5281</v>
      </c>
      <c r="AE75" s="662"/>
      <c r="AF75" s="663"/>
      <c r="AG75" s="659">
        <f>ROUND(SUMIFS(Input[Federal 
Revenue],Input[Institution Name],$A75),0)</f>
        <v>19022141</v>
      </c>
      <c r="AH75" s="660"/>
      <c r="AI75" s="660"/>
      <c r="AJ75" s="661">
        <f t="shared" si="19"/>
        <v>2499</v>
      </c>
      <c r="AK75" s="662"/>
      <c r="AL75" s="663"/>
      <c r="AM75" s="659">
        <f>ROUND(SUMIFS(Input[Institutional 
Revenue],Input[Institution Name],$A75),0)</f>
        <v>50175045</v>
      </c>
      <c r="AN75" s="660"/>
      <c r="AO75" s="660"/>
      <c r="AP75" s="661">
        <f t="shared" si="20"/>
        <v>6593</v>
      </c>
      <c r="AQ75" s="662"/>
      <c r="AR75" s="663"/>
      <c r="AS75" s="659">
        <f t="shared" si="15"/>
        <v>169563800</v>
      </c>
      <c r="AT75" s="660"/>
      <c r="AU75" s="660"/>
      <c r="AV75" s="661">
        <f t="shared" si="21"/>
        <v>22281</v>
      </c>
      <c r="AW75" s="662"/>
      <c r="AX75" s="663"/>
      <c r="AY75" s="146"/>
    </row>
    <row r="76" spans="1:51" s="148" customFormat="1" ht="27" customHeight="1" x14ac:dyDescent="0.55000000000000004">
      <c r="A76" s="656" t="s">
        <v>87</v>
      </c>
      <c r="B76" s="656"/>
      <c r="C76" s="656"/>
      <c r="D76" s="656"/>
      <c r="E76" s="656"/>
      <c r="F76" s="656"/>
      <c r="G76" s="656"/>
      <c r="H76" s="656"/>
      <c r="I76" s="656"/>
      <c r="J76" s="675">
        <v>3594</v>
      </c>
      <c r="K76" s="676"/>
      <c r="L76" s="677">
        <f>IFERROR(VLOOKUP(A76,Input[],574,FALSE),"")</f>
        <v>38769.89</v>
      </c>
      <c r="M76" s="678"/>
      <c r="N76" s="679"/>
      <c r="O76" s="648">
        <f>ROUND(SUMIFS(Input[State 
Revenue],Input[Institution Name],$A76),0)</f>
        <v>211516722</v>
      </c>
      <c r="P76" s="649"/>
      <c r="Q76" s="649"/>
      <c r="R76" s="672">
        <f t="shared" si="22"/>
        <v>5456</v>
      </c>
      <c r="S76" s="673"/>
      <c r="T76" s="674"/>
      <c r="U76" s="648">
        <f>ROUND(SUMIFS(Input[Constitutional 
Funds Revenue],Input[Institution Name],$A76),0)</f>
        <v>38473304</v>
      </c>
      <c r="V76" s="649"/>
      <c r="W76" s="649"/>
      <c r="X76" s="672">
        <f t="shared" si="17"/>
        <v>992</v>
      </c>
      <c r="Y76" s="673"/>
      <c r="Z76" s="674"/>
      <c r="AA76" s="648">
        <f>ROUND(SUMIFS(Input[Net Tuition
Revenue],Input[Institution Name],$A76),0)+ROUND(SUMIFS(Input[Net Fees
Revenue],Input[Institution Name],$A76),0)</f>
        <v>432027589</v>
      </c>
      <c r="AB76" s="649"/>
      <c r="AC76" s="649"/>
      <c r="AD76" s="672">
        <f t="shared" si="18"/>
        <v>11143</v>
      </c>
      <c r="AE76" s="673"/>
      <c r="AF76" s="674"/>
      <c r="AG76" s="648">
        <f>ROUND(SUMIFS(Input[Federal 
Revenue],Input[Institution Name],$A76),0)</f>
        <v>141679031</v>
      </c>
      <c r="AH76" s="649"/>
      <c r="AI76" s="649"/>
      <c r="AJ76" s="672">
        <f t="shared" si="19"/>
        <v>3654</v>
      </c>
      <c r="AK76" s="673"/>
      <c r="AL76" s="674"/>
      <c r="AM76" s="648">
        <f>ROUND(SUMIFS(Input[Institutional 
Revenue],Input[Institution Name],$A76),0)</f>
        <v>71741866</v>
      </c>
      <c r="AN76" s="649"/>
      <c r="AO76" s="649"/>
      <c r="AP76" s="672">
        <f t="shared" si="20"/>
        <v>1850</v>
      </c>
      <c r="AQ76" s="673"/>
      <c r="AR76" s="674"/>
      <c r="AS76" s="648">
        <f t="shared" si="15"/>
        <v>895438512</v>
      </c>
      <c r="AT76" s="649"/>
      <c r="AU76" s="649"/>
      <c r="AV76" s="672">
        <f t="shared" si="21"/>
        <v>23096</v>
      </c>
      <c r="AW76" s="673"/>
      <c r="AX76" s="674"/>
      <c r="AY76" s="146"/>
    </row>
    <row r="77" spans="1:51" s="148" customFormat="1" ht="27" customHeight="1" x14ac:dyDescent="0.55000000000000004">
      <c r="A77" s="655" t="s">
        <v>88</v>
      </c>
      <c r="B77" s="655"/>
      <c r="C77" s="655"/>
      <c r="D77" s="655"/>
      <c r="E77" s="655"/>
      <c r="F77" s="655"/>
      <c r="G77" s="655"/>
      <c r="H77" s="655"/>
      <c r="I77" s="655"/>
      <c r="J77" s="667">
        <v>42421</v>
      </c>
      <c r="K77" s="668"/>
      <c r="L77" s="680">
        <f>IFERROR(VLOOKUP(A77,Input[],574,FALSE),"")</f>
        <v>3136.08</v>
      </c>
      <c r="M77" s="681"/>
      <c r="N77" s="682"/>
      <c r="O77" s="659">
        <f>ROUND(SUMIFS(Input[State 
Revenue],Input[Institution Name],$A77),0)</f>
        <v>52415070</v>
      </c>
      <c r="P77" s="660"/>
      <c r="Q77" s="660"/>
      <c r="R77" s="661">
        <f t="shared" si="22"/>
        <v>16714</v>
      </c>
      <c r="S77" s="662"/>
      <c r="T77" s="663"/>
      <c r="U77" s="659">
        <f>ROUND(SUMIFS(Input[Constitutional 
Funds Revenue],Input[Institution Name],$A77),0)</f>
        <v>3455644</v>
      </c>
      <c r="V77" s="660"/>
      <c r="W77" s="660"/>
      <c r="X77" s="661">
        <f t="shared" si="17"/>
        <v>1102</v>
      </c>
      <c r="Y77" s="662"/>
      <c r="Z77" s="663"/>
      <c r="AA77" s="659">
        <f>ROUND(SUMIFS(Input[Net Tuition
Revenue],Input[Institution Name],$A77),0)+ROUND(SUMIFS(Input[Net Fees
Revenue],Input[Institution Name],$A77),0)</f>
        <v>28918506</v>
      </c>
      <c r="AB77" s="660"/>
      <c r="AC77" s="660"/>
      <c r="AD77" s="661">
        <f t="shared" si="18"/>
        <v>9221</v>
      </c>
      <c r="AE77" s="662"/>
      <c r="AF77" s="663"/>
      <c r="AG77" s="659">
        <f>ROUND(SUMIFS(Input[Federal 
Revenue],Input[Institution Name],$A77),0)</f>
        <v>15728282</v>
      </c>
      <c r="AH77" s="660"/>
      <c r="AI77" s="660"/>
      <c r="AJ77" s="661">
        <f t="shared" si="19"/>
        <v>5015</v>
      </c>
      <c r="AK77" s="662"/>
      <c r="AL77" s="663"/>
      <c r="AM77" s="659">
        <f>ROUND(SUMIFS(Input[Institutional 
Revenue],Input[Institution Name],$A77),0)</f>
        <v>4701906</v>
      </c>
      <c r="AN77" s="660"/>
      <c r="AO77" s="660"/>
      <c r="AP77" s="661">
        <f t="shared" si="20"/>
        <v>1499</v>
      </c>
      <c r="AQ77" s="662"/>
      <c r="AR77" s="663"/>
      <c r="AS77" s="659">
        <f t="shared" si="15"/>
        <v>105219408</v>
      </c>
      <c r="AT77" s="660"/>
      <c r="AU77" s="660"/>
      <c r="AV77" s="661">
        <f t="shared" si="21"/>
        <v>33551</v>
      </c>
      <c r="AW77" s="662"/>
      <c r="AX77" s="663"/>
      <c r="AY77" s="146"/>
    </row>
    <row r="78" spans="1:51" s="148" customFormat="1" ht="27" customHeight="1" x14ac:dyDescent="0.55000000000000004">
      <c r="A78" s="656" t="s">
        <v>89</v>
      </c>
      <c r="B78" s="656"/>
      <c r="C78" s="656"/>
      <c r="D78" s="656"/>
      <c r="E78" s="656"/>
      <c r="F78" s="656"/>
      <c r="G78" s="656"/>
      <c r="H78" s="656"/>
      <c r="I78" s="656"/>
      <c r="J78" s="675">
        <v>3592</v>
      </c>
      <c r="K78" s="676"/>
      <c r="L78" s="677">
        <f>IFERROR(VLOOKUP(A78,Input[],574,FALSE),"")</f>
        <v>3977.6</v>
      </c>
      <c r="M78" s="678"/>
      <c r="N78" s="679"/>
      <c r="O78" s="648">
        <f>ROUND(SUMIFS(Input[State 
Revenue],Input[Institution Name],$A78),0)</f>
        <v>37765568</v>
      </c>
      <c r="P78" s="649"/>
      <c r="Q78" s="649"/>
      <c r="R78" s="672">
        <f t="shared" si="22"/>
        <v>9495</v>
      </c>
      <c r="S78" s="673"/>
      <c r="T78" s="674"/>
      <c r="U78" s="648">
        <f>ROUND(SUMIFS(Input[Constitutional 
Funds Revenue],Input[Institution Name],$A78),0)</f>
        <v>5082034</v>
      </c>
      <c r="V78" s="649"/>
      <c r="W78" s="649"/>
      <c r="X78" s="672">
        <f t="shared" si="17"/>
        <v>1278</v>
      </c>
      <c r="Y78" s="673"/>
      <c r="Z78" s="674"/>
      <c r="AA78" s="648">
        <f>ROUND(SUMIFS(Input[Net Tuition
Revenue],Input[Institution Name],$A78),0)+ROUND(SUMIFS(Input[Net Fees
Revenue],Input[Institution Name],$A78),0)</f>
        <v>31124608</v>
      </c>
      <c r="AB78" s="649"/>
      <c r="AC78" s="649"/>
      <c r="AD78" s="672">
        <f t="shared" si="18"/>
        <v>7825</v>
      </c>
      <c r="AE78" s="673"/>
      <c r="AF78" s="674"/>
      <c r="AG78" s="648">
        <f>ROUND(SUMIFS(Input[Federal 
Revenue],Input[Institution Name],$A78),0)</f>
        <v>14062446</v>
      </c>
      <c r="AH78" s="649"/>
      <c r="AI78" s="649"/>
      <c r="AJ78" s="672">
        <f t="shared" si="19"/>
        <v>3535</v>
      </c>
      <c r="AK78" s="673"/>
      <c r="AL78" s="674"/>
      <c r="AM78" s="648">
        <f>ROUND(SUMIFS(Input[Institutional 
Revenue],Input[Institution Name],$A78),0)</f>
        <v>14292060</v>
      </c>
      <c r="AN78" s="649"/>
      <c r="AO78" s="649"/>
      <c r="AP78" s="672">
        <f t="shared" si="20"/>
        <v>3593</v>
      </c>
      <c r="AQ78" s="673"/>
      <c r="AR78" s="674"/>
      <c r="AS78" s="648">
        <f t="shared" si="15"/>
        <v>102326716</v>
      </c>
      <c r="AT78" s="649"/>
      <c r="AU78" s="649"/>
      <c r="AV78" s="672">
        <f t="shared" si="21"/>
        <v>25726</v>
      </c>
      <c r="AW78" s="673"/>
      <c r="AX78" s="674"/>
      <c r="AY78" s="146"/>
    </row>
    <row r="79" spans="1:51" s="148" customFormat="1" ht="27" customHeight="1" x14ac:dyDescent="0.55000000000000004">
      <c r="A79" s="655" t="s">
        <v>90</v>
      </c>
      <c r="B79" s="655"/>
      <c r="C79" s="655"/>
      <c r="D79" s="655"/>
      <c r="E79" s="655"/>
      <c r="F79" s="655"/>
      <c r="G79" s="655"/>
      <c r="H79" s="655"/>
      <c r="I79" s="655"/>
      <c r="J79" s="667">
        <v>3624</v>
      </c>
      <c r="K79" s="668"/>
      <c r="L79" s="680">
        <f>IFERROR(VLOOKUP(A79,Input[],574,FALSE),"")</f>
        <v>8897.17</v>
      </c>
      <c r="M79" s="681"/>
      <c r="N79" s="682"/>
      <c r="O79" s="659">
        <f>ROUND(SUMIFS(Input[State 
Revenue],Input[Institution Name],$A79),0)</f>
        <v>91772604</v>
      </c>
      <c r="P79" s="660"/>
      <c r="Q79" s="660"/>
      <c r="R79" s="661">
        <f t="shared" si="22"/>
        <v>10315</v>
      </c>
      <c r="S79" s="662"/>
      <c r="T79" s="663"/>
      <c r="U79" s="659">
        <f>ROUND(SUMIFS(Input[Constitutional 
Funds Revenue],Input[Institution Name],$A79),0)</f>
        <v>0</v>
      </c>
      <c r="V79" s="660"/>
      <c r="W79" s="660"/>
      <c r="X79" s="661">
        <f t="shared" si="17"/>
        <v>0</v>
      </c>
      <c r="Y79" s="662"/>
      <c r="Z79" s="663"/>
      <c r="AA79" s="659">
        <f>ROUND(SUMIFS(Input[Net Tuition
Revenue],Input[Institution Name],$A79),0)+ROUND(SUMIFS(Input[Net Fees
Revenue],Input[Institution Name],$A79),0)</f>
        <v>52084931</v>
      </c>
      <c r="AB79" s="660"/>
      <c r="AC79" s="660"/>
      <c r="AD79" s="661">
        <f t="shared" si="18"/>
        <v>5854</v>
      </c>
      <c r="AE79" s="662"/>
      <c r="AF79" s="663"/>
      <c r="AG79" s="659">
        <f>ROUND(SUMIFS(Input[Federal 
Revenue],Input[Institution Name],$A79),0)</f>
        <v>28513582</v>
      </c>
      <c r="AH79" s="660"/>
      <c r="AI79" s="660"/>
      <c r="AJ79" s="661">
        <f t="shared" si="19"/>
        <v>3205</v>
      </c>
      <c r="AK79" s="662"/>
      <c r="AL79" s="663"/>
      <c r="AM79" s="659">
        <f>ROUND(SUMIFS(Input[Institutional 
Revenue],Input[Institution Name],$A79),0)</f>
        <v>26030820</v>
      </c>
      <c r="AN79" s="660"/>
      <c r="AO79" s="660"/>
      <c r="AP79" s="661">
        <f t="shared" si="20"/>
        <v>2926</v>
      </c>
      <c r="AQ79" s="662"/>
      <c r="AR79" s="663"/>
      <c r="AS79" s="659">
        <f t="shared" si="15"/>
        <v>198401937</v>
      </c>
      <c r="AT79" s="660"/>
      <c r="AU79" s="660"/>
      <c r="AV79" s="661">
        <f t="shared" si="21"/>
        <v>22299</v>
      </c>
      <c r="AW79" s="662"/>
      <c r="AX79" s="663"/>
      <c r="AY79" s="146"/>
    </row>
    <row r="80" spans="1:51" s="148" customFormat="1" ht="27" customHeight="1" x14ac:dyDescent="0.55000000000000004">
      <c r="A80" s="656" t="s">
        <v>91</v>
      </c>
      <c r="B80" s="656"/>
      <c r="C80" s="656"/>
      <c r="D80" s="656"/>
      <c r="E80" s="656"/>
      <c r="F80" s="656"/>
      <c r="G80" s="656"/>
      <c r="H80" s="656"/>
      <c r="I80" s="656"/>
      <c r="J80" s="675">
        <v>3642</v>
      </c>
      <c r="K80" s="676"/>
      <c r="L80" s="677">
        <f>IFERROR(VLOOKUP(A80,Input[],574,FALSE),"")</f>
        <v>7631.23</v>
      </c>
      <c r="M80" s="678"/>
      <c r="N80" s="679"/>
      <c r="O80" s="648">
        <f>ROUND(SUMIFS(Input[State 
Revenue],Input[Institution Name],$A80),0)</f>
        <v>78055255</v>
      </c>
      <c r="P80" s="649"/>
      <c r="Q80" s="649"/>
      <c r="R80" s="672">
        <f t="shared" si="22"/>
        <v>10228</v>
      </c>
      <c r="S80" s="673"/>
      <c r="T80" s="674"/>
      <c r="U80" s="648">
        <f>ROUND(SUMIFS(Input[Constitutional 
Funds Revenue],Input[Institution Name],$A80),0)</f>
        <v>38201403</v>
      </c>
      <c r="V80" s="649"/>
      <c r="W80" s="649"/>
      <c r="X80" s="672">
        <f t="shared" si="17"/>
        <v>5006</v>
      </c>
      <c r="Y80" s="673"/>
      <c r="Z80" s="674"/>
      <c r="AA80" s="648">
        <f>ROUND(SUMIFS(Input[Net Tuition
Revenue],Input[Institution Name],$A80),0)+ROUND(SUMIFS(Input[Net Fees
Revenue],Input[Institution Name],$A80),0)</f>
        <v>51027426</v>
      </c>
      <c r="AB80" s="649"/>
      <c r="AC80" s="649"/>
      <c r="AD80" s="672">
        <f t="shared" si="18"/>
        <v>6687</v>
      </c>
      <c r="AE80" s="673"/>
      <c r="AF80" s="674"/>
      <c r="AG80" s="648">
        <f>ROUND(SUMIFS(Input[Federal 
Revenue],Input[Institution Name],$A80),0)</f>
        <v>55242907</v>
      </c>
      <c r="AH80" s="649"/>
      <c r="AI80" s="649"/>
      <c r="AJ80" s="672">
        <f t="shared" si="19"/>
        <v>7239</v>
      </c>
      <c r="AK80" s="673"/>
      <c r="AL80" s="674"/>
      <c r="AM80" s="648">
        <f>ROUND(SUMIFS(Input[Institutional 
Revenue],Input[Institution Name],$A80),0)</f>
        <v>24703019</v>
      </c>
      <c r="AN80" s="649"/>
      <c r="AO80" s="649"/>
      <c r="AP80" s="672">
        <f t="shared" si="20"/>
        <v>3237</v>
      </c>
      <c r="AQ80" s="673"/>
      <c r="AR80" s="674"/>
      <c r="AS80" s="648">
        <f t="shared" si="15"/>
        <v>247230010</v>
      </c>
      <c r="AT80" s="649"/>
      <c r="AU80" s="649"/>
      <c r="AV80" s="672">
        <f t="shared" si="21"/>
        <v>32397</v>
      </c>
      <c r="AW80" s="673"/>
      <c r="AX80" s="674"/>
      <c r="AY80" s="146"/>
    </row>
    <row r="81" spans="1:51" s="148" customFormat="1" ht="27" customHeight="1" x14ac:dyDescent="0.55000000000000004">
      <c r="A81" s="655" t="s">
        <v>92</v>
      </c>
      <c r="B81" s="655"/>
      <c r="C81" s="655"/>
      <c r="D81" s="655"/>
      <c r="E81" s="655"/>
      <c r="F81" s="655"/>
      <c r="G81" s="655"/>
      <c r="H81" s="655"/>
      <c r="I81" s="655"/>
      <c r="J81" s="667">
        <v>3646</v>
      </c>
      <c r="K81" s="668"/>
      <c r="L81" s="669">
        <f>IFERROR(VLOOKUP(A81,Input[],574,FALSE),"")</f>
        <v>12346.25</v>
      </c>
      <c r="M81" s="670"/>
      <c r="N81" s="671"/>
      <c r="O81" s="659">
        <f>ROUND(SUMIFS(Input[State 
Revenue],Input[Institution Name],$A81),0)</f>
        <v>111410322</v>
      </c>
      <c r="P81" s="660"/>
      <c r="Q81" s="660"/>
      <c r="R81" s="664">
        <f t="shared" si="22"/>
        <v>9024</v>
      </c>
      <c r="S81" s="665"/>
      <c r="T81" s="666"/>
      <c r="U81" s="659">
        <f>ROUND(SUMIFS(Input[Constitutional 
Funds Revenue],Input[Institution Name],$A81),0)</f>
        <v>14993229</v>
      </c>
      <c r="V81" s="660"/>
      <c r="W81" s="660"/>
      <c r="X81" s="664">
        <f t="shared" si="17"/>
        <v>1214</v>
      </c>
      <c r="Y81" s="665"/>
      <c r="Z81" s="666"/>
      <c r="AA81" s="659">
        <f>ROUND(SUMIFS(Input[Net Tuition
Revenue],Input[Institution Name],$A81),0)+ROUND(SUMIFS(Input[Net Fees
Revenue],Input[Institution Name],$A81),0)</f>
        <v>83074419</v>
      </c>
      <c r="AB81" s="660"/>
      <c r="AC81" s="660"/>
      <c r="AD81" s="664">
        <f t="shared" si="18"/>
        <v>6729</v>
      </c>
      <c r="AE81" s="665"/>
      <c r="AF81" s="666"/>
      <c r="AG81" s="659">
        <f>ROUND(SUMIFS(Input[Federal 
Revenue],Input[Institution Name],$A81),0)</f>
        <v>38254113</v>
      </c>
      <c r="AH81" s="660"/>
      <c r="AI81" s="660"/>
      <c r="AJ81" s="664">
        <f t="shared" si="19"/>
        <v>3098</v>
      </c>
      <c r="AK81" s="665"/>
      <c r="AL81" s="666"/>
      <c r="AM81" s="659">
        <f>ROUND(SUMIFS(Input[Institutional 
Revenue],Input[Institution Name],$A81),0)</f>
        <v>38453182</v>
      </c>
      <c r="AN81" s="660"/>
      <c r="AO81" s="660"/>
      <c r="AP81" s="664">
        <f t="shared" si="20"/>
        <v>3115</v>
      </c>
      <c r="AQ81" s="665"/>
      <c r="AR81" s="666"/>
      <c r="AS81" s="659">
        <f t="shared" si="15"/>
        <v>286185265</v>
      </c>
      <c r="AT81" s="660"/>
      <c r="AU81" s="660"/>
      <c r="AV81" s="664">
        <f t="shared" si="21"/>
        <v>23180</v>
      </c>
      <c r="AW81" s="665"/>
      <c r="AX81" s="666"/>
      <c r="AY81" s="146"/>
    </row>
    <row r="82" spans="1:51" s="148" customFormat="1" ht="27" customHeight="1" x14ac:dyDescent="0.55000000000000004">
      <c r="A82" s="688"/>
      <c r="B82" s="688"/>
      <c r="C82" s="688"/>
      <c r="D82" s="688"/>
      <c r="E82" s="688"/>
      <c r="F82" s="688"/>
      <c r="G82" s="688"/>
      <c r="H82" s="688"/>
      <c r="I82" s="688"/>
      <c r="J82" s="689">
        <f>COUNT($J$46:$J$81)</f>
        <v>36</v>
      </c>
      <c r="K82" s="690"/>
      <c r="L82" s="691">
        <f>SUBTOTAL(109,$L$46:$L$81)</f>
        <v>570938.39999999991</v>
      </c>
      <c r="M82" s="691"/>
      <c r="N82" s="691"/>
      <c r="O82" s="685">
        <f>SUBTOTAL(109,$O$46:$O$81)</f>
        <v>4927529485</v>
      </c>
      <c r="P82" s="686"/>
      <c r="Q82" s="686"/>
      <c r="R82" s="686">
        <f>SUBTOTAL(109,$R$46:$R$81)</f>
        <v>365148</v>
      </c>
      <c r="S82" s="686"/>
      <c r="T82" s="687"/>
      <c r="U82" s="685">
        <f>SUBTOTAL(109,$U$46:$U$81)</f>
        <v>1099080881</v>
      </c>
      <c r="V82" s="686"/>
      <c r="W82" s="686"/>
      <c r="X82" s="686">
        <f>SUBTOTAL(109,$X$46:$X$81)</f>
        <v>47580</v>
      </c>
      <c r="Y82" s="686"/>
      <c r="Z82" s="687"/>
      <c r="AA82" s="685">
        <f>SUBTOTAL(109,$AA$46:$AA$81)</f>
        <v>5122850319</v>
      </c>
      <c r="AB82" s="686"/>
      <c r="AC82" s="686"/>
      <c r="AD82" s="686">
        <f>SUBTOTAL(109,$AD$46:$AD$81)</f>
        <v>287130</v>
      </c>
      <c r="AE82" s="686"/>
      <c r="AF82" s="687"/>
      <c r="AG82" s="685">
        <f>SUBTOTAL(109,$AG$46:$AG$81)</f>
        <v>3240011012</v>
      </c>
      <c r="AH82" s="686"/>
      <c r="AI82" s="686"/>
      <c r="AJ82" s="686">
        <f>SUBTOTAL(109,$AJ$46:$AJ$81)</f>
        <v>185672</v>
      </c>
      <c r="AK82" s="686"/>
      <c r="AL82" s="687"/>
      <c r="AM82" s="685">
        <f>SUBTOTAL(109,$AM$46:$AM$81)</f>
        <v>3422345737</v>
      </c>
      <c r="AN82" s="686"/>
      <c r="AO82" s="686"/>
      <c r="AP82" s="686">
        <f>SUBTOTAL(109,$AP$46:$AP$81)</f>
        <v>156853</v>
      </c>
      <c r="AQ82" s="686"/>
      <c r="AR82" s="687"/>
      <c r="AS82" s="685">
        <f>SUBTOTAL(109,$AS$46:$AS$81)</f>
        <v>17811817434</v>
      </c>
      <c r="AT82" s="686"/>
      <c r="AU82" s="686"/>
      <c r="AV82" s="686">
        <f>SUBTOTAL(109,$AV$46:$AV$81)</f>
        <v>1042383</v>
      </c>
      <c r="AW82" s="686"/>
      <c r="AX82" s="687"/>
      <c r="AY82" s="146"/>
    </row>
    <row r="83" spans="1:51" ht="27" customHeight="1" x14ac:dyDescent="0.55000000000000004">
      <c r="A83" s="637" t="s">
        <v>1818</v>
      </c>
      <c r="B83" s="637"/>
      <c r="C83" s="637"/>
      <c r="D83" s="637"/>
      <c r="E83" s="637"/>
      <c r="F83" s="637"/>
      <c r="G83" s="637"/>
      <c r="H83" s="637"/>
      <c r="I83" s="637"/>
      <c r="J83" s="637"/>
      <c r="K83" s="637"/>
      <c r="L83" s="637"/>
      <c r="M83" s="637"/>
      <c r="N83" s="637"/>
      <c r="O83" s="637"/>
      <c r="P83" s="637"/>
      <c r="Q83" s="637"/>
      <c r="R83" s="637"/>
      <c r="S83" s="637"/>
      <c r="T83" s="637"/>
      <c r="U83" s="637"/>
      <c r="V83" s="637"/>
      <c r="W83" s="637"/>
      <c r="X83" s="637"/>
      <c r="Y83" s="637"/>
      <c r="Z83" s="637"/>
      <c r="AA83" s="637"/>
      <c r="AB83" s="637"/>
      <c r="AC83" s="637"/>
      <c r="AD83" s="637"/>
      <c r="AE83" s="637"/>
      <c r="AF83" s="637"/>
      <c r="AG83" s="637"/>
      <c r="AH83" s="637"/>
      <c r="AI83" s="637"/>
      <c r="AJ83" s="637"/>
      <c r="AK83" s="637"/>
      <c r="AL83" s="637"/>
      <c r="AM83" s="637"/>
      <c r="AN83" s="637"/>
      <c r="AO83" s="637"/>
      <c r="AP83" s="637"/>
      <c r="AQ83" s="637"/>
      <c r="AR83" s="637"/>
      <c r="AS83" s="637"/>
      <c r="AT83" s="637"/>
      <c r="AU83" s="637"/>
      <c r="AV83" s="637"/>
      <c r="AW83" s="637"/>
      <c r="AX83" s="637"/>
      <c r="AY83" s="146"/>
    </row>
    <row r="84" spans="1:51" ht="27" customHeight="1" x14ac:dyDescent="0.55000000000000004">
      <c r="A84" s="146"/>
      <c r="B84" s="146"/>
      <c r="C84" s="146"/>
      <c r="D84" s="146"/>
      <c r="E84" s="146"/>
      <c r="F84" s="146"/>
      <c r="G84" s="146"/>
      <c r="H84" s="146"/>
      <c r="I84" s="146"/>
      <c r="J84" s="146"/>
      <c r="K84" s="146"/>
      <c r="L84" s="146"/>
      <c r="M84" s="146"/>
      <c r="N84" s="146"/>
      <c r="O84" s="146"/>
      <c r="P84" s="146"/>
      <c r="Q84" s="146"/>
      <c r="R84" s="146"/>
      <c r="S84" s="146"/>
      <c r="T84" s="146"/>
      <c r="U84" s="146"/>
      <c r="V84" s="146"/>
      <c r="W84" s="146"/>
      <c r="X84" s="146"/>
      <c r="Y84" s="146"/>
      <c r="Z84" s="146"/>
      <c r="AA84" s="146"/>
      <c r="AB84" s="146"/>
      <c r="AC84" s="146"/>
      <c r="AD84" s="146"/>
      <c r="AE84" s="146"/>
      <c r="AF84" s="146"/>
      <c r="AG84" s="146"/>
      <c r="AH84" s="146"/>
      <c r="AI84" s="146"/>
      <c r="AJ84" s="146"/>
      <c r="AK84" s="146"/>
      <c r="AL84" s="146"/>
      <c r="AM84" s="146"/>
      <c r="AN84" s="146"/>
      <c r="AO84" s="146"/>
      <c r="AP84" s="146"/>
      <c r="AQ84" s="146"/>
      <c r="AR84" s="146"/>
      <c r="AS84" s="146"/>
      <c r="AT84" s="146"/>
      <c r="AU84" s="146"/>
      <c r="AV84" s="146"/>
      <c r="AW84" s="146"/>
      <c r="AX84" s="146"/>
      <c r="AY84" s="146"/>
    </row>
    <row r="87" spans="1:51" x14ac:dyDescent="0.55000000000000004">
      <c r="O87" s="363"/>
      <c r="P87" s="363"/>
      <c r="Q87" s="363"/>
    </row>
    <row r="94" spans="1:51" x14ac:dyDescent="0.55000000000000004">
      <c r="A94" s="364" t="s">
        <v>66</v>
      </c>
      <c r="B94" s="364"/>
      <c r="C94" s="364"/>
      <c r="D94" s="364"/>
      <c r="E94" s="364"/>
      <c r="F94" s="364"/>
      <c r="G94" s="364"/>
      <c r="H94" s="364"/>
      <c r="I94" s="364"/>
    </row>
    <row r="95" spans="1:51" x14ac:dyDescent="0.55000000000000004">
      <c r="A95" s="364" t="s">
        <v>701</v>
      </c>
      <c r="B95" s="364"/>
      <c r="C95" s="364"/>
      <c r="D95" s="364"/>
      <c r="E95" s="364"/>
      <c r="F95" s="364"/>
      <c r="G95" s="364"/>
      <c r="H95" s="364"/>
      <c r="I95" s="364"/>
    </row>
    <row r="96" spans="1:51" x14ac:dyDescent="0.55000000000000004">
      <c r="A96" s="364" t="s">
        <v>700</v>
      </c>
      <c r="B96" s="364"/>
      <c r="C96" s="364"/>
      <c r="D96" s="364"/>
      <c r="E96" s="364"/>
      <c r="F96" s="364"/>
      <c r="G96" s="364"/>
      <c r="H96" s="364"/>
      <c r="I96" s="364"/>
    </row>
    <row r="97" spans="1:9" x14ac:dyDescent="0.55000000000000004">
      <c r="A97" s="364" t="s">
        <v>702</v>
      </c>
      <c r="B97" s="364"/>
      <c r="C97" s="364"/>
      <c r="D97" s="364"/>
      <c r="E97" s="364"/>
      <c r="F97" s="364"/>
      <c r="G97" s="364"/>
      <c r="H97" s="364"/>
      <c r="I97" s="364"/>
    </row>
    <row r="98" spans="1:9" x14ac:dyDescent="0.55000000000000004">
      <c r="A98" s="364" t="s">
        <v>703</v>
      </c>
      <c r="B98" s="364"/>
      <c r="C98" s="364"/>
      <c r="D98" s="364"/>
      <c r="E98" s="364"/>
      <c r="F98" s="364"/>
      <c r="G98" s="364"/>
      <c r="H98" s="364"/>
      <c r="I98" s="364"/>
    </row>
    <row r="99" spans="1:9" x14ac:dyDescent="0.55000000000000004">
      <c r="A99" s="364" t="s">
        <v>704</v>
      </c>
      <c r="B99" s="364"/>
      <c r="C99" s="364"/>
      <c r="D99" s="364"/>
      <c r="E99" s="364"/>
      <c r="F99" s="364"/>
      <c r="G99" s="364"/>
      <c r="H99" s="364"/>
      <c r="I99" s="364"/>
    </row>
    <row r="100" spans="1:9" x14ac:dyDescent="0.55000000000000004">
      <c r="A100" s="364" t="s">
        <v>708</v>
      </c>
      <c r="B100" s="364"/>
      <c r="C100" s="364"/>
      <c r="D100" s="364"/>
      <c r="E100" s="364"/>
      <c r="F100" s="364"/>
      <c r="G100" s="364"/>
      <c r="H100" s="364"/>
      <c r="I100" s="364"/>
    </row>
    <row r="101" spans="1:9" x14ac:dyDescent="0.55000000000000004">
      <c r="A101" s="364" t="s">
        <v>705</v>
      </c>
      <c r="B101" s="364"/>
      <c r="C101" s="364"/>
      <c r="D101" s="364"/>
      <c r="E101" s="364"/>
      <c r="F101" s="364"/>
      <c r="G101" s="364"/>
      <c r="H101" s="364"/>
      <c r="I101" s="364"/>
    </row>
    <row r="102" spans="1:9" x14ac:dyDescent="0.55000000000000004">
      <c r="A102" s="364" t="s">
        <v>711</v>
      </c>
      <c r="B102" s="364"/>
      <c r="C102" s="364"/>
      <c r="D102" s="364"/>
      <c r="E102" s="364"/>
      <c r="F102" s="364"/>
      <c r="G102" s="364"/>
      <c r="H102" s="364"/>
      <c r="I102" s="364"/>
    </row>
    <row r="103" spans="1:9" x14ac:dyDescent="0.55000000000000004">
      <c r="A103" s="364" t="s">
        <v>706</v>
      </c>
      <c r="B103" s="364"/>
      <c r="C103" s="364"/>
      <c r="D103" s="364"/>
      <c r="E103" s="364"/>
      <c r="F103" s="364"/>
      <c r="G103" s="364"/>
      <c r="H103" s="364"/>
      <c r="I103" s="364"/>
    </row>
    <row r="104" spans="1:9" x14ac:dyDescent="0.55000000000000004">
      <c r="A104" s="364" t="s">
        <v>707</v>
      </c>
      <c r="B104" s="364"/>
      <c r="C104" s="364"/>
      <c r="D104" s="364"/>
      <c r="E104" s="364"/>
      <c r="F104" s="364"/>
      <c r="G104" s="364"/>
      <c r="H104" s="364"/>
      <c r="I104" s="364"/>
    </row>
  </sheetData>
  <sheetProtection algorithmName="SHA-512" hashValue="fGziR2I8GxlZqle4ZPv0JeQCwGN3W/xZc3yLvAwUQgUUt5ZcjUMzOgmgD+ejAAFSVUizn0C7Ynmfxkw88ZAIfw==" saltValue="/l7b7DrFXQnNNSeZFrO05Q==" spinCount="100000" sheet="1" objects="1" scenarios="1" formatColumns="0" formatRows="0"/>
  <mergeCells count="1002">
    <mergeCell ref="A3:AX3"/>
    <mergeCell ref="J18:K18"/>
    <mergeCell ref="J19:K19"/>
    <mergeCell ref="J20:K20"/>
    <mergeCell ref="J21:K21"/>
    <mergeCell ref="J22:K22"/>
    <mergeCell ref="A26:AV26"/>
    <mergeCell ref="A5:AV5"/>
    <mergeCell ref="A42:AV42"/>
    <mergeCell ref="J9:K9"/>
    <mergeCell ref="J10:K10"/>
    <mergeCell ref="J11:K11"/>
    <mergeCell ref="J12:K12"/>
    <mergeCell ref="J13:K13"/>
    <mergeCell ref="J14:K14"/>
    <mergeCell ref="J15:K15"/>
    <mergeCell ref="J16:K16"/>
    <mergeCell ref="J17:K17"/>
    <mergeCell ref="AS9:AU9"/>
    <mergeCell ref="L10:N10"/>
    <mergeCell ref="O10:Q10"/>
    <mergeCell ref="R10:T10"/>
    <mergeCell ref="U10:W10"/>
    <mergeCell ref="X10:Z10"/>
    <mergeCell ref="AA10:AC10"/>
    <mergeCell ref="AD10:AF10"/>
    <mergeCell ref="AG10:AI10"/>
    <mergeCell ref="AJ10:AL10"/>
    <mergeCell ref="AM10:AO10"/>
    <mergeCell ref="AP10:AR10"/>
    <mergeCell ref="AS10:AU10"/>
    <mergeCell ref="AA9:AC9"/>
    <mergeCell ref="AD9:AF9"/>
    <mergeCell ref="AG9:AI9"/>
    <mergeCell ref="AJ9:AL9"/>
    <mergeCell ref="AM9:AO9"/>
    <mergeCell ref="L9:N9"/>
    <mergeCell ref="O9:Q9"/>
    <mergeCell ref="R9:T9"/>
    <mergeCell ref="U9:W9"/>
    <mergeCell ref="X9:Z9"/>
    <mergeCell ref="L12:N12"/>
    <mergeCell ref="O12:Q12"/>
    <mergeCell ref="R12:T12"/>
    <mergeCell ref="U12:W12"/>
    <mergeCell ref="X12:Z12"/>
    <mergeCell ref="AA12:AC12"/>
    <mergeCell ref="AD12:AF12"/>
    <mergeCell ref="AG12:AI12"/>
    <mergeCell ref="AJ12:AL12"/>
    <mergeCell ref="AM12:AO12"/>
    <mergeCell ref="AP12:AR12"/>
    <mergeCell ref="AS12:AU12"/>
    <mergeCell ref="AA11:AC11"/>
    <mergeCell ref="AD11:AF11"/>
    <mergeCell ref="AG11:AI11"/>
    <mergeCell ref="AJ11:AL11"/>
    <mergeCell ref="AM11:AO11"/>
    <mergeCell ref="L11:N11"/>
    <mergeCell ref="O11:Q11"/>
    <mergeCell ref="R11:T11"/>
    <mergeCell ref="U11:W11"/>
    <mergeCell ref="X11:Z11"/>
    <mergeCell ref="L14:N14"/>
    <mergeCell ref="O14:Q14"/>
    <mergeCell ref="R14:T14"/>
    <mergeCell ref="U14:W14"/>
    <mergeCell ref="X14:Z14"/>
    <mergeCell ref="AA14:AC14"/>
    <mergeCell ref="AD14:AF14"/>
    <mergeCell ref="AG14:AI14"/>
    <mergeCell ref="AJ14:AL14"/>
    <mergeCell ref="AM14:AO14"/>
    <mergeCell ref="AP14:AR14"/>
    <mergeCell ref="AS14:AU14"/>
    <mergeCell ref="AA13:AC13"/>
    <mergeCell ref="AD13:AF13"/>
    <mergeCell ref="AG13:AI13"/>
    <mergeCell ref="AJ13:AL13"/>
    <mergeCell ref="AM13:AO13"/>
    <mergeCell ref="L13:N13"/>
    <mergeCell ref="O13:Q13"/>
    <mergeCell ref="R13:T13"/>
    <mergeCell ref="U13:W13"/>
    <mergeCell ref="X13:Z13"/>
    <mergeCell ref="L16:N16"/>
    <mergeCell ref="O16:Q16"/>
    <mergeCell ref="R16:T16"/>
    <mergeCell ref="U16:W16"/>
    <mergeCell ref="X16:Z16"/>
    <mergeCell ref="AA16:AC16"/>
    <mergeCell ref="AD16:AF16"/>
    <mergeCell ref="AG16:AI16"/>
    <mergeCell ref="AJ16:AL16"/>
    <mergeCell ref="AM16:AO16"/>
    <mergeCell ref="AP16:AR16"/>
    <mergeCell ref="AS16:AU16"/>
    <mergeCell ref="AA15:AC15"/>
    <mergeCell ref="AD15:AF15"/>
    <mergeCell ref="AG15:AI15"/>
    <mergeCell ref="AJ15:AL15"/>
    <mergeCell ref="AM15:AO15"/>
    <mergeCell ref="L15:N15"/>
    <mergeCell ref="O15:Q15"/>
    <mergeCell ref="R15:T15"/>
    <mergeCell ref="U15:W15"/>
    <mergeCell ref="X15:Z15"/>
    <mergeCell ref="O19:Q19"/>
    <mergeCell ref="R19:T19"/>
    <mergeCell ref="U19:W19"/>
    <mergeCell ref="X19:Z19"/>
    <mergeCell ref="L18:N18"/>
    <mergeCell ref="O18:Q18"/>
    <mergeCell ref="R18:T18"/>
    <mergeCell ref="U18:W18"/>
    <mergeCell ref="X18:Z18"/>
    <mergeCell ref="AA18:AC18"/>
    <mergeCell ref="AD18:AF18"/>
    <mergeCell ref="AG18:AI18"/>
    <mergeCell ref="AJ18:AL18"/>
    <mergeCell ref="AM18:AO18"/>
    <mergeCell ref="AP18:AR18"/>
    <mergeCell ref="AS18:AU18"/>
    <mergeCell ref="AA17:AC17"/>
    <mergeCell ref="AD17:AF17"/>
    <mergeCell ref="AG17:AI17"/>
    <mergeCell ref="AJ17:AL17"/>
    <mergeCell ref="AM17:AO17"/>
    <mergeCell ref="L17:N17"/>
    <mergeCell ref="O17:Q17"/>
    <mergeCell ref="R17:T17"/>
    <mergeCell ref="U17:W17"/>
    <mergeCell ref="X17:Z17"/>
    <mergeCell ref="A28:I29"/>
    <mergeCell ref="J28:K29"/>
    <mergeCell ref="AP23:AR23"/>
    <mergeCell ref="AS23:AU23"/>
    <mergeCell ref="A7:I8"/>
    <mergeCell ref="J7:K8"/>
    <mergeCell ref="L7:N8"/>
    <mergeCell ref="AA23:AC23"/>
    <mergeCell ref="AD23:AF23"/>
    <mergeCell ref="AG23:AI23"/>
    <mergeCell ref="AJ23:AL23"/>
    <mergeCell ref="AM23:AO23"/>
    <mergeCell ref="L23:N23"/>
    <mergeCell ref="O23:Q23"/>
    <mergeCell ref="R23:T23"/>
    <mergeCell ref="U23:W23"/>
    <mergeCell ref="X23:Z23"/>
    <mergeCell ref="AP21:AR21"/>
    <mergeCell ref="AS21:AU21"/>
    <mergeCell ref="L22:N22"/>
    <mergeCell ref="O22:Q22"/>
    <mergeCell ref="R22:T22"/>
    <mergeCell ref="U22:W22"/>
    <mergeCell ref="X22:Z22"/>
    <mergeCell ref="AA22:AC22"/>
    <mergeCell ref="AD22:AF22"/>
    <mergeCell ref="AG22:AI22"/>
    <mergeCell ref="AJ22:AL22"/>
    <mergeCell ref="AM22:AO22"/>
    <mergeCell ref="AP22:AR22"/>
    <mergeCell ref="AS22:AU22"/>
    <mergeCell ref="AA21:AC21"/>
    <mergeCell ref="AV9:AX9"/>
    <mergeCell ref="AV10:AX10"/>
    <mergeCell ref="AV11:AX11"/>
    <mergeCell ref="AV12:AX12"/>
    <mergeCell ref="AG28:AL28"/>
    <mergeCell ref="AM28:AR28"/>
    <mergeCell ref="AS28:AX28"/>
    <mergeCell ref="AG29:AI29"/>
    <mergeCell ref="AJ29:AL29"/>
    <mergeCell ref="AM29:AO29"/>
    <mergeCell ref="AP29:AR29"/>
    <mergeCell ref="AS29:AU29"/>
    <mergeCell ref="AV29:AX29"/>
    <mergeCell ref="AG21:AI21"/>
    <mergeCell ref="AJ21:AL21"/>
    <mergeCell ref="AM21:AO21"/>
    <mergeCell ref="AP19:AR19"/>
    <mergeCell ref="AS19:AU19"/>
    <mergeCell ref="AP17:AR17"/>
    <mergeCell ref="AS17:AU17"/>
    <mergeCell ref="AP15:AR15"/>
    <mergeCell ref="AS15:AU15"/>
    <mergeCell ref="AP13:AR13"/>
    <mergeCell ref="AS13:AU13"/>
    <mergeCell ref="AP11:AR11"/>
    <mergeCell ref="AS11:AU11"/>
    <mergeCell ref="AP9:AR9"/>
    <mergeCell ref="AG20:AI20"/>
    <mergeCell ref="AJ20:AL20"/>
    <mergeCell ref="AM20:AO20"/>
    <mergeCell ref="AP20:AR20"/>
    <mergeCell ref="AS20:AU20"/>
    <mergeCell ref="AV18:AX18"/>
    <mergeCell ref="AV19:AX19"/>
    <mergeCell ref="AV20:AX20"/>
    <mergeCell ref="AV21:AX21"/>
    <mergeCell ref="AV22:AX22"/>
    <mergeCell ref="U28:Z28"/>
    <mergeCell ref="AA28:AF28"/>
    <mergeCell ref="AD29:AF29"/>
    <mergeCell ref="AD21:AF21"/>
    <mergeCell ref="L21:N21"/>
    <mergeCell ref="O21:Q21"/>
    <mergeCell ref="R21:T21"/>
    <mergeCell ref="U21:W21"/>
    <mergeCell ref="X21:Z21"/>
    <mergeCell ref="L20:N20"/>
    <mergeCell ref="O20:Q20"/>
    <mergeCell ref="AV13:AX13"/>
    <mergeCell ref="AV14:AX14"/>
    <mergeCell ref="AV15:AX15"/>
    <mergeCell ref="AV16:AX16"/>
    <mergeCell ref="AV17:AX17"/>
    <mergeCell ref="R20:T20"/>
    <mergeCell ref="U20:W20"/>
    <mergeCell ref="X20:Z20"/>
    <mergeCell ref="AA20:AC20"/>
    <mergeCell ref="AD20:AF20"/>
    <mergeCell ref="AA19:AC19"/>
    <mergeCell ref="AD19:AF19"/>
    <mergeCell ref="AG19:AI19"/>
    <mergeCell ref="AJ19:AL19"/>
    <mergeCell ref="AM19:AO19"/>
    <mergeCell ref="L19:N19"/>
    <mergeCell ref="X31:Z31"/>
    <mergeCell ref="AA31:AC31"/>
    <mergeCell ref="AD31:AF31"/>
    <mergeCell ref="AG31:AI31"/>
    <mergeCell ref="AJ31:AL31"/>
    <mergeCell ref="J31:K31"/>
    <mergeCell ref="L31:N31"/>
    <mergeCell ref="O31:Q31"/>
    <mergeCell ref="R31:T31"/>
    <mergeCell ref="U31:W31"/>
    <mergeCell ref="AV23:AX23"/>
    <mergeCell ref="J30:K30"/>
    <mergeCell ref="L30:N30"/>
    <mergeCell ref="O30:Q30"/>
    <mergeCell ref="R30:T30"/>
    <mergeCell ref="U30:W30"/>
    <mergeCell ref="X30:Z30"/>
    <mergeCell ref="AA30:AC30"/>
    <mergeCell ref="AD30:AF30"/>
    <mergeCell ref="AG30:AI30"/>
    <mergeCell ref="AJ30:AL30"/>
    <mergeCell ref="AM30:AO30"/>
    <mergeCell ref="AP30:AR30"/>
    <mergeCell ref="AS30:AU30"/>
    <mergeCell ref="AV30:AX30"/>
    <mergeCell ref="O28:T28"/>
    <mergeCell ref="AS32:AU32"/>
    <mergeCell ref="AV32:AX32"/>
    <mergeCell ref="J33:K33"/>
    <mergeCell ref="L33:N33"/>
    <mergeCell ref="O33:Q33"/>
    <mergeCell ref="R33:T33"/>
    <mergeCell ref="U33:W33"/>
    <mergeCell ref="X33:Z33"/>
    <mergeCell ref="AA33:AC33"/>
    <mergeCell ref="AD33:AF33"/>
    <mergeCell ref="AG33:AI33"/>
    <mergeCell ref="AJ33:AL33"/>
    <mergeCell ref="AM33:AO33"/>
    <mergeCell ref="AP33:AR33"/>
    <mergeCell ref="AS33:AU33"/>
    <mergeCell ref="AV33:AX33"/>
    <mergeCell ref="AM31:AO31"/>
    <mergeCell ref="AP31:AR31"/>
    <mergeCell ref="AS31:AU31"/>
    <mergeCell ref="AV31:AX31"/>
    <mergeCell ref="J32:K32"/>
    <mergeCell ref="L32:N32"/>
    <mergeCell ref="O32:Q32"/>
    <mergeCell ref="R32:T32"/>
    <mergeCell ref="U32:W32"/>
    <mergeCell ref="X32:Z32"/>
    <mergeCell ref="AA32:AC32"/>
    <mergeCell ref="AD32:AF32"/>
    <mergeCell ref="AG32:AI32"/>
    <mergeCell ref="AJ32:AL32"/>
    <mergeCell ref="AM32:AO32"/>
    <mergeCell ref="AP32:AR32"/>
    <mergeCell ref="AM34:AO34"/>
    <mergeCell ref="AP34:AR34"/>
    <mergeCell ref="AS34:AU34"/>
    <mergeCell ref="AV34:AX34"/>
    <mergeCell ref="J35:K35"/>
    <mergeCell ref="L35:N35"/>
    <mergeCell ref="O35:Q35"/>
    <mergeCell ref="R35:T35"/>
    <mergeCell ref="U35:W35"/>
    <mergeCell ref="X35:Z35"/>
    <mergeCell ref="AA35:AC35"/>
    <mergeCell ref="AD35:AF35"/>
    <mergeCell ref="AG35:AI35"/>
    <mergeCell ref="AJ35:AL35"/>
    <mergeCell ref="AM35:AO35"/>
    <mergeCell ref="AP35:AR35"/>
    <mergeCell ref="AD34:AF34"/>
    <mergeCell ref="AG34:AI34"/>
    <mergeCell ref="AJ34:AL34"/>
    <mergeCell ref="J34:K34"/>
    <mergeCell ref="L34:N34"/>
    <mergeCell ref="O34:Q34"/>
    <mergeCell ref="R34:T34"/>
    <mergeCell ref="U34:W34"/>
    <mergeCell ref="X34:Z34"/>
    <mergeCell ref="AA34:AC34"/>
    <mergeCell ref="AA38:AC38"/>
    <mergeCell ref="AD38:AF38"/>
    <mergeCell ref="AG38:AI38"/>
    <mergeCell ref="AJ38:AL38"/>
    <mergeCell ref="AM38:AO38"/>
    <mergeCell ref="AP38:AR38"/>
    <mergeCell ref="X37:Z37"/>
    <mergeCell ref="AS35:AU35"/>
    <mergeCell ref="AV35:AX35"/>
    <mergeCell ref="J36:K36"/>
    <mergeCell ref="L36:N36"/>
    <mergeCell ref="O36:Q36"/>
    <mergeCell ref="R36:T36"/>
    <mergeCell ref="U36:W36"/>
    <mergeCell ref="X36:Z36"/>
    <mergeCell ref="AA36:AC36"/>
    <mergeCell ref="AD36:AF36"/>
    <mergeCell ref="AG36:AI36"/>
    <mergeCell ref="AJ36:AL36"/>
    <mergeCell ref="AM36:AO36"/>
    <mergeCell ref="AP36:AR36"/>
    <mergeCell ref="AS36:AU36"/>
    <mergeCell ref="AV36:AX36"/>
    <mergeCell ref="J37:K37"/>
    <mergeCell ref="L37:N37"/>
    <mergeCell ref="O37:Q37"/>
    <mergeCell ref="R37:T37"/>
    <mergeCell ref="U37:W37"/>
    <mergeCell ref="X82:Z82"/>
    <mergeCell ref="AA82:AC82"/>
    <mergeCell ref="AD82:AF82"/>
    <mergeCell ref="AG82:AI82"/>
    <mergeCell ref="AJ82:AL82"/>
    <mergeCell ref="AM82:AO82"/>
    <mergeCell ref="AP82:AR82"/>
    <mergeCell ref="AV38:AX38"/>
    <mergeCell ref="J23:K23"/>
    <mergeCell ref="A23:I23"/>
    <mergeCell ref="A39:I39"/>
    <mergeCell ref="J39:K39"/>
    <mergeCell ref="L39:N39"/>
    <mergeCell ref="O39:Q39"/>
    <mergeCell ref="R39:T39"/>
    <mergeCell ref="U39:W39"/>
    <mergeCell ref="X39:Z39"/>
    <mergeCell ref="AA39:AC39"/>
    <mergeCell ref="AD39:AF39"/>
    <mergeCell ref="AG39:AI39"/>
    <mergeCell ref="AJ39:AL39"/>
    <mergeCell ref="AM39:AO39"/>
    <mergeCell ref="AM37:AO37"/>
    <mergeCell ref="AP37:AR37"/>
    <mergeCell ref="AS37:AU37"/>
    <mergeCell ref="AV37:AX37"/>
    <mergeCell ref="J38:K38"/>
    <mergeCell ref="L38:N38"/>
    <mergeCell ref="O38:Q38"/>
    <mergeCell ref="R38:T38"/>
    <mergeCell ref="U38:W38"/>
    <mergeCell ref="X38:Z38"/>
    <mergeCell ref="AS82:AU82"/>
    <mergeCell ref="AV82:AX82"/>
    <mergeCell ref="A9:I9"/>
    <mergeCell ref="A10:I10"/>
    <mergeCell ref="A11:I11"/>
    <mergeCell ref="A12:I12"/>
    <mergeCell ref="A13:I13"/>
    <mergeCell ref="A14:I14"/>
    <mergeCell ref="A15:I15"/>
    <mergeCell ref="A16:I16"/>
    <mergeCell ref="A17:I17"/>
    <mergeCell ref="A18:I18"/>
    <mergeCell ref="A19:I19"/>
    <mergeCell ref="A20:I20"/>
    <mergeCell ref="A21:I21"/>
    <mergeCell ref="A22:I22"/>
    <mergeCell ref="AP39:AR39"/>
    <mergeCell ref="AS39:AU39"/>
    <mergeCell ref="AV39:AX39"/>
    <mergeCell ref="A82:I82"/>
    <mergeCell ref="J82:K82"/>
    <mergeCell ref="L82:N82"/>
    <mergeCell ref="O82:Q82"/>
    <mergeCell ref="R82:T82"/>
    <mergeCell ref="U82:W82"/>
    <mergeCell ref="AM46:AO46"/>
    <mergeCell ref="AP46:AR46"/>
    <mergeCell ref="AS46:AU46"/>
    <mergeCell ref="AV46:AX46"/>
    <mergeCell ref="A47:I47"/>
    <mergeCell ref="J47:K47"/>
    <mergeCell ref="L47:N47"/>
    <mergeCell ref="O47:Q47"/>
    <mergeCell ref="R47:T47"/>
    <mergeCell ref="U47:W47"/>
    <mergeCell ref="X47:Z47"/>
    <mergeCell ref="AA47:AC47"/>
    <mergeCell ref="AD47:AF47"/>
    <mergeCell ref="AG47:AI47"/>
    <mergeCell ref="AJ47:AL47"/>
    <mergeCell ref="AM47:AO47"/>
    <mergeCell ref="X46:Z46"/>
    <mergeCell ref="AA46:AC46"/>
    <mergeCell ref="AD46:AF46"/>
    <mergeCell ref="AG46:AI46"/>
    <mergeCell ref="AJ46:AL46"/>
    <mergeCell ref="J46:K46"/>
    <mergeCell ref="L46:N46"/>
    <mergeCell ref="O46:Q46"/>
    <mergeCell ref="R46:T46"/>
    <mergeCell ref="U46:W46"/>
    <mergeCell ref="A46:I46"/>
    <mergeCell ref="AS48:AU48"/>
    <mergeCell ref="AV48:AX48"/>
    <mergeCell ref="A49:I49"/>
    <mergeCell ref="J49:K49"/>
    <mergeCell ref="L49:N49"/>
    <mergeCell ref="O49:Q49"/>
    <mergeCell ref="R49:T49"/>
    <mergeCell ref="U49:W49"/>
    <mergeCell ref="X49:Z49"/>
    <mergeCell ref="AA49:AC49"/>
    <mergeCell ref="AD49:AF49"/>
    <mergeCell ref="AG49:AI49"/>
    <mergeCell ref="AJ49:AL49"/>
    <mergeCell ref="AM49:AO49"/>
    <mergeCell ref="AP49:AR49"/>
    <mergeCell ref="AS49:AU49"/>
    <mergeCell ref="AP47:AR47"/>
    <mergeCell ref="AS47:AU47"/>
    <mergeCell ref="AV47:AX47"/>
    <mergeCell ref="A48:I48"/>
    <mergeCell ref="J48:K48"/>
    <mergeCell ref="L48:N48"/>
    <mergeCell ref="O48:Q48"/>
    <mergeCell ref="R48:T48"/>
    <mergeCell ref="U48:W48"/>
    <mergeCell ref="X48:Z48"/>
    <mergeCell ref="AA48:AC48"/>
    <mergeCell ref="AD48:AF48"/>
    <mergeCell ref="AG48:AI48"/>
    <mergeCell ref="AJ48:AL48"/>
    <mergeCell ref="AM48:AO48"/>
    <mergeCell ref="AP48:AR48"/>
    <mergeCell ref="AJ51:AL51"/>
    <mergeCell ref="AM51:AO51"/>
    <mergeCell ref="AP51:AR51"/>
    <mergeCell ref="AS51:AU51"/>
    <mergeCell ref="AV51:AX51"/>
    <mergeCell ref="U51:W51"/>
    <mergeCell ref="X51:Z51"/>
    <mergeCell ref="AA51:AC51"/>
    <mergeCell ref="AD51:AF51"/>
    <mergeCell ref="AG51:AI51"/>
    <mergeCell ref="A51:I51"/>
    <mergeCell ref="J51:K51"/>
    <mergeCell ref="L51:N51"/>
    <mergeCell ref="O51:Q51"/>
    <mergeCell ref="R51:T51"/>
    <mergeCell ref="AV49:AX49"/>
    <mergeCell ref="A50:I50"/>
    <mergeCell ref="J50:K50"/>
    <mergeCell ref="L50:N50"/>
    <mergeCell ref="O50:Q50"/>
    <mergeCell ref="R50:T50"/>
    <mergeCell ref="U50:W50"/>
    <mergeCell ref="X50:Z50"/>
    <mergeCell ref="AA50:AC50"/>
    <mergeCell ref="AD50:AF50"/>
    <mergeCell ref="AG50:AI50"/>
    <mergeCell ref="AJ50:AL50"/>
    <mergeCell ref="AM50:AO50"/>
    <mergeCell ref="AP50:AR50"/>
    <mergeCell ref="AS50:AU50"/>
    <mergeCell ref="AV50:AX50"/>
    <mergeCell ref="AJ53:AL53"/>
    <mergeCell ref="AM53:AO53"/>
    <mergeCell ref="AP53:AR53"/>
    <mergeCell ref="AS53:AU53"/>
    <mergeCell ref="AV53:AX53"/>
    <mergeCell ref="U53:W53"/>
    <mergeCell ref="X53:Z53"/>
    <mergeCell ref="AA53:AC53"/>
    <mergeCell ref="AD53:AF53"/>
    <mergeCell ref="AG53:AI53"/>
    <mergeCell ref="A53:I53"/>
    <mergeCell ref="J53:K53"/>
    <mergeCell ref="L53:N53"/>
    <mergeCell ref="O53:Q53"/>
    <mergeCell ref="R53:T53"/>
    <mergeCell ref="AJ52:AL52"/>
    <mergeCell ref="AM52:AO52"/>
    <mergeCell ref="AP52:AR52"/>
    <mergeCell ref="AS52:AU52"/>
    <mergeCell ref="AV52:AX52"/>
    <mergeCell ref="U52:W52"/>
    <mergeCell ref="X52:Z52"/>
    <mergeCell ref="AA52:AC52"/>
    <mergeCell ref="AD52:AF52"/>
    <mergeCell ref="AG52:AI52"/>
    <mergeCell ref="A52:I52"/>
    <mergeCell ref="J52:K52"/>
    <mergeCell ref="L52:N52"/>
    <mergeCell ref="O52:Q52"/>
    <mergeCell ref="R52:T52"/>
    <mergeCell ref="AJ55:AL55"/>
    <mergeCell ref="AM55:AO55"/>
    <mergeCell ref="AP55:AR55"/>
    <mergeCell ref="AS55:AU55"/>
    <mergeCell ref="AV55:AX55"/>
    <mergeCell ref="U55:W55"/>
    <mergeCell ref="X55:Z55"/>
    <mergeCell ref="AA55:AC55"/>
    <mergeCell ref="AD55:AF55"/>
    <mergeCell ref="AG55:AI55"/>
    <mergeCell ref="A55:I55"/>
    <mergeCell ref="J55:K55"/>
    <mergeCell ref="L55:N55"/>
    <mergeCell ref="O55:Q55"/>
    <mergeCell ref="R55:T55"/>
    <mergeCell ref="AJ54:AL54"/>
    <mergeCell ref="AM54:AO54"/>
    <mergeCell ref="AP54:AR54"/>
    <mergeCell ref="AS54:AU54"/>
    <mergeCell ref="AV54:AX54"/>
    <mergeCell ref="U54:W54"/>
    <mergeCell ref="X54:Z54"/>
    <mergeCell ref="AA54:AC54"/>
    <mergeCell ref="AD54:AF54"/>
    <mergeCell ref="AG54:AI54"/>
    <mergeCell ref="A54:I54"/>
    <mergeCell ref="J54:K54"/>
    <mergeCell ref="L54:N54"/>
    <mergeCell ref="O54:Q54"/>
    <mergeCell ref="R54:T54"/>
    <mergeCell ref="AJ57:AL57"/>
    <mergeCell ref="AM57:AO57"/>
    <mergeCell ref="AP57:AR57"/>
    <mergeCell ref="AS57:AU57"/>
    <mergeCell ref="AV57:AX57"/>
    <mergeCell ref="U57:W57"/>
    <mergeCell ref="X57:Z57"/>
    <mergeCell ref="AA57:AC57"/>
    <mergeCell ref="AD57:AF57"/>
    <mergeCell ref="AG57:AI57"/>
    <mergeCell ref="A57:I57"/>
    <mergeCell ref="J57:K57"/>
    <mergeCell ref="L57:N57"/>
    <mergeCell ref="O57:Q57"/>
    <mergeCell ref="R57:T57"/>
    <mergeCell ref="AJ56:AL56"/>
    <mergeCell ref="AM56:AO56"/>
    <mergeCell ref="AP56:AR56"/>
    <mergeCell ref="AS56:AU56"/>
    <mergeCell ref="AV56:AX56"/>
    <mergeCell ref="U56:W56"/>
    <mergeCell ref="X56:Z56"/>
    <mergeCell ref="AA56:AC56"/>
    <mergeCell ref="AD56:AF56"/>
    <mergeCell ref="AG56:AI56"/>
    <mergeCell ref="A56:I56"/>
    <mergeCell ref="J56:K56"/>
    <mergeCell ref="L56:N56"/>
    <mergeCell ref="O56:Q56"/>
    <mergeCell ref="R56:T56"/>
    <mergeCell ref="AJ59:AL59"/>
    <mergeCell ref="AM59:AO59"/>
    <mergeCell ref="AP59:AR59"/>
    <mergeCell ref="AS59:AU59"/>
    <mergeCell ref="AV59:AX59"/>
    <mergeCell ref="U59:W59"/>
    <mergeCell ref="X59:Z59"/>
    <mergeCell ref="AA59:AC59"/>
    <mergeCell ref="AD59:AF59"/>
    <mergeCell ref="AG59:AI59"/>
    <mergeCell ref="A59:I59"/>
    <mergeCell ref="J59:K59"/>
    <mergeCell ref="L59:N59"/>
    <mergeCell ref="O59:Q59"/>
    <mergeCell ref="R59:T59"/>
    <mergeCell ref="AJ58:AL58"/>
    <mergeCell ref="AM58:AO58"/>
    <mergeCell ref="AP58:AR58"/>
    <mergeCell ref="AS58:AU58"/>
    <mergeCell ref="AV58:AX58"/>
    <mergeCell ref="U58:W58"/>
    <mergeCell ref="X58:Z58"/>
    <mergeCell ref="AA58:AC58"/>
    <mergeCell ref="AD58:AF58"/>
    <mergeCell ref="AG58:AI58"/>
    <mergeCell ref="A58:I58"/>
    <mergeCell ref="J58:K58"/>
    <mergeCell ref="L58:N58"/>
    <mergeCell ref="O58:Q58"/>
    <mergeCell ref="R58:T58"/>
    <mergeCell ref="AJ61:AL61"/>
    <mergeCell ref="AM61:AO61"/>
    <mergeCell ref="AP61:AR61"/>
    <mergeCell ref="AS61:AU61"/>
    <mergeCell ref="AV61:AX61"/>
    <mergeCell ref="U61:W61"/>
    <mergeCell ref="X61:Z61"/>
    <mergeCell ref="AA61:AC61"/>
    <mergeCell ref="AD61:AF61"/>
    <mergeCell ref="AG61:AI61"/>
    <mergeCell ref="A61:I61"/>
    <mergeCell ref="J61:K61"/>
    <mergeCell ref="L61:N61"/>
    <mergeCell ref="O61:Q61"/>
    <mergeCell ref="R61:T61"/>
    <mergeCell ref="AJ60:AL60"/>
    <mergeCell ref="AM60:AO60"/>
    <mergeCell ref="AP60:AR60"/>
    <mergeCell ref="AS60:AU60"/>
    <mergeCell ref="AV60:AX60"/>
    <mergeCell ref="U60:W60"/>
    <mergeCell ref="X60:Z60"/>
    <mergeCell ref="AA60:AC60"/>
    <mergeCell ref="AD60:AF60"/>
    <mergeCell ref="AG60:AI60"/>
    <mergeCell ref="A60:I60"/>
    <mergeCell ref="J60:K60"/>
    <mergeCell ref="L60:N60"/>
    <mergeCell ref="O60:Q60"/>
    <mergeCell ref="R60:T60"/>
    <mergeCell ref="AJ63:AL63"/>
    <mergeCell ref="AM63:AO63"/>
    <mergeCell ref="AP63:AR63"/>
    <mergeCell ref="AS63:AU63"/>
    <mergeCell ref="AV63:AX63"/>
    <mergeCell ref="U63:W63"/>
    <mergeCell ref="X63:Z63"/>
    <mergeCell ref="AA63:AC63"/>
    <mergeCell ref="AD63:AF63"/>
    <mergeCell ref="AG63:AI63"/>
    <mergeCell ref="A63:I63"/>
    <mergeCell ref="J63:K63"/>
    <mergeCell ref="L63:N63"/>
    <mergeCell ref="O63:Q63"/>
    <mergeCell ref="R63:T63"/>
    <mergeCell ref="AJ62:AL62"/>
    <mergeCell ref="AM62:AO62"/>
    <mergeCell ref="AP62:AR62"/>
    <mergeCell ref="AS62:AU62"/>
    <mergeCell ref="AV62:AX62"/>
    <mergeCell ref="U62:W62"/>
    <mergeCell ref="X62:Z62"/>
    <mergeCell ref="AA62:AC62"/>
    <mergeCell ref="AD62:AF62"/>
    <mergeCell ref="AG62:AI62"/>
    <mergeCell ref="A62:I62"/>
    <mergeCell ref="J62:K62"/>
    <mergeCell ref="L62:N62"/>
    <mergeCell ref="O62:Q62"/>
    <mergeCell ref="R62:T62"/>
    <mergeCell ref="AJ65:AL65"/>
    <mergeCell ref="AM65:AO65"/>
    <mergeCell ref="AP65:AR65"/>
    <mergeCell ref="AS65:AU65"/>
    <mergeCell ref="AV65:AX65"/>
    <mergeCell ref="U65:W65"/>
    <mergeCell ref="X65:Z65"/>
    <mergeCell ref="AA65:AC65"/>
    <mergeCell ref="AD65:AF65"/>
    <mergeCell ref="AG65:AI65"/>
    <mergeCell ref="A65:I65"/>
    <mergeCell ref="J65:K65"/>
    <mergeCell ref="L65:N65"/>
    <mergeCell ref="O65:Q65"/>
    <mergeCell ref="R65:T65"/>
    <mergeCell ref="AJ64:AL64"/>
    <mergeCell ref="AM64:AO64"/>
    <mergeCell ref="AP64:AR64"/>
    <mergeCell ref="AS64:AU64"/>
    <mergeCell ref="AV64:AX64"/>
    <mergeCell ref="U64:W64"/>
    <mergeCell ref="X64:Z64"/>
    <mergeCell ref="AA64:AC64"/>
    <mergeCell ref="AD64:AF64"/>
    <mergeCell ref="AG64:AI64"/>
    <mergeCell ref="A64:I64"/>
    <mergeCell ref="J64:K64"/>
    <mergeCell ref="L64:N64"/>
    <mergeCell ref="O64:Q64"/>
    <mergeCell ref="R64:T64"/>
    <mergeCell ref="AJ67:AL67"/>
    <mergeCell ref="AM67:AO67"/>
    <mergeCell ref="AP67:AR67"/>
    <mergeCell ref="AS67:AU67"/>
    <mergeCell ref="AV67:AX67"/>
    <mergeCell ref="U67:W67"/>
    <mergeCell ref="X67:Z67"/>
    <mergeCell ref="AA67:AC67"/>
    <mergeCell ref="AD67:AF67"/>
    <mergeCell ref="AG67:AI67"/>
    <mergeCell ref="A67:I67"/>
    <mergeCell ref="J67:K67"/>
    <mergeCell ref="L67:N67"/>
    <mergeCell ref="O67:Q67"/>
    <mergeCell ref="R67:T67"/>
    <mergeCell ref="AJ66:AL66"/>
    <mergeCell ref="AM66:AO66"/>
    <mergeCell ref="AP66:AR66"/>
    <mergeCell ref="AS66:AU66"/>
    <mergeCell ref="AV66:AX66"/>
    <mergeCell ref="U66:W66"/>
    <mergeCell ref="X66:Z66"/>
    <mergeCell ref="AA66:AC66"/>
    <mergeCell ref="AD66:AF66"/>
    <mergeCell ref="AG66:AI66"/>
    <mergeCell ref="A66:I66"/>
    <mergeCell ref="J66:K66"/>
    <mergeCell ref="L66:N66"/>
    <mergeCell ref="O66:Q66"/>
    <mergeCell ref="R66:T66"/>
    <mergeCell ref="AJ69:AL69"/>
    <mergeCell ref="AM69:AO69"/>
    <mergeCell ref="AP69:AR69"/>
    <mergeCell ref="AS69:AU69"/>
    <mergeCell ref="AV69:AX69"/>
    <mergeCell ref="U69:W69"/>
    <mergeCell ref="X69:Z69"/>
    <mergeCell ref="AA69:AC69"/>
    <mergeCell ref="AD69:AF69"/>
    <mergeCell ref="AG69:AI69"/>
    <mergeCell ref="A69:I69"/>
    <mergeCell ref="J69:K69"/>
    <mergeCell ref="L69:N69"/>
    <mergeCell ref="O69:Q69"/>
    <mergeCell ref="R69:T69"/>
    <mergeCell ref="AJ68:AL68"/>
    <mergeCell ref="AM68:AO68"/>
    <mergeCell ref="AP68:AR68"/>
    <mergeCell ref="AS68:AU68"/>
    <mergeCell ref="AV68:AX68"/>
    <mergeCell ref="U68:W68"/>
    <mergeCell ref="X68:Z68"/>
    <mergeCell ref="AA68:AC68"/>
    <mergeCell ref="AD68:AF68"/>
    <mergeCell ref="AG68:AI68"/>
    <mergeCell ref="A68:I68"/>
    <mergeCell ref="J68:K68"/>
    <mergeCell ref="L68:N68"/>
    <mergeCell ref="O68:Q68"/>
    <mergeCell ref="R68:T68"/>
    <mergeCell ref="AJ71:AL71"/>
    <mergeCell ref="AM71:AO71"/>
    <mergeCell ref="AP71:AR71"/>
    <mergeCell ref="AS71:AU71"/>
    <mergeCell ref="AV71:AX71"/>
    <mergeCell ref="U71:W71"/>
    <mergeCell ref="X71:Z71"/>
    <mergeCell ref="AA71:AC71"/>
    <mergeCell ref="AD71:AF71"/>
    <mergeCell ref="AG71:AI71"/>
    <mergeCell ref="A71:I71"/>
    <mergeCell ref="J71:K71"/>
    <mergeCell ref="L71:N71"/>
    <mergeCell ref="O71:Q71"/>
    <mergeCell ref="R71:T71"/>
    <mergeCell ref="AJ70:AL70"/>
    <mergeCell ref="AM70:AO70"/>
    <mergeCell ref="AP70:AR70"/>
    <mergeCell ref="AS70:AU70"/>
    <mergeCell ref="AV70:AX70"/>
    <mergeCell ref="U70:W70"/>
    <mergeCell ref="X70:Z70"/>
    <mergeCell ref="AA70:AC70"/>
    <mergeCell ref="AD70:AF70"/>
    <mergeCell ref="AG70:AI70"/>
    <mergeCell ref="A70:I70"/>
    <mergeCell ref="J70:K70"/>
    <mergeCell ref="L70:N70"/>
    <mergeCell ref="O70:Q70"/>
    <mergeCell ref="R70:T70"/>
    <mergeCell ref="AJ73:AL73"/>
    <mergeCell ref="AM73:AO73"/>
    <mergeCell ref="AP73:AR73"/>
    <mergeCell ref="AS73:AU73"/>
    <mergeCell ref="AV73:AX73"/>
    <mergeCell ref="U73:W73"/>
    <mergeCell ref="X73:Z73"/>
    <mergeCell ref="AA73:AC73"/>
    <mergeCell ref="AD73:AF73"/>
    <mergeCell ref="AG73:AI73"/>
    <mergeCell ref="A73:I73"/>
    <mergeCell ref="J73:K73"/>
    <mergeCell ref="L73:N73"/>
    <mergeCell ref="O73:Q73"/>
    <mergeCell ref="R73:T73"/>
    <mergeCell ref="AJ72:AL72"/>
    <mergeCell ref="AM72:AO72"/>
    <mergeCell ref="AP72:AR72"/>
    <mergeCell ref="AS72:AU72"/>
    <mergeCell ref="AV72:AX72"/>
    <mergeCell ref="U72:W72"/>
    <mergeCell ref="X72:Z72"/>
    <mergeCell ref="AA72:AC72"/>
    <mergeCell ref="AD72:AF72"/>
    <mergeCell ref="AG72:AI72"/>
    <mergeCell ref="A72:I72"/>
    <mergeCell ref="J72:K72"/>
    <mergeCell ref="L72:N72"/>
    <mergeCell ref="O72:Q72"/>
    <mergeCell ref="R72:T72"/>
    <mergeCell ref="AJ75:AL75"/>
    <mergeCell ref="AM75:AO75"/>
    <mergeCell ref="AP75:AR75"/>
    <mergeCell ref="AS75:AU75"/>
    <mergeCell ref="AV75:AX75"/>
    <mergeCell ref="U75:W75"/>
    <mergeCell ref="X75:Z75"/>
    <mergeCell ref="AA75:AC75"/>
    <mergeCell ref="AD75:AF75"/>
    <mergeCell ref="AG75:AI75"/>
    <mergeCell ref="A75:I75"/>
    <mergeCell ref="J75:K75"/>
    <mergeCell ref="L75:N75"/>
    <mergeCell ref="O75:Q75"/>
    <mergeCell ref="R75:T75"/>
    <mergeCell ref="AJ74:AL74"/>
    <mergeCell ref="AM74:AO74"/>
    <mergeCell ref="AP74:AR74"/>
    <mergeCell ref="AS74:AU74"/>
    <mergeCell ref="AV74:AX74"/>
    <mergeCell ref="U74:W74"/>
    <mergeCell ref="X74:Z74"/>
    <mergeCell ref="AA74:AC74"/>
    <mergeCell ref="AD74:AF74"/>
    <mergeCell ref="AG74:AI74"/>
    <mergeCell ref="A74:I74"/>
    <mergeCell ref="J74:K74"/>
    <mergeCell ref="L74:N74"/>
    <mergeCell ref="O74:Q74"/>
    <mergeCell ref="R74:T74"/>
    <mergeCell ref="AJ77:AL77"/>
    <mergeCell ref="AM77:AO77"/>
    <mergeCell ref="AP77:AR77"/>
    <mergeCell ref="AS77:AU77"/>
    <mergeCell ref="AV77:AX77"/>
    <mergeCell ref="U77:W77"/>
    <mergeCell ref="X77:Z77"/>
    <mergeCell ref="AA77:AC77"/>
    <mergeCell ref="AD77:AF77"/>
    <mergeCell ref="AG77:AI77"/>
    <mergeCell ref="A77:I77"/>
    <mergeCell ref="J77:K77"/>
    <mergeCell ref="L77:N77"/>
    <mergeCell ref="O77:Q77"/>
    <mergeCell ref="R77:T77"/>
    <mergeCell ref="AJ76:AL76"/>
    <mergeCell ref="AM76:AO76"/>
    <mergeCell ref="AP76:AR76"/>
    <mergeCell ref="AS76:AU76"/>
    <mergeCell ref="AV76:AX76"/>
    <mergeCell ref="U76:W76"/>
    <mergeCell ref="X76:Z76"/>
    <mergeCell ref="AA76:AC76"/>
    <mergeCell ref="AD76:AF76"/>
    <mergeCell ref="AG76:AI76"/>
    <mergeCell ref="A76:I76"/>
    <mergeCell ref="J76:K76"/>
    <mergeCell ref="L76:N76"/>
    <mergeCell ref="O76:Q76"/>
    <mergeCell ref="R76:T76"/>
    <mergeCell ref="AJ79:AL79"/>
    <mergeCell ref="AM79:AO79"/>
    <mergeCell ref="AP79:AR79"/>
    <mergeCell ref="AS79:AU79"/>
    <mergeCell ref="AV79:AX79"/>
    <mergeCell ref="U79:W79"/>
    <mergeCell ref="X79:Z79"/>
    <mergeCell ref="AA79:AC79"/>
    <mergeCell ref="AD79:AF79"/>
    <mergeCell ref="AG79:AI79"/>
    <mergeCell ref="A79:I79"/>
    <mergeCell ref="J79:K79"/>
    <mergeCell ref="L79:N79"/>
    <mergeCell ref="O79:Q79"/>
    <mergeCell ref="R79:T79"/>
    <mergeCell ref="AJ78:AL78"/>
    <mergeCell ref="AM78:AO78"/>
    <mergeCell ref="AP78:AR78"/>
    <mergeCell ref="AS78:AU78"/>
    <mergeCell ref="AV78:AX78"/>
    <mergeCell ref="U78:W78"/>
    <mergeCell ref="X78:Z78"/>
    <mergeCell ref="AA78:AC78"/>
    <mergeCell ref="AD78:AF78"/>
    <mergeCell ref="AG78:AI78"/>
    <mergeCell ref="A78:I78"/>
    <mergeCell ref="J78:K78"/>
    <mergeCell ref="L78:N78"/>
    <mergeCell ref="O78:Q78"/>
    <mergeCell ref="R78:T78"/>
    <mergeCell ref="AJ81:AL81"/>
    <mergeCell ref="AM81:AO81"/>
    <mergeCell ref="AP81:AR81"/>
    <mergeCell ref="AS81:AU81"/>
    <mergeCell ref="AV81:AX81"/>
    <mergeCell ref="U81:W81"/>
    <mergeCell ref="X81:Z81"/>
    <mergeCell ref="AA81:AC81"/>
    <mergeCell ref="AD81:AF81"/>
    <mergeCell ref="AG81:AI81"/>
    <mergeCell ref="A81:I81"/>
    <mergeCell ref="J81:K81"/>
    <mergeCell ref="L81:N81"/>
    <mergeCell ref="O81:Q81"/>
    <mergeCell ref="R81:T81"/>
    <mergeCell ref="AJ80:AL80"/>
    <mergeCell ref="AM80:AO80"/>
    <mergeCell ref="AP80:AR80"/>
    <mergeCell ref="AS80:AU80"/>
    <mergeCell ref="AV80:AX80"/>
    <mergeCell ref="U80:W80"/>
    <mergeCell ref="X80:Z80"/>
    <mergeCell ref="AA80:AC80"/>
    <mergeCell ref="AD80:AF80"/>
    <mergeCell ref="AG80:AI80"/>
    <mergeCell ref="A80:I80"/>
    <mergeCell ref="J80:K80"/>
    <mergeCell ref="L80:N80"/>
    <mergeCell ref="O80:Q80"/>
    <mergeCell ref="R80:T80"/>
    <mergeCell ref="AS7:AX7"/>
    <mergeCell ref="AS38:AU38"/>
    <mergeCell ref="A1:AX1"/>
    <mergeCell ref="O7:T7"/>
    <mergeCell ref="R8:T8"/>
    <mergeCell ref="O8:Q8"/>
    <mergeCell ref="U7:Z7"/>
    <mergeCell ref="U8:W8"/>
    <mergeCell ref="X8:Z8"/>
    <mergeCell ref="AA7:AF7"/>
    <mergeCell ref="AA8:AC8"/>
    <mergeCell ref="AD8:AF8"/>
    <mergeCell ref="U44:Z44"/>
    <mergeCell ref="AA44:AF44"/>
    <mergeCell ref="AG44:AL44"/>
    <mergeCell ref="J44:K45"/>
    <mergeCell ref="L44:N45"/>
    <mergeCell ref="O44:T44"/>
    <mergeCell ref="A35:I35"/>
    <mergeCell ref="A36:I36"/>
    <mergeCell ref="A37:I37"/>
    <mergeCell ref="A38:I38"/>
    <mergeCell ref="A44:I45"/>
    <mergeCell ref="A30:I30"/>
    <mergeCell ref="A31:I31"/>
    <mergeCell ref="A32:I32"/>
    <mergeCell ref="A33:I33"/>
    <mergeCell ref="A34:I34"/>
    <mergeCell ref="AA37:AC37"/>
    <mergeCell ref="AD37:AF37"/>
    <mergeCell ref="AG37:AI37"/>
    <mergeCell ref="AJ37:AL37"/>
    <mergeCell ref="A83:AX83"/>
    <mergeCell ref="A40:AX40"/>
    <mergeCell ref="A24:AX24"/>
    <mergeCell ref="L28:N29"/>
    <mergeCell ref="A2:AX2"/>
    <mergeCell ref="AM44:AR44"/>
    <mergeCell ref="AS44:AX44"/>
    <mergeCell ref="O45:Q45"/>
    <mergeCell ref="R45:T45"/>
    <mergeCell ref="U45:W45"/>
    <mergeCell ref="X45:Z45"/>
    <mergeCell ref="AA45:AC45"/>
    <mergeCell ref="AD45:AF45"/>
    <mergeCell ref="AG45:AI45"/>
    <mergeCell ref="AJ45:AL45"/>
    <mergeCell ref="AM45:AO45"/>
    <mergeCell ref="AP45:AR45"/>
    <mergeCell ref="AS45:AU45"/>
    <mergeCell ref="AV45:AX45"/>
    <mergeCell ref="O29:Q29"/>
    <mergeCell ref="R29:T29"/>
    <mergeCell ref="U29:W29"/>
    <mergeCell ref="X29:Z29"/>
    <mergeCell ref="AA29:AC29"/>
    <mergeCell ref="AG7:AL7"/>
    <mergeCell ref="AG8:AI8"/>
    <mergeCell ref="AJ8:AL8"/>
    <mergeCell ref="AP8:AR8"/>
    <mergeCell ref="AV8:AX8"/>
    <mergeCell ref="AM8:AO8"/>
    <mergeCell ref="AS8:AU8"/>
    <mergeCell ref="AM7:AR7"/>
  </mergeCells>
  <phoneticPr fontId="21" type="noConversion"/>
  <printOptions horizontalCentered="1"/>
  <pageMargins left="0.5" right="0.5" top="0.75" bottom="0.5" header="0.5" footer="0.25"/>
  <pageSetup scale="24" orientation="portrait" r:id="rId1"/>
  <headerFooter>
    <oddHeader>&amp;C&amp;"-,Bold"&amp;18Data to Almanac - Fiscal Year 2023</oddHeader>
    <oddFooter>&amp;CPage &amp;P or &amp;N&amp;RPrinted on: &amp;D</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F2E3A-90B3-47F4-85FC-16068ADE483C}">
  <sheetPr codeName="Sheet08">
    <tabColor theme="4" tint="0.89999084444715716"/>
    <pageSetUpPr fitToPage="1"/>
  </sheetPr>
  <dimension ref="A1:CG88"/>
  <sheetViews>
    <sheetView zoomScale="50" zoomScaleNormal="50" workbookViewId="0">
      <selection sqref="A1:BC1"/>
    </sheetView>
  </sheetViews>
  <sheetFormatPr defaultColWidth="8.83203125" defaultRowHeight="21" x14ac:dyDescent="0.55000000000000004"/>
  <cols>
    <col min="1" max="56" width="6.58203125" style="148" customWidth="1"/>
    <col min="57" max="16384" width="8.83203125" style="148"/>
  </cols>
  <sheetData>
    <row r="1" spans="1:85" s="193" customFormat="1" ht="54.75" customHeight="1" x14ac:dyDescent="1.1000000000000001">
      <c r="A1" s="650" t="s">
        <v>1864</v>
      </c>
      <c r="B1" s="650"/>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191"/>
      <c r="BE1" s="192"/>
      <c r="BF1" s="192"/>
      <c r="BG1" s="192"/>
      <c r="BH1" s="192"/>
      <c r="BI1" s="192"/>
      <c r="BJ1" s="192"/>
      <c r="BK1" s="192"/>
      <c r="BL1" s="192"/>
      <c r="BM1" s="192"/>
      <c r="BN1" s="192"/>
      <c r="BO1" s="192"/>
      <c r="BP1" s="192"/>
      <c r="BQ1" s="192"/>
      <c r="BR1" s="192"/>
      <c r="BS1" s="192"/>
      <c r="BT1" s="192"/>
      <c r="BU1" s="192"/>
      <c r="BV1" s="192"/>
      <c r="BW1" s="192"/>
      <c r="BX1" s="192"/>
      <c r="BY1" s="192"/>
      <c r="BZ1" s="192"/>
      <c r="CA1" s="192"/>
      <c r="CB1" s="192"/>
      <c r="CC1" s="192"/>
      <c r="CD1" s="192"/>
      <c r="CE1" s="192"/>
      <c r="CF1" s="192"/>
      <c r="CG1" s="192"/>
    </row>
    <row r="2" spans="1:85" s="367" customFormat="1" ht="39.9" customHeight="1" x14ac:dyDescent="0.55000000000000004">
      <c r="A2" s="641" t="s">
        <v>1840</v>
      </c>
      <c r="B2" s="641"/>
      <c r="C2" s="641"/>
      <c r="D2" s="641"/>
      <c r="E2" s="641"/>
      <c r="F2" s="641"/>
      <c r="G2" s="641"/>
      <c r="H2" s="641"/>
      <c r="I2" s="641"/>
      <c r="J2" s="641"/>
      <c r="K2" s="641"/>
      <c r="L2" s="641"/>
      <c r="M2" s="641"/>
      <c r="N2" s="641"/>
      <c r="O2" s="641"/>
      <c r="P2" s="641"/>
      <c r="Q2" s="641"/>
      <c r="R2" s="641"/>
      <c r="S2" s="641"/>
      <c r="T2" s="641"/>
      <c r="U2" s="641"/>
      <c r="V2" s="641"/>
      <c r="W2" s="641"/>
      <c r="X2" s="641"/>
      <c r="Y2" s="641"/>
      <c r="Z2" s="641"/>
      <c r="AA2" s="641"/>
      <c r="AB2" s="641"/>
      <c r="AC2" s="641"/>
      <c r="AD2" s="641"/>
      <c r="AE2" s="641"/>
      <c r="AF2" s="641"/>
      <c r="AG2" s="641"/>
      <c r="AH2" s="641"/>
      <c r="AI2" s="641"/>
      <c r="AJ2" s="641"/>
      <c r="AK2" s="641"/>
      <c r="AL2" s="641"/>
      <c r="AM2" s="641"/>
      <c r="AN2" s="641"/>
      <c r="AO2" s="641"/>
      <c r="AP2" s="641"/>
      <c r="AQ2" s="641"/>
      <c r="AR2" s="641"/>
      <c r="AS2" s="641"/>
      <c r="AT2" s="641"/>
      <c r="AU2" s="641"/>
      <c r="AV2" s="641"/>
      <c r="AW2" s="641"/>
      <c r="AX2" s="641"/>
      <c r="AY2" s="641"/>
      <c r="AZ2" s="641"/>
      <c r="BA2" s="641"/>
      <c r="BB2" s="641"/>
      <c r="BC2" s="641"/>
      <c r="BD2" s="365"/>
      <c r="BE2" s="366"/>
      <c r="BF2" s="366"/>
      <c r="BG2" s="366"/>
      <c r="BH2" s="366"/>
      <c r="BI2" s="366"/>
      <c r="BJ2" s="366"/>
      <c r="BK2" s="366"/>
      <c r="BL2" s="366"/>
      <c r="BM2" s="366"/>
      <c r="BN2" s="366"/>
      <c r="BO2" s="366"/>
      <c r="BP2" s="366"/>
      <c r="BQ2" s="366"/>
      <c r="BR2" s="366"/>
      <c r="BS2" s="366"/>
      <c r="BT2" s="366"/>
      <c r="BU2" s="366"/>
      <c r="BV2" s="366"/>
      <c r="BW2" s="366"/>
      <c r="BX2" s="366"/>
      <c r="BY2" s="366"/>
      <c r="BZ2" s="366"/>
      <c r="CA2" s="366"/>
      <c r="CB2" s="366"/>
      <c r="CC2" s="366"/>
      <c r="CD2" s="366"/>
      <c r="CE2" s="366"/>
      <c r="CF2" s="366"/>
      <c r="CG2" s="366"/>
    </row>
    <row r="3" spans="1:85" ht="35.1" customHeight="1" x14ac:dyDescent="0.55000000000000004">
      <c r="A3" s="698" t="str">
        <f>"Report as of "&amp;TEXT(Hidden!$A$4,"MMMM D, YYYY")</f>
        <v>Report as of April 22, 2025</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8"/>
      <c r="AQ3" s="698"/>
      <c r="AR3" s="698"/>
      <c r="AS3" s="698"/>
      <c r="AT3" s="698"/>
      <c r="AU3" s="698"/>
      <c r="AV3" s="698"/>
      <c r="AW3" s="698"/>
      <c r="AX3" s="698"/>
      <c r="AY3" s="698"/>
      <c r="AZ3" s="698"/>
      <c r="BA3" s="698"/>
      <c r="BB3" s="698"/>
      <c r="BC3" s="698"/>
      <c r="BD3" s="146"/>
    </row>
    <row r="4" spans="1:85" s="151" customFormat="1" ht="27" customHeight="1" x14ac:dyDescent="0.55000000000000004">
      <c r="A4" s="145"/>
      <c r="B4" s="145"/>
      <c r="C4" s="145"/>
      <c r="D4" s="145"/>
      <c r="E4" s="145"/>
      <c r="F4" s="145"/>
      <c r="G4" s="145"/>
      <c r="H4" s="145"/>
      <c r="I4" s="145"/>
      <c r="J4" s="145"/>
      <c r="K4" s="145"/>
      <c r="L4" s="145"/>
      <c r="M4" s="145"/>
      <c r="N4" s="145"/>
      <c r="O4" s="145"/>
      <c r="P4" s="145"/>
      <c r="Q4" s="145"/>
      <c r="R4" s="145"/>
      <c r="S4" s="145"/>
      <c r="T4" s="145"/>
      <c r="U4" s="145"/>
      <c r="V4" s="145"/>
      <c r="W4" s="145"/>
      <c r="X4" s="145"/>
      <c r="Y4" s="145"/>
      <c r="Z4" s="145"/>
      <c r="AA4" s="145"/>
      <c r="AB4" s="145"/>
      <c r="AC4" s="145"/>
      <c r="AD4" s="145"/>
      <c r="AE4" s="145"/>
      <c r="AF4" s="145"/>
      <c r="AG4" s="145"/>
      <c r="AH4" s="145"/>
      <c r="AI4" s="145"/>
      <c r="AJ4" s="145"/>
      <c r="AK4" s="145"/>
      <c r="AL4" s="145"/>
      <c r="AM4" s="145"/>
      <c r="AN4" s="145"/>
      <c r="AO4" s="145"/>
      <c r="AP4" s="145"/>
      <c r="AQ4" s="145"/>
      <c r="AR4" s="145"/>
      <c r="AS4" s="145"/>
      <c r="AT4" s="145"/>
      <c r="AU4" s="145"/>
      <c r="AV4" s="145"/>
      <c r="AW4" s="145"/>
      <c r="AX4" s="145"/>
      <c r="AY4" s="145"/>
      <c r="AZ4" s="145"/>
      <c r="BA4" s="145"/>
      <c r="BB4" s="145"/>
      <c r="BC4" s="145"/>
      <c r="BD4" s="145"/>
    </row>
    <row r="5" spans="1:85" ht="31.95" customHeight="1" x14ac:dyDescent="0.55000000000000004">
      <c r="A5" s="726" t="s">
        <v>15</v>
      </c>
      <c r="B5" s="727"/>
      <c r="C5" s="727"/>
      <c r="D5" s="727"/>
      <c r="E5" s="727"/>
      <c r="F5" s="727"/>
      <c r="G5" s="727"/>
      <c r="H5" s="727"/>
      <c r="I5" s="727"/>
      <c r="J5" s="727"/>
      <c r="K5" s="727"/>
      <c r="L5" s="727"/>
      <c r="M5" s="727"/>
      <c r="N5" s="727"/>
      <c r="O5" s="727"/>
      <c r="P5" s="727"/>
      <c r="Q5" s="727"/>
      <c r="R5" s="727"/>
      <c r="S5" s="727"/>
      <c r="T5" s="727"/>
      <c r="U5" s="727"/>
      <c r="V5" s="727"/>
      <c r="W5" s="727"/>
      <c r="X5" s="727"/>
      <c r="Y5" s="727"/>
      <c r="Z5" s="727"/>
      <c r="AA5" s="727"/>
      <c r="AB5" s="727"/>
      <c r="AC5" s="727"/>
      <c r="AD5" s="727"/>
      <c r="AE5" s="727"/>
      <c r="AF5" s="727"/>
      <c r="AG5" s="727"/>
      <c r="AH5" s="727"/>
      <c r="AI5" s="727"/>
      <c r="AJ5" s="727"/>
      <c r="AK5" s="727"/>
      <c r="AL5" s="727"/>
      <c r="AM5" s="727"/>
      <c r="AN5" s="727"/>
      <c r="AO5" s="727"/>
      <c r="AP5" s="727"/>
      <c r="AQ5" s="727"/>
      <c r="AR5" s="727"/>
      <c r="AS5" s="727"/>
      <c r="AT5" s="727"/>
      <c r="AU5" s="727"/>
      <c r="AV5" s="727"/>
      <c r="AW5" s="727"/>
      <c r="AX5" s="727"/>
      <c r="AY5" s="727"/>
      <c r="AZ5" s="727"/>
      <c r="BA5" s="727"/>
      <c r="BB5" s="727"/>
      <c r="BC5" s="728"/>
      <c r="BD5" s="146"/>
    </row>
    <row r="6" spans="1:85" s="152" customFormat="1" ht="27" customHeight="1" x14ac:dyDescent="0.55000000000000004">
      <c r="A6" s="147"/>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47"/>
      <c r="AL6" s="147"/>
      <c r="AM6" s="147"/>
      <c r="AN6" s="147"/>
      <c r="AO6" s="147"/>
      <c r="AP6" s="147"/>
      <c r="AQ6" s="147"/>
      <c r="AR6" s="147"/>
      <c r="AS6" s="147"/>
      <c r="AT6" s="147"/>
      <c r="AU6" s="147"/>
      <c r="AV6" s="147"/>
      <c r="AW6" s="147"/>
      <c r="AX6" s="147"/>
      <c r="AY6" s="147"/>
      <c r="AZ6" s="147"/>
      <c r="BA6" s="147"/>
      <c r="BB6" s="147"/>
      <c r="BC6" s="147"/>
      <c r="BD6" s="147"/>
    </row>
    <row r="7" spans="1:85" s="152" customFormat="1" ht="27" customHeight="1" x14ac:dyDescent="0.55000000000000004">
      <c r="A7" s="735" t="s">
        <v>31</v>
      </c>
      <c r="B7" s="736"/>
      <c r="C7" s="736"/>
      <c r="D7" s="736"/>
      <c r="E7" s="736"/>
      <c r="F7" s="736"/>
      <c r="G7" s="736"/>
      <c r="H7" s="736"/>
      <c r="I7" s="739" t="s">
        <v>33</v>
      </c>
      <c r="J7" s="740"/>
      <c r="K7" s="743" t="s">
        <v>175</v>
      </c>
      <c r="L7" s="743"/>
      <c r="M7" s="743"/>
      <c r="N7" s="706" t="s">
        <v>751</v>
      </c>
      <c r="O7" s="707"/>
      <c r="P7" s="707"/>
      <c r="Q7" s="707"/>
      <c r="R7" s="707"/>
      <c r="S7" s="708"/>
      <c r="T7" s="706" t="s">
        <v>35</v>
      </c>
      <c r="U7" s="707"/>
      <c r="V7" s="707"/>
      <c r="W7" s="707"/>
      <c r="X7" s="707"/>
      <c r="Y7" s="708"/>
      <c r="Z7" s="706" t="s">
        <v>36</v>
      </c>
      <c r="AA7" s="707"/>
      <c r="AB7" s="707"/>
      <c r="AC7" s="707"/>
      <c r="AD7" s="707"/>
      <c r="AE7" s="708"/>
      <c r="AF7" s="706" t="s">
        <v>38</v>
      </c>
      <c r="AG7" s="707"/>
      <c r="AH7" s="707"/>
      <c r="AI7" s="707"/>
      <c r="AJ7" s="707"/>
      <c r="AK7" s="708"/>
      <c r="AL7" s="706" t="s">
        <v>37</v>
      </c>
      <c r="AM7" s="707"/>
      <c r="AN7" s="707"/>
      <c r="AO7" s="707"/>
      <c r="AP7" s="707"/>
      <c r="AQ7" s="708"/>
      <c r="AR7" s="734" t="s">
        <v>1880</v>
      </c>
      <c r="AS7" s="707"/>
      <c r="AT7" s="707"/>
      <c r="AU7" s="707"/>
      <c r="AV7" s="707"/>
      <c r="AW7" s="708"/>
      <c r="AX7" s="706" t="s">
        <v>1879</v>
      </c>
      <c r="AY7" s="707"/>
      <c r="AZ7" s="707"/>
      <c r="BA7" s="707"/>
      <c r="BB7" s="707"/>
      <c r="BC7" s="749"/>
      <c r="BD7" s="147"/>
      <c r="BF7" s="212"/>
      <c r="BG7" s="212"/>
      <c r="BH7" s="212"/>
      <c r="BI7" s="212"/>
      <c r="BJ7" s="212"/>
      <c r="BK7" s="212"/>
    </row>
    <row r="8" spans="1:85" s="150" customFormat="1" ht="27" customHeight="1" x14ac:dyDescent="0.6">
      <c r="A8" s="737"/>
      <c r="B8" s="738"/>
      <c r="C8" s="738"/>
      <c r="D8" s="738"/>
      <c r="E8" s="738"/>
      <c r="F8" s="738"/>
      <c r="G8" s="738"/>
      <c r="H8" s="738"/>
      <c r="I8" s="741"/>
      <c r="J8" s="742"/>
      <c r="K8" s="744"/>
      <c r="L8" s="744"/>
      <c r="M8" s="744"/>
      <c r="N8" s="709" t="s">
        <v>137</v>
      </c>
      <c r="O8" s="710"/>
      <c r="P8" s="710"/>
      <c r="Q8" s="710" t="s">
        <v>136</v>
      </c>
      <c r="R8" s="710"/>
      <c r="S8" s="711"/>
      <c r="T8" s="709" t="s">
        <v>137</v>
      </c>
      <c r="U8" s="710"/>
      <c r="V8" s="710"/>
      <c r="W8" s="710" t="s">
        <v>136</v>
      </c>
      <c r="X8" s="710"/>
      <c r="Y8" s="711"/>
      <c r="Z8" s="709" t="s">
        <v>137</v>
      </c>
      <c r="AA8" s="710"/>
      <c r="AB8" s="710"/>
      <c r="AC8" s="710" t="s">
        <v>136</v>
      </c>
      <c r="AD8" s="710"/>
      <c r="AE8" s="711"/>
      <c r="AF8" s="709" t="s">
        <v>137</v>
      </c>
      <c r="AG8" s="710"/>
      <c r="AH8" s="710"/>
      <c r="AI8" s="710" t="s">
        <v>136</v>
      </c>
      <c r="AJ8" s="710"/>
      <c r="AK8" s="711"/>
      <c r="AL8" s="709" t="s">
        <v>137</v>
      </c>
      <c r="AM8" s="710"/>
      <c r="AN8" s="710"/>
      <c r="AO8" s="710" t="s">
        <v>136</v>
      </c>
      <c r="AP8" s="710"/>
      <c r="AQ8" s="711"/>
      <c r="AR8" s="709" t="s">
        <v>137</v>
      </c>
      <c r="AS8" s="710"/>
      <c r="AT8" s="710"/>
      <c r="AU8" s="710" t="s">
        <v>136</v>
      </c>
      <c r="AV8" s="710"/>
      <c r="AW8" s="711"/>
      <c r="AX8" s="709" t="s">
        <v>137</v>
      </c>
      <c r="AY8" s="710"/>
      <c r="AZ8" s="710"/>
      <c r="BA8" s="710" t="s">
        <v>136</v>
      </c>
      <c r="BB8" s="710"/>
      <c r="BC8" s="710"/>
      <c r="BD8" s="144"/>
    </row>
    <row r="9" spans="1:85" ht="27" customHeight="1" x14ac:dyDescent="0.55000000000000004">
      <c r="A9" s="747" t="s">
        <v>39</v>
      </c>
      <c r="B9" s="748"/>
      <c r="C9" s="748"/>
      <c r="D9" s="748"/>
      <c r="E9" s="748"/>
      <c r="F9" s="748"/>
      <c r="G9" s="748"/>
      <c r="H9" s="748"/>
      <c r="I9" s="724">
        <v>30</v>
      </c>
      <c r="J9" s="725"/>
      <c r="K9" s="678">
        <f>IFERROR(VLOOKUP(A9,Input[],574,FALSE),"")</f>
        <v>2513.2399999999998</v>
      </c>
      <c r="L9" s="678"/>
      <c r="M9" s="678"/>
      <c r="N9" s="716">
        <f>ROUND(SUMIFS(Input[Instruction
Uses],Input[Institution Name],$A9),0)</f>
        <v>1479933804</v>
      </c>
      <c r="O9" s="649"/>
      <c r="P9" s="649"/>
      <c r="Q9" s="683">
        <f>ROUND(N9/$K9,0)</f>
        <v>588855</v>
      </c>
      <c r="R9" s="683"/>
      <c r="S9" s="684"/>
      <c r="T9" s="648">
        <f>ROUND(SUMIFS(Input[Research
Uses],Input[Institution Name],$A9),0)</f>
        <v>590376280</v>
      </c>
      <c r="U9" s="649"/>
      <c r="V9" s="649"/>
      <c r="W9" s="683">
        <f>ROUND(T9/$K9,0)</f>
        <v>234906</v>
      </c>
      <c r="X9" s="683"/>
      <c r="Y9" s="684"/>
      <c r="Z9" s="648">
        <f>ROUND(SUMIFS(Input[Academic
Uses],Input[Institution Name],$A9),0)</f>
        <v>103859386</v>
      </c>
      <c r="AA9" s="649"/>
      <c r="AB9" s="649"/>
      <c r="AC9" s="683">
        <f>ROUND(Z9/$K9,0)</f>
        <v>41325</v>
      </c>
      <c r="AD9" s="683"/>
      <c r="AE9" s="684"/>
      <c r="AF9" s="648">
        <f>ROUND(SUMIFS(Input[Institutional
Uses],Input[Institution Name],$A9),0)</f>
        <v>124919638</v>
      </c>
      <c r="AG9" s="649"/>
      <c r="AH9" s="649"/>
      <c r="AI9" s="683">
        <f>ROUND(AF9/$K9,0)</f>
        <v>49705</v>
      </c>
      <c r="AJ9" s="683"/>
      <c r="AK9" s="684"/>
      <c r="AL9" s="648">
        <f>ROUND(SUMIFS(Input[Student
Uses],Input[Institution Name],$A9),0)</f>
        <v>2391610</v>
      </c>
      <c r="AM9" s="649"/>
      <c r="AN9" s="649"/>
      <c r="AO9" s="683">
        <f>ROUND(AL9/$K9,0)</f>
        <v>952</v>
      </c>
      <c r="AP9" s="683"/>
      <c r="AQ9" s="684"/>
      <c r="AR9" s="648">
        <f>ROUND(SUMIFS(Input[Operations
Uses],Input[Institution Name],$A9),0)
+ROUND(SUMIFS(Input[Scholarships
Uses],Input[Institution Name],$A9),0)
+ROUND(SUMIFS(Input[Capital
Uses],Input[Institution Name],$A9),0)
+ROUND(SUMIFS(Input[Other
Uses],Input[Institution Name],$A9),0)</f>
        <v>152680020</v>
      </c>
      <c r="AS9" s="649"/>
      <c r="AT9" s="649"/>
      <c r="AU9" s="683">
        <f>ROUND(AR9/$K9,0)</f>
        <v>60750</v>
      </c>
      <c r="AV9" s="683"/>
      <c r="AW9" s="684"/>
      <c r="AX9" s="648">
        <f>SUM($N9,$T9,$Z9,$AF9,$AL9,$AR9)</f>
        <v>2454160738</v>
      </c>
      <c r="AY9" s="649"/>
      <c r="AZ9" s="649"/>
      <c r="BA9" s="683">
        <f>ROUND(AX9/$K9,0)</f>
        <v>976493</v>
      </c>
      <c r="BB9" s="683"/>
      <c r="BC9" s="683"/>
      <c r="BD9" s="146"/>
      <c r="BF9" s="213"/>
      <c r="BG9" s="213"/>
      <c r="BH9" s="213"/>
      <c r="BI9" s="213"/>
      <c r="BJ9" s="213"/>
      <c r="BK9" s="213"/>
    </row>
    <row r="10" spans="1:85" ht="27" customHeight="1" x14ac:dyDescent="0.55000000000000004">
      <c r="A10" s="745" t="s">
        <v>40</v>
      </c>
      <c r="B10" s="746"/>
      <c r="C10" s="746"/>
      <c r="D10" s="746"/>
      <c r="E10" s="746"/>
      <c r="F10" s="746"/>
      <c r="G10" s="746"/>
      <c r="H10" s="746"/>
      <c r="I10" s="717">
        <v>104952</v>
      </c>
      <c r="J10" s="718"/>
      <c r="K10" s="680">
        <f>IFERROR(VLOOKUP(A10,Input[],574,FALSE),"")</f>
        <v>3726.2599999999998</v>
      </c>
      <c r="L10" s="681"/>
      <c r="M10" s="682"/>
      <c r="N10" s="703">
        <f>ROUND(SUMIFS(Input[Instruction
Uses],Input[Institution Name],$A10),0)</f>
        <v>513554600</v>
      </c>
      <c r="O10" s="704"/>
      <c r="P10" s="705"/>
      <c r="Q10" s="661">
        <f t="shared" ref="Q10:Q22" si="0">ROUND(N10/$K10,0)</f>
        <v>137820</v>
      </c>
      <c r="R10" s="662"/>
      <c r="S10" s="663"/>
      <c r="T10" s="703">
        <f>ROUND(SUMIFS(Input[Research
Uses],Input[Institution Name],$A10),0)</f>
        <v>161549516</v>
      </c>
      <c r="U10" s="704"/>
      <c r="V10" s="705"/>
      <c r="W10" s="661">
        <f t="shared" ref="W10:W22" si="1">ROUND(T10/$K10,0)</f>
        <v>43354</v>
      </c>
      <c r="X10" s="662"/>
      <c r="Y10" s="663"/>
      <c r="Z10" s="703">
        <f>ROUND(SUMIFS(Input[Academic
Uses],Input[Institution Name],$A10),0)</f>
        <v>61418927</v>
      </c>
      <c r="AA10" s="704"/>
      <c r="AB10" s="705"/>
      <c r="AC10" s="661">
        <f t="shared" ref="AC10:AC22" si="2">ROUND(Z10/$K10,0)</f>
        <v>16483</v>
      </c>
      <c r="AD10" s="662"/>
      <c r="AE10" s="663"/>
      <c r="AF10" s="703">
        <f>ROUND(SUMIFS(Input[Institutional
Uses],Input[Institution Name],$A10),0)</f>
        <v>92861486</v>
      </c>
      <c r="AG10" s="704"/>
      <c r="AH10" s="705"/>
      <c r="AI10" s="661">
        <f t="shared" ref="AI10:AI22" si="3">ROUND(AF10/$K10,0)</f>
        <v>24921</v>
      </c>
      <c r="AJ10" s="662"/>
      <c r="AK10" s="663"/>
      <c r="AL10" s="703">
        <f>ROUND(SUMIFS(Input[Student
Uses],Input[Institution Name],$A10),0)</f>
        <v>8949678</v>
      </c>
      <c r="AM10" s="704"/>
      <c r="AN10" s="705"/>
      <c r="AO10" s="661">
        <f t="shared" ref="AO10:AO22" si="4">ROUND(AL10/$K10,0)</f>
        <v>2402</v>
      </c>
      <c r="AP10" s="662"/>
      <c r="AQ10" s="663"/>
      <c r="AR10" s="703">
        <f>ROUND(SUMIFS(Input[Operations
Uses],Input[Institution Name],$A10),0)
+ROUND(SUMIFS(Input[Scholarships
Uses],Input[Institution Name],$A10),0)
+ROUND(SUMIFS(Input[Capital
Uses],Input[Institution Name],$A10),0)
+ROUND(SUMIFS(Input[Other
Uses],Input[Institution Name],$A10),0)</f>
        <v>117471605</v>
      </c>
      <c r="AS10" s="704"/>
      <c r="AT10" s="705"/>
      <c r="AU10" s="661">
        <f t="shared" ref="AU10:AU22" si="5">ROUND(AR10/$K10,0)</f>
        <v>31525</v>
      </c>
      <c r="AV10" s="662"/>
      <c r="AW10" s="663"/>
      <c r="AX10" s="703">
        <f t="shared" ref="AX10:AX22" si="6">SUM($N10,$T10,$Z10,$AF10,$AL10,$AR10)</f>
        <v>955805812</v>
      </c>
      <c r="AY10" s="704"/>
      <c r="AZ10" s="705"/>
      <c r="BA10" s="661">
        <f t="shared" ref="BA10:BA22" si="7">ROUND(AX10/$K10,0)</f>
        <v>256505</v>
      </c>
      <c r="BB10" s="662"/>
      <c r="BC10" s="752"/>
      <c r="BD10" s="146"/>
      <c r="BF10" s="213"/>
      <c r="BG10" s="213"/>
      <c r="BH10" s="213"/>
      <c r="BI10" s="213"/>
      <c r="BJ10" s="213"/>
      <c r="BK10" s="213"/>
    </row>
    <row r="11" spans="1:85" ht="27" customHeight="1" x14ac:dyDescent="0.55000000000000004">
      <c r="A11" s="747" t="s">
        <v>41</v>
      </c>
      <c r="B11" s="748"/>
      <c r="C11" s="748"/>
      <c r="D11" s="748"/>
      <c r="E11" s="748"/>
      <c r="F11" s="748"/>
      <c r="G11" s="748"/>
      <c r="H11" s="748"/>
      <c r="I11" s="724">
        <v>11618</v>
      </c>
      <c r="J11" s="725"/>
      <c r="K11" s="677">
        <f>IFERROR(VLOOKUP(A11,Input[],574,FALSE),"")</f>
        <v>4722.68</v>
      </c>
      <c r="L11" s="678"/>
      <c r="M11" s="679"/>
      <c r="N11" s="700">
        <f>ROUND(SUMIFS(Input[Instruction
Uses],Input[Institution Name],$A11),0)</f>
        <v>1072835723</v>
      </c>
      <c r="O11" s="701"/>
      <c r="P11" s="702"/>
      <c r="Q11" s="672">
        <f t="shared" si="0"/>
        <v>227167</v>
      </c>
      <c r="R11" s="673"/>
      <c r="S11" s="674"/>
      <c r="T11" s="700">
        <f>ROUND(SUMIFS(Input[Research
Uses],Input[Institution Name],$A11),0)</f>
        <v>310528595</v>
      </c>
      <c r="U11" s="701"/>
      <c r="V11" s="702"/>
      <c r="W11" s="672">
        <f t="shared" si="1"/>
        <v>65753</v>
      </c>
      <c r="X11" s="673"/>
      <c r="Y11" s="674"/>
      <c r="Z11" s="700">
        <f>ROUND(SUMIFS(Input[Academic
Uses],Input[Institution Name],$A11),0)</f>
        <v>74869198</v>
      </c>
      <c r="AA11" s="701"/>
      <c r="AB11" s="702"/>
      <c r="AC11" s="672">
        <f t="shared" si="2"/>
        <v>15853</v>
      </c>
      <c r="AD11" s="673"/>
      <c r="AE11" s="674"/>
      <c r="AF11" s="700">
        <f>ROUND(SUMIFS(Input[Institutional
Uses],Input[Institution Name],$A11),0)</f>
        <v>107629682</v>
      </c>
      <c r="AG11" s="701"/>
      <c r="AH11" s="702"/>
      <c r="AI11" s="672">
        <f t="shared" si="3"/>
        <v>22790</v>
      </c>
      <c r="AJ11" s="673"/>
      <c r="AK11" s="674"/>
      <c r="AL11" s="700">
        <f>ROUND(SUMIFS(Input[Student
Uses],Input[Institution Name],$A11),0)</f>
        <v>14383770</v>
      </c>
      <c r="AM11" s="701"/>
      <c r="AN11" s="702"/>
      <c r="AO11" s="672">
        <f t="shared" si="4"/>
        <v>3046</v>
      </c>
      <c r="AP11" s="673"/>
      <c r="AQ11" s="674"/>
      <c r="AR11" s="700">
        <f>ROUND(SUMIFS(Input[Operations
Uses],Input[Institution Name],$A11),0)
+ROUND(SUMIFS(Input[Scholarships
Uses],Input[Institution Name],$A11),0)
+ROUND(SUMIFS(Input[Capital
Uses],Input[Institution Name],$A11),0)
+ROUND(SUMIFS(Input[Other
Uses],Input[Institution Name],$A11),0)</f>
        <v>86247203</v>
      </c>
      <c r="AS11" s="701"/>
      <c r="AT11" s="702"/>
      <c r="AU11" s="672">
        <f t="shared" si="5"/>
        <v>18262</v>
      </c>
      <c r="AV11" s="673"/>
      <c r="AW11" s="674"/>
      <c r="AX11" s="700">
        <f t="shared" si="6"/>
        <v>1666494171</v>
      </c>
      <c r="AY11" s="701"/>
      <c r="AZ11" s="702"/>
      <c r="BA11" s="672">
        <f t="shared" si="7"/>
        <v>352870</v>
      </c>
      <c r="BB11" s="673"/>
      <c r="BC11" s="750"/>
      <c r="BD11" s="146"/>
      <c r="BF11" s="213"/>
      <c r="BG11" s="213"/>
      <c r="BH11" s="213"/>
      <c r="BI11" s="213"/>
      <c r="BJ11" s="213"/>
      <c r="BK11" s="213"/>
    </row>
    <row r="12" spans="1:85" ht="27" customHeight="1" x14ac:dyDescent="0.55000000000000004">
      <c r="A12" s="745" t="s">
        <v>42</v>
      </c>
      <c r="B12" s="746"/>
      <c r="C12" s="746"/>
      <c r="D12" s="746"/>
      <c r="E12" s="746"/>
      <c r="F12" s="746"/>
      <c r="G12" s="746"/>
      <c r="H12" s="746"/>
      <c r="I12" s="717">
        <v>40</v>
      </c>
      <c r="J12" s="718"/>
      <c r="K12" s="680">
        <f>IFERROR(VLOOKUP(A12,Input[],574,FALSE),"")</f>
        <v>4142.6399999999994</v>
      </c>
      <c r="L12" s="681"/>
      <c r="M12" s="682"/>
      <c r="N12" s="703">
        <f>ROUND(SUMIFS(Input[Instruction
Uses],Input[Institution Name],$A12),0)</f>
        <v>558842539</v>
      </c>
      <c r="O12" s="704"/>
      <c r="P12" s="705"/>
      <c r="Q12" s="661">
        <f t="shared" si="0"/>
        <v>134900</v>
      </c>
      <c r="R12" s="662"/>
      <c r="S12" s="663"/>
      <c r="T12" s="703">
        <f>ROUND(SUMIFS(Input[Research
Uses],Input[Institution Name],$A12),0)</f>
        <v>224712985</v>
      </c>
      <c r="U12" s="704"/>
      <c r="V12" s="705"/>
      <c r="W12" s="661">
        <f t="shared" si="1"/>
        <v>54244</v>
      </c>
      <c r="X12" s="662"/>
      <c r="Y12" s="663"/>
      <c r="Z12" s="703">
        <f>ROUND(SUMIFS(Input[Academic
Uses],Input[Institution Name],$A12),0)</f>
        <v>69828242</v>
      </c>
      <c r="AA12" s="704"/>
      <c r="AB12" s="705"/>
      <c r="AC12" s="661">
        <f t="shared" si="2"/>
        <v>16856</v>
      </c>
      <c r="AD12" s="662"/>
      <c r="AE12" s="663"/>
      <c r="AF12" s="703">
        <f>ROUND(SUMIFS(Input[Institutional
Uses],Input[Institution Name],$A12),0)</f>
        <v>76614998</v>
      </c>
      <c r="AG12" s="704"/>
      <c r="AH12" s="705"/>
      <c r="AI12" s="661">
        <f t="shared" si="3"/>
        <v>18494</v>
      </c>
      <c r="AJ12" s="662"/>
      <c r="AK12" s="663"/>
      <c r="AL12" s="703">
        <f>ROUND(SUMIFS(Input[Student
Uses],Input[Institution Name],$A12),0)</f>
        <v>2996066</v>
      </c>
      <c r="AM12" s="704"/>
      <c r="AN12" s="705"/>
      <c r="AO12" s="661">
        <f t="shared" si="4"/>
        <v>723</v>
      </c>
      <c r="AP12" s="662"/>
      <c r="AQ12" s="663"/>
      <c r="AR12" s="703">
        <f>ROUND(SUMIFS(Input[Operations
Uses],Input[Institution Name],$A12),0)
+ROUND(SUMIFS(Input[Scholarships
Uses],Input[Institution Name],$A12),0)
+ROUND(SUMIFS(Input[Capital
Uses],Input[Institution Name],$A12),0)
+ROUND(SUMIFS(Input[Other
Uses],Input[Institution Name],$A12),0)</f>
        <v>98530629</v>
      </c>
      <c r="AS12" s="704"/>
      <c r="AT12" s="705"/>
      <c r="AU12" s="661">
        <f t="shared" si="5"/>
        <v>23785</v>
      </c>
      <c r="AV12" s="662"/>
      <c r="AW12" s="663"/>
      <c r="AX12" s="703">
        <f t="shared" si="6"/>
        <v>1031525459</v>
      </c>
      <c r="AY12" s="704"/>
      <c r="AZ12" s="705"/>
      <c r="BA12" s="661">
        <f t="shared" si="7"/>
        <v>249002</v>
      </c>
      <c r="BB12" s="662"/>
      <c r="BC12" s="752"/>
      <c r="BD12" s="146"/>
      <c r="BF12" s="213"/>
      <c r="BG12" s="213"/>
      <c r="BH12" s="213"/>
      <c r="BI12" s="213"/>
      <c r="BJ12" s="213"/>
      <c r="BK12" s="213"/>
    </row>
    <row r="13" spans="1:85" ht="27" customHeight="1" x14ac:dyDescent="0.55000000000000004">
      <c r="A13" s="747" t="s">
        <v>43</v>
      </c>
      <c r="B13" s="748"/>
      <c r="C13" s="748"/>
      <c r="D13" s="748"/>
      <c r="E13" s="748"/>
      <c r="F13" s="748"/>
      <c r="G13" s="748"/>
      <c r="H13" s="748"/>
      <c r="I13" s="724">
        <v>25554</v>
      </c>
      <c r="J13" s="725"/>
      <c r="K13" s="677">
        <f>IFERROR(VLOOKUP(A13,Input[],574,FALSE),"")</f>
        <v>382.82</v>
      </c>
      <c r="L13" s="678"/>
      <c r="M13" s="679"/>
      <c r="N13" s="700">
        <f>ROUND(SUMIFS(Input[Instruction
Uses],Input[Institution Name],$A13),0)</f>
        <v>93534180</v>
      </c>
      <c r="O13" s="701"/>
      <c r="P13" s="702"/>
      <c r="Q13" s="672">
        <f t="shared" si="0"/>
        <v>244329</v>
      </c>
      <c r="R13" s="673"/>
      <c r="S13" s="674"/>
      <c r="T13" s="700">
        <f>ROUND(SUMIFS(Input[Research
Uses],Input[Institution Name],$A13),0)</f>
        <v>1096320375</v>
      </c>
      <c r="U13" s="701"/>
      <c r="V13" s="702"/>
      <c r="W13" s="672">
        <f t="shared" si="1"/>
        <v>2863801</v>
      </c>
      <c r="X13" s="673"/>
      <c r="Y13" s="674"/>
      <c r="Z13" s="700">
        <f>ROUND(SUMIFS(Input[Academic
Uses],Input[Institution Name],$A13),0)</f>
        <v>187131587</v>
      </c>
      <c r="AA13" s="701"/>
      <c r="AB13" s="702"/>
      <c r="AC13" s="672">
        <f t="shared" si="2"/>
        <v>488824</v>
      </c>
      <c r="AD13" s="673"/>
      <c r="AE13" s="674"/>
      <c r="AF13" s="700">
        <f>ROUND(SUMIFS(Input[Institutional
Uses],Input[Institution Name],$A13),0)</f>
        <v>186833500</v>
      </c>
      <c r="AG13" s="701"/>
      <c r="AH13" s="702"/>
      <c r="AI13" s="672">
        <f t="shared" si="3"/>
        <v>488045</v>
      </c>
      <c r="AJ13" s="673"/>
      <c r="AK13" s="674"/>
      <c r="AL13" s="700">
        <f>ROUND(SUMIFS(Input[Student
Uses],Input[Institution Name],$A13),0)</f>
        <v>3029068</v>
      </c>
      <c r="AM13" s="701"/>
      <c r="AN13" s="702"/>
      <c r="AO13" s="672">
        <f t="shared" si="4"/>
        <v>7913</v>
      </c>
      <c r="AP13" s="673"/>
      <c r="AQ13" s="674"/>
      <c r="AR13" s="700">
        <f>ROUND(SUMIFS(Input[Operations
Uses],Input[Institution Name],$A13),0)
+ROUND(SUMIFS(Input[Scholarships
Uses],Input[Institution Name],$A13),0)
+ROUND(SUMIFS(Input[Capital
Uses],Input[Institution Name],$A13),0)
+ROUND(SUMIFS(Input[Other
Uses],Input[Institution Name],$A13),0)</f>
        <v>433478322</v>
      </c>
      <c r="AS13" s="701"/>
      <c r="AT13" s="702"/>
      <c r="AU13" s="672">
        <f t="shared" si="5"/>
        <v>1132329</v>
      </c>
      <c r="AV13" s="673"/>
      <c r="AW13" s="674"/>
      <c r="AX13" s="700">
        <f t="shared" si="6"/>
        <v>2000327032</v>
      </c>
      <c r="AY13" s="701"/>
      <c r="AZ13" s="702"/>
      <c r="BA13" s="672">
        <f t="shared" si="7"/>
        <v>5225242</v>
      </c>
      <c r="BB13" s="673"/>
      <c r="BC13" s="750"/>
      <c r="BD13" s="146"/>
      <c r="BF13" s="213"/>
      <c r="BG13" s="213"/>
      <c r="BH13" s="213"/>
      <c r="BI13" s="213"/>
      <c r="BJ13" s="213"/>
      <c r="BK13" s="213"/>
    </row>
    <row r="14" spans="1:85" ht="27" customHeight="1" x14ac:dyDescent="0.55000000000000004">
      <c r="A14" s="745" t="s">
        <v>44</v>
      </c>
      <c r="B14" s="746"/>
      <c r="C14" s="746"/>
      <c r="D14" s="746"/>
      <c r="E14" s="746"/>
      <c r="F14" s="746"/>
      <c r="G14" s="746"/>
      <c r="H14" s="746"/>
      <c r="I14" s="717">
        <v>42439</v>
      </c>
      <c r="J14" s="718"/>
      <c r="K14" s="680">
        <f>IFERROR(VLOOKUP(A14,Input[],574,FALSE),"")</f>
        <v>146.13</v>
      </c>
      <c r="L14" s="681"/>
      <c r="M14" s="682"/>
      <c r="N14" s="703">
        <f>ROUND(SUMIFS(Input[Instruction
Uses],Input[Institution Name],$A14),0)</f>
        <v>128094240</v>
      </c>
      <c r="O14" s="704"/>
      <c r="P14" s="705"/>
      <c r="Q14" s="661">
        <f t="shared" si="0"/>
        <v>876577</v>
      </c>
      <c r="R14" s="662"/>
      <c r="S14" s="663"/>
      <c r="T14" s="703">
        <f>ROUND(SUMIFS(Input[Research
Uses],Input[Institution Name],$A14),0)</f>
        <v>24470183</v>
      </c>
      <c r="U14" s="704"/>
      <c r="V14" s="705"/>
      <c r="W14" s="661">
        <f t="shared" si="1"/>
        <v>167455</v>
      </c>
      <c r="X14" s="662"/>
      <c r="Y14" s="663"/>
      <c r="Z14" s="703">
        <f>ROUND(SUMIFS(Input[Academic
Uses],Input[Institution Name],$A14),0)</f>
        <v>4555197</v>
      </c>
      <c r="AA14" s="704"/>
      <c r="AB14" s="705"/>
      <c r="AC14" s="661">
        <f t="shared" si="2"/>
        <v>31172</v>
      </c>
      <c r="AD14" s="662"/>
      <c r="AE14" s="663"/>
      <c r="AF14" s="703">
        <f>ROUND(SUMIFS(Input[Institutional
Uses],Input[Institution Name],$A14),0)</f>
        <v>15582644</v>
      </c>
      <c r="AG14" s="704"/>
      <c r="AH14" s="705"/>
      <c r="AI14" s="661">
        <f t="shared" si="3"/>
        <v>106635</v>
      </c>
      <c r="AJ14" s="662"/>
      <c r="AK14" s="663"/>
      <c r="AL14" s="703">
        <f>ROUND(SUMIFS(Input[Student
Uses],Input[Institution Name],$A14),0)</f>
        <v>1744534</v>
      </c>
      <c r="AM14" s="704"/>
      <c r="AN14" s="705"/>
      <c r="AO14" s="661">
        <f t="shared" si="4"/>
        <v>11938</v>
      </c>
      <c r="AP14" s="662"/>
      <c r="AQ14" s="663"/>
      <c r="AR14" s="703">
        <f>ROUND(SUMIFS(Input[Operations
Uses],Input[Institution Name],$A14),0)
+ROUND(SUMIFS(Input[Scholarships
Uses],Input[Institution Name],$A14),0)
+ROUND(SUMIFS(Input[Capital
Uses],Input[Institution Name],$A14),0)
+ROUND(SUMIFS(Input[Other
Uses],Input[Institution Name],$A14),0)</f>
        <v>13271956</v>
      </c>
      <c r="AS14" s="704"/>
      <c r="AT14" s="705"/>
      <c r="AU14" s="661">
        <f t="shared" si="5"/>
        <v>90823</v>
      </c>
      <c r="AV14" s="662"/>
      <c r="AW14" s="663"/>
      <c r="AX14" s="703">
        <f t="shared" si="6"/>
        <v>187718754</v>
      </c>
      <c r="AY14" s="704"/>
      <c r="AZ14" s="705"/>
      <c r="BA14" s="661">
        <f t="shared" si="7"/>
        <v>1284601</v>
      </c>
      <c r="BB14" s="662"/>
      <c r="BC14" s="752"/>
      <c r="BD14" s="146"/>
      <c r="BF14" s="213"/>
      <c r="BG14" s="213"/>
      <c r="BH14" s="213"/>
      <c r="BI14" s="213"/>
      <c r="BJ14" s="213"/>
      <c r="BK14" s="213"/>
    </row>
    <row r="15" spans="1:85" ht="27" customHeight="1" x14ac:dyDescent="0.55000000000000004">
      <c r="A15" s="747" t="s">
        <v>45</v>
      </c>
      <c r="B15" s="748"/>
      <c r="C15" s="748"/>
      <c r="D15" s="748"/>
      <c r="E15" s="748"/>
      <c r="F15" s="748"/>
      <c r="G15" s="748"/>
      <c r="H15" s="748"/>
      <c r="I15" s="724">
        <v>89</v>
      </c>
      <c r="J15" s="725"/>
      <c r="K15" s="677">
        <f>IFERROR(VLOOKUP(A15,Input[],574,FALSE),"")</f>
        <v>3915.51</v>
      </c>
      <c r="L15" s="678"/>
      <c r="M15" s="679"/>
      <c r="N15" s="700">
        <f>ROUND(SUMIFS(Input[Instruction
Uses],Input[Institution Name],$A15),0)</f>
        <v>162341985</v>
      </c>
      <c r="O15" s="701"/>
      <c r="P15" s="702"/>
      <c r="Q15" s="672">
        <f t="shared" si="0"/>
        <v>41461</v>
      </c>
      <c r="R15" s="673"/>
      <c r="S15" s="674"/>
      <c r="T15" s="700">
        <f>ROUND(SUMIFS(Input[Research
Uses],Input[Institution Name],$A15),0)</f>
        <v>114136389</v>
      </c>
      <c r="U15" s="701"/>
      <c r="V15" s="702"/>
      <c r="W15" s="672">
        <f t="shared" si="1"/>
        <v>29150</v>
      </c>
      <c r="X15" s="673"/>
      <c r="Y15" s="674"/>
      <c r="Z15" s="700">
        <f>ROUND(SUMIFS(Input[Academic
Uses],Input[Institution Name],$A15),0)</f>
        <v>46306429</v>
      </c>
      <c r="AA15" s="701"/>
      <c r="AB15" s="702"/>
      <c r="AC15" s="672">
        <f t="shared" si="2"/>
        <v>11826</v>
      </c>
      <c r="AD15" s="673"/>
      <c r="AE15" s="674"/>
      <c r="AF15" s="700">
        <f>ROUND(SUMIFS(Input[Institutional
Uses],Input[Institution Name],$A15),0)</f>
        <v>16046145</v>
      </c>
      <c r="AG15" s="701"/>
      <c r="AH15" s="702"/>
      <c r="AI15" s="672">
        <f t="shared" si="3"/>
        <v>4098</v>
      </c>
      <c r="AJ15" s="673"/>
      <c r="AK15" s="674"/>
      <c r="AL15" s="700">
        <f>ROUND(SUMIFS(Input[Student
Uses],Input[Institution Name],$A15),0)</f>
        <v>9491780</v>
      </c>
      <c r="AM15" s="701"/>
      <c r="AN15" s="702"/>
      <c r="AO15" s="672">
        <f t="shared" si="4"/>
        <v>2424</v>
      </c>
      <c r="AP15" s="673"/>
      <c r="AQ15" s="674"/>
      <c r="AR15" s="700">
        <f>ROUND(SUMIFS(Input[Operations
Uses],Input[Institution Name],$A15),0)
+ROUND(SUMIFS(Input[Scholarships
Uses],Input[Institution Name],$A15),0)
+ROUND(SUMIFS(Input[Capital
Uses],Input[Institution Name],$A15),0)
+ROUND(SUMIFS(Input[Other
Uses],Input[Institution Name],$A15),0)</f>
        <v>57276786</v>
      </c>
      <c r="AS15" s="701"/>
      <c r="AT15" s="702"/>
      <c r="AU15" s="672">
        <f t="shared" si="5"/>
        <v>14628</v>
      </c>
      <c r="AV15" s="673"/>
      <c r="AW15" s="674"/>
      <c r="AX15" s="700">
        <f t="shared" si="6"/>
        <v>405599514</v>
      </c>
      <c r="AY15" s="701"/>
      <c r="AZ15" s="702"/>
      <c r="BA15" s="672">
        <f t="shared" si="7"/>
        <v>103588</v>
      </c>
      <c r="BB15" s="673"/>
      <c r="BC15" s="750"/>
      <c r="BD15" s="146"/>
      <c r="BF15" s="213"/>
      <c r="BG15" s="213"/>
      <c r="BH15" s="213"/>
      <c r="BI15" s="213"/>
      <c r="BJ15" s="213"/>
      <c r="BK15" s="213"/>
    </row>
    <row r="16" spans="1:85" ht="27" customHeight="1" x14ac:dyDescent="0.55000000000000004">
      <c r="A16" s="745" t="s">
        <v>46</v>
      </c>
      <c r="B16" s="746"/>
      <c r="C16" s="746"/>
      <c r="D16" s="746"/>
      <c r="E16" s="746"/>
      <c r="F16" s="746"/>
      <c r="G16" s="746"/>
      <c r="H16" s="746"/>
      <c r="I16" s="717">
        <v>130</v>
      </c>
      <c r="J16" s="718"/>
      <c r="K16" s="680">
        <f>IFERROR(VLOOKUP(A16,Input[],574,FALSE),"")</f>
        <v>2709.36</v>
      </c>
      <c r="L16" s="681"/>
      <c r="M16" s="682"/>
      <c r="N16" s="703">
        <f>ROUND(SUMIFS(Input[Instruction
Uses],Input[Institution Name],$A16),0)</f>
        <v>85823692</v>
      </c>
      <c r="O16" s="704"/>
      <c r="P16" s="705"/>
      <c r="Q16" s="661">
        <f t="shared" si="0"/>
        <v>31677</v>
      </c>
      <c r="R16" s="662"/>
      <c r="S16" s="663"/>
      <c r="T16" s="703">
        <f>ROUND(SUMIFS(Input[Research
Uses],Input[Institution Name],$A16),0)</f>
        <v>84796601</v>
      </c>
      <c r="U16" s="704"/>
      <c r="V16" s="705"/>
      <c r="W16" s="661">
        <f t="shared" si="1"/>
        <v>31298</v>
      </c>
      <c r="X16" s="662"/>
      <c r="Y16" s="663"/>
      <c r="Z16" s="703">
        <f>ROUND(SUMIFS(Input[Academic
Uses],Input[Institution Name],$A16),0)</f>
        <v>33166824</v>
      </c>
      <c r="AA16" s="704"/>
      <c r="AB16" s="705"/>
      <c r="AC16" s="661">
        <f t="shared" si="2"/>
        <v>12242</v>
      </c>
      <c r="AD16" s="662"/>
      <c r="AE16" s="663"/>
      <c r="AF16" s="703">
        <f>ROUND(SUMIFS(Input[Institutional
Uses],Input[Institution Name],$A16),0)</f>
        <v>22844762</v>
      </c>
      <c r="AG16" s="704"/>
      <c r="AH16" s="705"/>
      <c r="AI16" s="661">
        <f t="shared" si="3"/>
        <v>8432</v>
      </c>
      <c r="AJ16" s="662"/>
      <c r="AK16" s="663"/>
      <c r="AL16" s="703">
        <f>ROUND(SUMIFS(Input[Student
Uses],Input[Institution Name],$A16),0)</f>
        <v>8853560</v>
      </c>
      <c r="AM16" s="704"/>
      <c r="AN16" s="705"/>
      <c r="AO16" s="661">
        <f t="shared" si="4"/>
        <v>3268</v>
      </c>
      <c r="AP16" s="662"/>
      <c r="AQ16" s="663"/>
      <c r="AR16" s="703">
        <f>ROUND(SUMIFS(Input[Operations
Uses],Input[Institution Name],$A16),0)
+ROUND(SUMIFS(Input[Scholarships
Uses],Input[Institution Name],$A16),0)
+ROUND(SUMIFS(Input[Capital
Uses],Input[Institution Name],$A16),0)
+ROUND(SUMIFS(Input[Other
Uses],Input[Institution Name],$A16),0)</f>
        <v>28901729</v>
      </c>
      <c r="AS16" s="704"/>
      <c r="AT16" s="705"/>
      <c r="AU16" s="661">
        <f t="shared" si="5"/>
        <v>10667</v>
      </c>
      <c r="AV16" s="662"/>
      <c r="AW16" s="663"/>
      <c r="AX16" s="703">
        <f t="shared" si="6"/>
        <v>264387168</v>
      </c>
      <c r="AY16" s="704"/>
      <c r="AZ16" s="705"/>
      <c r="BA16" s="661">
        <f t="shared" si="7"/>
        <v>97583</v>
      </c>
      <c r="BB16" s="662"/>
      <c r="BC16" s="752"/>
      <c r="BD16" s="146"/>
      <c r="BF16" s="213"/>
      <c r="BG16" s="213"/>
      <c r="BH16" s="213"/>
      <c r="BI16" s="213"/>
      <c r="BJ16" s="213"/>
      <c r="BK16" s="213"/>
    </row>
    <row r="17" spans="1:63" ht="27" customHeight="1" x14ac:dyDescent="0.55000000000000004">
      <c r="A17" s="747" t="s">
        <v>47</v>
      </c>
      <c r="B17" s="748"/>
      <c r="C17" s="748"/>
      <c r="D17" s="748"/>
      <c r="E17" s="748"/>
      <c r="F17" s="748"/>
      <c r="G17" s="748"/>
      <c r="H17" s="748"/>
      <c r="I17" s="724">
        <v>412</v>
      </c>
      <c r="J17" s="725"/>
      <c r="K17" s="677">
        <f>IFERROR(VLOOKUP(A17,Input[],574,FALSE),"")</f>
        <v>5628.68</v>
      </c>
      <c r="L17" s="678"/>
      <c r="M17" s="679"/>
      <c r="N17" s="700">
        <f>ROUND(SUMIFS(Input[Instruction
Uses],Input[Institution Name],$A17),0)</f>
        <v>253159090</v>
      </c>
      <c r="O17" s="701"/>
      <c r="P17" s="702"/>
      <c r="Q17" s="672">
        <f t="shared" si="0"/>
        <v>44977</v>
      </c>
      <c r="R17" s="673"/>
      <c r="S17" s="674"/>
      <c r="T17" s="700">
        <f>ROUND(SUMIFS(Input[Research
Uses],Input[Institution Name],$A17),0)</f>
        <v>44812262</v>
      </c>
      <c r="U17" s="701"/>
      <c r="V17" s="702"/>
      <c r="W17" s="672">
        <f t="shared" si="1"/>
        <v>7961</v>
      </c>
      <c r="X17" s="673"/>
      <c r="Y17" s="674"/>
      <c r="Z17" s="700">
        <f>ROUND(SUMIFS(Input[Academic
Uses],Input[Institution Name],$A17),0)</f>
        <v>145284091</v>
      </c>
      <c r="AA17" s="701"/>
      <c r="AB17" s="702"/>
      <c r="AC17" s="672">
        <f t="shared" si="2"/>
        <v>25811</v>
      </c>
      <c r="AD17" s="673"/>
      <c r="AE17" s="674"/>
      <c r="AF17" s="700">
        <f>ROUND(SUMIFS(Input[Institutional
Uses],Input[Institution Name],$A17),0)</f>
        <v>40194685</v>
      </c>
      <c r="AG17" s="701"/>
      <c r="AH17" s="702"/>
      <c r="AI17" s="672">
        <f t="shared" si="3"/>
        <v>7141</v>
      </c>
      <c r="AJ17" s="673"/>
      <c r="AK17" s="674"/>
      <c r="AL17" s="700">
        <f>ROUND(SUMIFS(Input[Student
Uses],Input[Institution Name],$A17),0)</f>
        <v>27211360</v>
      </c>
      <c r="AM17" s="701"/>
      <c r="AN17" s="702"/>
      <c r="AO17" s="672">
        <f t="shared" si="4"/>
        <v>4834</v>
      </c>
      <c r="AP17" s="673"/>
      <c r="AQ17" s="674"/>
      <c r="AR17" s="700">
        <f>ROUND(SUMIFS(Input[Operations
Uses],Input[Institution Name],$A17),0)
+ROUND(SUMIFS(Input[Scholarships
Uses],Input[Institution Name],$A17),0)
+ROUND(SUMIFS(Input[Capital
Uses],Input[Institution Name],$A17),0)
+ROUND(SUMIFS(Input[Other
Uses],Input[Institution Name],$A17),0)</f>
        <v>56885030</v>
      </c>
      <c r="AS17" s="701"/>
      <c r="AT17" s="702"/>
      <c r="AU17" s="672">
        <f t="shared" si="5"/>
        <v>10106</v>
      </c>
      <c r="AV17" s="673"/>
      <c r="AW17" s="674"/>
      <c r="AX17" s="700">
        <f t="shared" si="6"/>
        <v>567546518</v>
      </c>
      <c r="AY17" s="701"/>
      <c r="AZ17" s="702"/>
      <c r="BA17" s="672">
        <f t="shared" si="7"/>
        <v>100831</v>
      </c>
      <c r="BB17" s="673"/>
      <c r="BC17" s="750"/>
      <c r="BD17" s="146"/>
      <c r="BF17" s="213"/>
      <c r="BG17" s="213"/>
      <c r="BH17" s="213"/>
      <c r="BI17" s="213"/>
      <c r="BJ17" s="213"/>
      <c r="BK17" s="213"/>
    </row>
    <row r="18" spans="1:63" ht="27" customHeight="1" x14ac:dyDescent="0.55000000000000004">
      <c r="A18" s="745" t="s">
        <v>48</v>
      </c>
      <c r="B18" s="746"/>
      <c r="C18" s="746"/>
      <c r="D18" s="746"/>
      <c r="E18" s="746"/>
      <c r="F18" s="746"/>
      <c r="G18" s="746"/>
      <c r="H18" s="746"/>
      <c r="I18" s="717">
        <v>862</v>
      </c>
      <c r="J18" s="718"/>
      <c r="K18" s="680">
        <f>IFERROR(VLOOKUP(A18,Input[],574,FALSE),"")</f>
        <v>1006.77</v>
      </c>
      <c r="L18" s="681"/>
      <c r="M18" s="682"/>
      <c r="N18" s="703">
        <f>ROUND(SUMIFS(Input[Instruction
Uses],Input[Institution Name],$A18),0)</f>
        <v>137793759</v>
      </c>
      <c r="O18" s="704"/>
      <c r="P18" s="705"/>
      <c r="Q18" s="661">
        <f t="shared" si="0"/>
        <v>136867</v>
      </c>
      <c r="R18" s="662"/>
      <c r="S18" s="663"/>
      <c r="T18" s="703">
        <f>ROUND(SUMIFS(Input[Research
Uses],Input[Institution Name],$A18),0)</f>
        <v>12596419</v>
      </c>
      <c r="U18" s="704"/>
      <c r="V18" s="705"/>
      <c r="W18" s="661">
        <f t="shared" si="1"/>
        <v>12512</v>
      </c>
      <c r="X18" s="662"/>
      <c r="Y18" s="663"/>
      <c r="Z18" s="703">
        <f>ROUND(SUMIFS(Input[Academic
Uses],Input[Institution Name],$A18),0)</f>
        <v>61286507</v>
      </c>
      <c r="AA18" s="704"/>
      <c r="AB18" s="705"/>
      <c r="AC18" s="661">
        <f t="shared" si="2"/>
        <v>60874</v>
      </c>
      <c r="AD18" s="662"/>
      <c r="AE18" s="663"/>
      <c r="AF18" s="703">
        <f>ROUND(SUMIFS(Input[Institutional
Uses],Input[Institution Name],$A18),0)</f>
        <v>21658923</v>
      </c>
      <c r="AG18" s="704"/>
      <c r="AH18" s="705"/>
      <c r="AI18" s="661">
        <f t="shared" si="3"/>
        <v>21513</v>
      </c>
      <c r="AJ18" s="662"/>
      <c r="AK18" s="663"/>
      <c r="AL18" s="703">
        <f>ROUND(SUMIFS(Input[Student
Uses],Input[Institution Name],$A18),0)</f>
        <v>6057860</v>
      </c>
      <c r="AM18" s="704"/>
      <c r="AN18" s="705"/>
      <c r="AO18" s="661">
        <f t="shared" si="4"/>
        <v>6017</v>
      </c>
      <c r="AP18" s="662"/>
      <c r="AQ18" s="663"/>
      <c r="AR18" s="703">
        <f>ROUND(SUMIFS(Input[Operations
Uses],Input[Institution Name],$A18),0)
+ROUND(SUMIFS(Input[Scholarships
Uses],Input[Institution Name],$A18),0)
+ROUND(SUMIFS(Input[Capital
Uses],Input[Institution Name],$A18),0)
+ROUND(SUMIFS(Input[Other
Uses],Input[Institution Name],$A18),0)</f>
        <v>28646422</v>
      </c>
      <c r="AS18" s="704"/>
      <c r="AT18" s="705"/>
      <c r="AU18" s="661">
        <f t="shared" si="5"/>
        <v>28454</v>
      </c>
      <c r="AV18" s="662"/>
      <c r="AW18" s="663"/>
      <c r="AX18" s="703">
        <f t="shared" si="6"/>
        <v>268039890</v>
      </c>
      <c r="AY18" s="704"/>
      <c r="AZ18" s="705"/>
      <c r="BA18" s="661">
        <f t="shared" si="7"/>
        <v>266237</v>
      </c>
      <c r="BB18" s="662"/>
      <c r="BC18" s="752"/>
      <c r="BD18" s="146"/>
      <c r="BF18" s="213"/>
      <c r="BG18" s="213"/>
      <c r="BH18" s="213"/>
      <c r="BI18" s="213"/>
      <c r="BJ18" s="213"/>
      <c r="BK18" s="213"/>
    </row>
    <row r="19" spans="1:63" ht="27" customHeight="1" x14ac:dyDescent="0.55000000000000004">
      <c r="A19" s="747" t="s">
        <v>743</v>
      </c>
      <c r="B19" s="748"/>
      <c r="C19" s="748"/>
      <c r="D19" s="748"/>
      <c r="E19" s="748"/>
      <c r="F19" s="748"/>
      <c r="G19" s="748"/>
      <c r="H19" s="748"/>
      <c r="I19" s="724">
        <v>203599</v>
      </c>
      <c r="J19" s="725"/>
      <c r="K19" s="677">
        <f>IFERROR(VLOOKUP(A19,Input[],574,FALSE),"")</f>
        <v>287</v>
      </c>
      <c r="L19" s="678"/>
      <c r="M19" s="679"/>
      <c r="N19" s="700">
        <f>ROUND(SUMIFS(Input[Instruction
Uses],Input[Institution Name],$A19),0)</f>
        <v>38043547</v>
      </c>
      <c r="O19" s="701"/>
      <c r="P19" s="702"/>
      <c r="Q19" s="672">
        <f t="shared" si="0"/>
        <v>132556</v>
      </c>
      <c r="R19" s="673"/>
      <c r="S19" s="674"/>
      <c r="T19" s="700">
        <f>ROUND(SUMIFS(Input[Research
Uses],Input[Institution Name],$A19),0)</f>
        <v>1044100</v>
      </c>
      <c r="U19" s="701"/>
      <c r="V19" s="702"/>
      <c r="W19" s="672">
        <f t="shared" si="1"/>
        <v>3638</v>
      </c>
      <c r="X19" s="673"/>
      <c r="Y19" s="674"/>
      <c r="Z19" s="700">
        <f>ROUND(SUMIFS(Input[Academic
Uses],Input[Institution Name],$A19),0)</f>
        <v>23711773</v>
      </c>
      <c r="AA19" s="701"/>
      <c r="AB19" s="702"/>
      <c r="AC19" s="672">
        <f t="shared" si="2"/>
        <v>82619</v>
      </c>
      <c r="AD19" s="673"/>
      <c r="AE19" s="674"/>
      <c r="AF19" s="700">
        <f>ROUND(SUMIFS(Input[Institutional
Uses],Input[Institution Name],$A19),0)</f>
        <v>0</v>
      </c>
      <c r="AG19" s="701"/>
      <c r="AH19" s="702"/>
      <c r="AI19" s="672">
        <f t="shared" si="3"/>
        <v>0</v>
      </c>
      <c r="AJ19" s="673"/>
      <c r="AK19" s="674"/>
      <c r="AL19" s="700">
        <f>ROUND(SUMIFS(Input[Student
Uses],Input[Institution Name],$A19),0)</f>
        <v>2624542</v>
      </c>
      <c r="AM19" s="701"/>
      <c r="AN19" s="702"/>
      <c r="AO19" s="672">
        <f t="shared" si="4"/>
        <v>9145</v>
      </c>
      <c r="AP19" s="673"/>
      <c r="AQ19" s="674"/>
      <c r="AR19" s="700">
        <f>ROUND(SUMIFS(Input[Operations
Uses],Input[Institution Name],$A19),0)
+ROUND(SUMIFS(Input[Scholarships
Uses],Input[Institution Name],$A19),0)
+ROUND(SUMIFS(Input[Capital
Uses],Input[Institution Name],$A19),0)
+ROUND(SUMIFS(Input[Other
Uses],Input[Institution Name],$A19),0)</f>
        <v>5953767</v>
      </c>
      <c r="AS19" s="701"/>
      <c r="AT19" s="702"/>
      <c r="AU19" s="672">
        <f t="shared" si="5"/>
        <v>20745</v>
      </c>
      <c r="AV19" s="673"/>
      <c r="AW19" s="674"/>
      <c r="AX19" s="700">
        <f t="shared" si="6"/>
        <v>71377729</v>
      </c>
      <c r="AY19" s="701"/>
      <c r="AZ19" s="702"/>
      <c r="BA19" s="672">
        <f t="shared" si="7"/>
        <v>248703</v>
      </c>
      <c r="BB19" s="673"/>
      <c r="BC19" s="750"/>
      <c r="BD19" s="146"/>
    </row>
    <row r="20" spans="1:63" ht="27" customHeight="1" x14ac:dyDescent="0.55000000000000004">
      <c r="A20" s="745" t="s">
        <v>742</v>
      </c>
      <c r="B20" s="746"/>
      <c r="C20" s="746"/>
      <c r="D20" s="746"/>
      <c r="E20" s="746"/>
      <c r="F20" s="746"/>
      <c r="G20" s="746"/>
      <c r="H20" s="746"/>
      <c r="I20" s="717">
        <v>203658</v>
      </c>
      <c r="J20" s="718"/>
      <c r="K20" s="680">
        <f>IFERROR(VLOOKUP(A20,Input[],574,FALSE),"")</f>
        <v>199</v>
      </c>
      <c r="L20" s="681"/>
      <c r="M20" s="682"/>
      <c r="N20" s="703">
        <f>ROUND(SUMIFS(Input[Instruction
Uses],Input[Institution Name],$A20),0)</f>
        <v>9920711</v>
      </c>
      <c r="O20" s="704"/>
      <c r="P20" s="705"/>
      <c r="Q20" s="661">
        <f t="shared" si="0"/>
        <v>49853</v>
      </c>
      <c r="R20" s="662"/>
      <c r="S20" s="663"/>
      <c r="T20" s="703">
        <f>ROUND(SUMIFS(Input[Research
Uses],Input[Institution Name],$A20),0)</f>
        <v>40459471</v>
      </c>
      <c r="U20" s="704"/>
      <c r="V20" s="705"/>
      <c r="W20" s="661">
        <f t="shared" si="1"/>
        <v>203314</v>
      </c>
      <c r="X20" s="662"/>
      <c r="Y20" s="663"/>
      <c r="Z20" s="703">
        <f>ROUND(SUMIFS(Input[Academic
Uses],Input[Institution Name],$A20),0)</f>
        <v>43476109</v>
      </c>
      <c r="AA20" s="704"/>
      <c r="AB20" s="705"/>
      <c r="AC20" s="661">
        <f t="shared" si="2"/>
        <v>218473</v>
      </c>
      <c r="AD20" s="662"/>
      <c r="AE20" s="663"/>
      <c r="AF20" s="703">
        <f>ROUND(SUMIFS(Input[Institutional
Uses],Input[Institution Name],$A20),0)</f>
        <v>30054408</v>
      </c>
      <c r="AG20" s="704"/>
      <c r="AH20" s="705"/>
      <c r="AI20" s="661">
        <f t="shared" si="3"/>
        <v>151027</v>
      </c>
      <c r="AJ20" s="662"/>
      <c r="AK20" s="663"/>
      <c r="AL20" s="703">
        <f>ROUND(SUMIFS(Input[Student
Uses],Input[Institution Name],$A20),0)</f>
        <v>34714</v>
      </c>
      <c r="AM20" s="704"/>
      <c r="AN20" s="705"/>
      <c r="AO20" s="661">
        <f t="shared" si="4"/>
        <v>174</v>
      </c>
      <c r="AP20" s="662"/>
      <c r="AQ20" s="663"/>
      <c r="AR20" s="703">
        <f>ROUND(SUMIFS(Input[Operations
Uses],Input[Institution Name],$A20),0)
+ROUND(SUMIFS(Input[Scholarships
Uses],Input[Institution Name],$A20),0)
+ROUND(SUMIFS(Input[Capital
Uses],Input[Institution Name],$A20),0)
+ROUND(SUMIFS(Input[Other
Uses],Input[Institution Name],$A20),0)</f>
        <v>7724796</v>
      </c>
      <c r="AS20" s="704"/>
      <c r="AT20" s="705"/>
      <c r="AU20" s="661">
        <f t="shared" si="5"/>
        <v>38818</v>
      </c>
      <c r="AV20" s="662"/>
      <c r="AW20" s="663"/>
      <c r="AX20" s="703">
        <f t="shared" si="6"/>
        <v>131670209</v>
      </c>
      <c r="AY20" s="704"/>
      <c r="AZ20" s="705"/>
      <c r="BA20" s="661">
        <f t="shared" si="7"/>
        <v>661659</v>
      </c>
      <c r="BB20" s="662"/>
      <c r="BC20" s="752"/>
      <c r="BD20" s="146"/>
    </row>
    <row r="21" spans="1:63" ht="27" customHeight="1" x14ac:dyDescent="0.55000000000000004">
      <c r="A21" s="747" t="s">
        <v>745</v>
      </c>
      <c r="B21" s="748"/>
      <c r="C21" s="748"/>
      <c r="D21" s="748"/>
      <c r="E21" s="748"/>
      <c r="F21" s="748"/>
      <c r="G21" s="748"/>
      <c r="H21" s="748"/>
      <c r="I21" s="724">
        <v>203652</v>
      </c>
      <c r="J21" s="725"/>
      <c r="K21" s="677">
        <f>IFERROR(VLOOKUP(A21,Input[],574,FALSE),"")</f>
        <v>171</v>
      </c>
      <c r="L21" s="678"/>
      <c r="M21" s="679"/>
      <c r="N21" s="700">
        <f>ROUND(SUMIFS(Input[Instruction
Uses],Input[Institution Name],$A21),0)</f>
        <v>10598860</v>
      </c>
      <c r="O21" s="701"/>
      <c r="P21" s="702"/>
      <c r="Q21" s="672">
        <f t="shared" si="0"/>
        <v>61982</v>
      </c>
      <c r="R21" s="673"/>
      <c r="S21" s="674"/>
      <c r="T21" s="700">
        <f>ROUND(SUMIFS(Input[Research
Uses],Input[Institution Name],$A21),0)</f>
        <v>2138405</v>
      </c>
      <c r="U21" s="701"/>
      <c r="V21" s="702"/>
      <c r="W21" s="672">
        <f t="shared" si="1"/>
        <v>12505</v>
      </c>
      <c r="X21" s="673"/>
      <c r="Y21" s="674"/>
      <c r="Z21" s="700">
        <f>ROUND(SUMIFS(Input[Academic
Uses],Input[Institution Name],$A21),0)</f>
        <v>16332345</v>
      </c>
      <c r="AA21" s="701"/>
      <c r="AB21" s="702"/>
      <c r="AC21" s="672">
        <f t="shared" si="2"/>
        <v>95511</v>
      </c>
      <c r="AD21" s="673"/>
      <c r="AE21" s="674"/>
      <c r="AF21" s="700">
        <f>ROUND(SUMIFS(Input[Institutional
Uses],Input[Institution Name],$A21),0)</f>
        <v>-16427</v>
      </c>
      <c r="AG21" s="701"/>
      <c r="AH21" s="702"/>
      <c r="AI21" s="672">
        <f t="shared" si="3"/>
        <v>-96</v>
      </c>
      <c r="AJ21" s="673"/>
      <c r="AK21" s="674"/>
      <c r="AL21" s="700">
        <f>ROUND(SUMIFS(Input[Student
Uses],Input[Institution Name],$A21),0)</f>
        <v>0</v>
      </c>
      <c r="AM21" s="701"/>
      <c r="AN21" s="702"/>
      <c r="AO21" s="672">
        <f t="shared" si="4"/>
        <v>0</v>
      </c>
      <c r="AP21" s="673"/>
      <c r="AQ21" s="674"/>
      <c r="AR21" s="700">
        <f>ROUND(SUMIFS(Input[Operations
Uses],Input[Institution Name],$A21),0)
+ROUND(SUMIFS(Input[Scholarships
Uses],Input[Institution Name],$A21),0)
+ROUND(SUMIFS(Input[Capital
Uses],Input[Institution Name],$A21),0)
+ROUND(SUMIFS(Input[Other
Uses],Input[Institution Name],$A21),0)</f>
        <v>2275090</v>
      </c>
      <c r="AS21" s="701"/>
      <c r="AT21" s="702"/>
      <c r="AU21" s="672">
        <f t="shared" si="5"/>
        <v>13305</v>
      </c>
      <c r="AV21" s="673"/>
      <c r="AW21" s="674"/>
      <c r="AX21" s="700">
        <f t="shared" si="6"/>
        <v>31328273</v>
      </c>
      <c r="AY21" s="701"/>
      <c r="AZ21" s="702"/>
      <c r="BA21" s="672">
        <f t="shared" si="7"/>
        <v>183206</v>
      </c>
      <c r="BB21" s="673"/>
      <c r="BC21" s="750"/>
      <c r="BD21" s="146"/>
    </row>
    <row r="22" spans="1:63" ht="27" customHeight="1" x14ac:dyDescent="0.55000000000000004">
      <c r="A22" s="745" t="s">
        <v>744</v>
      </c>
      <c r="B22" s="746"/>
      <c r="C22" s="746"/>
      <c r="D22" s="746"/>
      <c r="E22" s="746"/>
      <c r="F22" s="746"/>
      <c r="G22" s="746"/>
      <c r="H22" s="746"/>
      <c r="I22" s="717">
        <v>103606</v>
      </c>
      <c r="J22" s="718"/>
      <c r="K22" s="669">
        <f>IFERROR(VLOOKUP(A22,Input[],574,FALSE),"")</f>
        <v>484</v>
      </c>
      <c r="L22" s="670"/>
      <c r="M22" s="671"/>
      <c r="N22" s="712">
        <f>ROUND(SUMIFS(Input[Instruction
Uses],Input[Institution Name],$A22),0)</f>
        <v>12383077</v>
      </c>
      <c r="O22" s="713"/>
      <c r="P22" s="714"/>
      <c r="Q22" s="664">
        <f t="shared" si="0"/>
        <v>25585</v>
      </c>
      <c r="R22" s="665"/>
      <c r="S22" s="666"/>
      <c r="T22" s="712">
        <f>ROUND(SUMIFS(Input[Research
Uses],Input[Institution Name],$A22),0)</f>
        <v>1036594</v>
      </c>
      <c r="U22" s="713"/>
      <c r="V22" s="714"/>
      <c r="W22" s="664">
        <f t="shared" si="1"/>
        <v>2142</v>
      </c>
      <c r="X22" s="665"/>
      <c r="Y22" s="666"/>
      <c r="Z22" s="712">
        <f>ROUND(SUMIFS(Input[Academic
Uses],Input[Institution Name],$A22),0)</f>
        <v>5896542</v>
      </c>
      <c r="AA22" s="713"/>
      <c r="AB22" s="714"/>
      <c r="AC22" s="664">
        <f t="shared" si="2"/>
        <v>12183</v>
      </c>
      <c r="AD22" s="665"/>
      <c r="AE22" s="666"/>
      <c r="AF22" s="712">
        <f>ROUND(SUMIFS(Input[Institutional
Uses],Input[Institution Name],$A22),0)</f>
        <v>0</v>
      </c>
      <c r="AG22" s="713"/>
      <c r="AH22" s="714"/>
      <c r="AI22" s="664">
        <f t="shared" si="3"/>
        <v>0</v>
      </c>
      <c r="AJ22" s="665"/>
      <c r="AK22" s="666"/>
      <c r="AL22" s="712">
        <f>ROUND(SUMIFS(Input[Student
Uses],Input[Institution Name],$A22),0)</f>
        <v>1867248</v>
      </c>
      <c r="AM22" s="713"/>
      <c r="AN22" s="714"/>
      <c r="AO22" s="664">
        <f t="shared" si="4"/>
        <v>3858</v>
      </c>
      <c r="AP22" s="665"/>
      <c r="AQ22" s="666"/>
      <c r="AR22" s="712">
        <f>ROUND(SUMIFS(Input[Operations
Uses],Input[Institution Name],$A22),0)
+ROUND(SUMIFS(Input[Scholarships
Uses],Input[Institution Name],$A22),0)
+ROUND(SUMIFS(Input[Capital
Uses],Input[Institution Name],$A22),0)
+ROUND(SUMIFS(Input[Other
Uses],Input[Institution Name],$A22),0)</f>
        <v>914884</v>
      </c>
      <c r="AS22" s="713"/>
      <c r="AT22" s="714"/>
      <c r="AU22" s="664">
        <f t="shared" si="5"/>
        <v>1890</v>
      </c>
      <c r="AV22" s="665"/>
      <c r="AW22" s="666"/>
      <c r="AX22" s="703">
        <f t="shared" si="6"/>
        <v>22098345</v>
      </c>
      <c r="AY22" s="704"/>
      <c r="AZ22" s="705"/>
      <c r="BA22" s="664">
        <f t="shared" si="7"/>
        <v>45658</v>
      </c>
      <c r="BB22" s="665"/>
      <c r="BC22" s="751"/>
      <c r="BD22" s="146"/>
    </row>
    <row r="23" spans="1:63" ht="27" customHeight="1" x14ac:dyDescent="0.55000000000000004">
      <c r="A23" s="730"/>
      <c r="B23" s="731"/>
      <c r="C23" s="731"/>
      <c r="D23" s="731"/>
      <c r="E23" s="731"/>
      <c r="F23" s="731"/>
      <c r="G23" s="731"/>
      <c r="H23" s="731"/>
      <c r="I23" s="689">
        <f>COUNT($I$9:$I$22)</f>
        <v>14</v>
      </c>
      <c r="J23" s="690"/>
      <c r="K23" s="691">
        <f>SUM(K9:M22)</f>
        <v>30035.09</v>
      </c>
      <c r="L23" s="691"/>
      <c r="M23" s="691"/>
      <c r="N23" s="685">
        <f>SUM(N9:P22)</f>
        <v>4556859807</v>
      </c>
      <c r="O23" s="686"/>
      <c r="P23" s="686"/>
      <c r="Q23" s="686">
        <f>N23/$K$23</f>
        <v>151717.86756756846</v>
      </c>
      <c r="R23" s="686"/>
      <c r="S23" s="687"/>
      <c r="T23" s="685">
        <f>SUM(T9:V22)</f>
        <v>2708978175</v>
      </c>
      <c r="U23" s="686"/>
      <c r="V23" s="686"/>
      <c r="W23" s="686">
        <f>T23/$K$23</f>
        <v>90193.775846851131</v>
      </c>
      <c r="X23" s="686"/>
      <c r="Y23" s="687"/>
      <c r="Z23" s="685">
        <f>SUM(Z9:AB22)</f>
        <v>877123157</v>
      </c>
      <c r="AA23" s="686"/>
      <c r="AB23" s="686"/>
      <c r="AC23" s="686">
        <f>Z23/$K$23</f>
        <v>29203.280462951832</v>
      </c>
      <c r="AD23" s="686"/>
      <c r="AE23" s="687"/>
      <c r="AF23" s="685">
        <f>SUM(AF9:AH22)</f>
        <v>735224444</v>
      </c>
      <c r="AG23" s="686"/>
      <c r="AH23" s="686"/>
      <c r="AI23" s="686">
        <f>AF23/$K$23</f>
        <v>24478.849372517278</v>
      </c>
      <c r="AJ23" s="686"/>
      <c r="AK23" s="687"/>
      <c r="AL23" s="685">
        <f>SUM(AL9:AN22)</f>
        <v>89635790</v>
      </c>
      <c r="AM23" s="686"/>
      <c r="AN23" s="686"/>
      <c r="AO23" s="686">
        <f>AL23/$K$23</f>
        <v>2984.3689497850683</v>
      </c>
      <c r="AP23" s="686"/>
      <c r="AQ23" s="687"/>
      <c r="AR23" s="685">
        <f>SUM(AR9:AT22)</f>
        <v>1090258239</v>
      </c>
      <c r="AS23" s="686"/>
      <c r="AT23" s="686"/>
      <c r="AU23" s="686">
        <f>AR23/$K$23</f>
        <v>36299.483004712158</v>
      </c>
      <c r="AV23" s="686"/>
      <c r="AW23" s="687"/>
      <c r="AX23" s="685">
        <f>SUM(AX9:AZ22)</f>
        <v>10058079612</v>
      </c>
      <c r="AY23" s="686"/>
      <c r="AZ23" s="686"/>
      <c r="BA23" s="686">
        <f>AX23/$K$23</f>
        <v>334877.62520438596</v>
      </c>
      <c r="BB23" s="686"/>
      <c r="BC23" s="687"/>
      <c r="BD23" s="146"/>
    </row>
    <row r="24" spans="1:63" ht="27" customHeight="1" x14ac:dyDescent="0.55000000000000004">
      <c r="A24" s="715" t="s">
        <v>1908</v>
      </c>
      <c r="B24" s="715"/>
      <c r="C24" s="715"/>
      <c r="D24" s="715"/>
      <c r="E24" s="715"/>
      <c r="F24" s="715"/>
      <c r="G24" s="715"/>
      <c r="H24" s="715"/>
      <c r="I24" s="715"/>
      <c r="J24" s="715"/>
      <c r="K24" s="715"/>
      <c r="L24" s="715"/>
      <c r="M24" s="715"/>
      <c r="N24" s="715"/>
      <c r="O24" s="715"/>
      <c r="P24" s="715"/>
      <c r="Q24" s="715"/>
      <c r="R24" s="715"/>
      <c r="S24" s="715"/>
      <c r="T24" s="715"/>
      <c r="U24" s="715"/>
      <c r="V24" s="715"/>
      <c r="W24" s="715"/>
      <c r="X24" s="715"/>
      <c r="Y24" s="715"/>
      <c r="Z24" s="715"/>
      <c r="AA24" s="715"/>
      <c r="AB24" s="715"/>
      <c r="AC24" s="715"/>
      <c r="AD24" s="715"/>
      <c r="AE24" s="715"/>
      <c r="AF24" s="715"/>
      <c r="AG24" s="715"/>
      <c r="AH24" s="715"/>
      <c r="AI24" s="715"/>
      <c r="AJ24" s="715"/>
      <c r="AK24" s="715"/>
      <c r="AL24" s="715"/>
      <c r="AM24" s="715"/>
      <c r="AN24" s="715"/>
      <c r="AO24" s="715"/>
      <c r="AP24" s="715"/>
      <c r="AQ24" s="715"/>
      <c r="AR24" s="715"/>
      <c r="AS24" s="715"/>
      <c r="AT24" s="715"/>
      <c r="AU24" s="715"/>
      <c r="AV24" s="715"/>
      <c r="AW24" s="715"/>
      <c r="AX24" s="715"/>
      <c r="AY24" s="715"/>
      <c r="AZ24" s="715"/>
      <c r="BA24" s="715"/>
      <c r="BB24" s="715"/>
      <c r="BC24" s="715"/>
      <c r="BD24" s="146"/>
    </row>
    <row r="25" spans="1:63" ht="27" customHeight="1" x14ac:dyDescent="0.55000000000000004">
      <c r="A25" s="715" t="s">
        <v>1919</v>
      </c>
      <c r="B25" s="715"/>
      <c r="C25" s="715"/>
      <c r="D25" s="715"/>
      <c r="E25" s="715"/>
      <c r="F25" s="715"/>
      <c r="G25" s="715"/>
      <c r="H25" s="715"/>
      <c r="I25" s="715"/>
      <c r="J25" s="715"/>
      <c r="K25" s="715"/>
      <c r="L25" s="715"/>
      <c r="M25" s="715"/>
      <c r="N25" s="715"/>
      <c r="O25" s="715"/>
      <c r="P25" s="715"/>
      <c r="Q25" s="715"/>
      <c r="R25" s="715"/>
      <c r="S25" s="715"/>
      <c r="T25" s="715"/>
      <c r="U25" s="715"/>
      <c r="V25" s="715"/>
      <c r="W25" s="715"/>
      <c r="X25" s="715"/>
      <c r="Y25" s="715"/>
      <c r="Z25" s="715"/>
      <c r="AA25" s="715"/>
      <c r="AB25" s="715"/>
      <c r="AC25" s="715"/>
      <c r="AD25" s="715"/>
      <c r="AE25" s="715"/>
      <c r="AF25" s="715"/>
      <c r="AG25" s="715"/>
      <c r="AH25" s="715"/>
      <c r="AI25" s="715"/>
      <c r="AJ25" s="715"/>
      <c r="AK25" s="715"/>
      <c r="AL25" s="715"/>
      <c r="AM25" s="715"/>
      <c r="AN25" s="715"/>
      <c r="AO25" s="715"/>
      <c r="AP25" s="715"/>
      <c r="AQ25" s="715"/>
      <c r="AR25" s="715"/>
      <c r="AS25" s="715"/>
      <c r="AT25" s="715"/>
      <c r="AU25" s="715"/>
      <c r="AV25" s="715"/>
      <c r="AW25" s="715"/>
      <c r="AX25" s="715"/>
      <c r="AY25" s="715"/>
      <c r="AZ25" s="715"/>
      <c r="BA25" s="715"/>
      <c r="BB25" s="715"/>
      <c r="BC25" s="715"/>
      <c r="BD25" s="146"/>
    </row>
    <row r="26" spans="1:63" ht="27" customHeight="1" x14ac:dyDescent="0.55000000000000004">
      <c r="A26" s="211"/>
      <c r="B26" s="211"/>
      <c r="C26" s="211"/>
      <c r="D26" s="211"/>
      <c r="E26" s="211"/>
      <c r="F26" s="211"/>
      <c r="G26" s="211"/>
      <c r="H26" s="211"/>
      <c r="I26" s="211"/>
      <c r="J26" s="211"/>
      <c r="K26" s="211"/>
      <c r="L26" s="211"/>
      <c r="M26" s="211"/>
      <c r="N26" s="211"/>
      <c r="O26" s="211"/>
      <c r="P26" s="211"/>
      <c r="Q26" s="211"/>
      <c r="R26" s="211"/>
      <c r="S26" s="211"/>
      <c r="T26" s="211"/>
      <c r="U26" s="211"/>
      <c r="V26" s="211"/>
      <c r="W26" s="211"/>
      <c r="X26" s="211"/>
      <c r="Y26" s="211"/>
      <c r="Z26" s="211"/>
      <c r="AA26" s="211"/>
      <c r="AB26" s="211"/>
      <c r="AC26" s="211"/>
      <c r="AD26" s="211"/>
      <c r="AE26" s="211"/>
      <c r="AF26" s="211"/>
      <c r="AG26" s="211"/>
      <c r="AH26" s="211"/>
      <c r="AI26" s="211"/>
      <c r="AJ26" s="211"/>
      <c r="AK26" s="211"/>
      <c r="AL26" s="211"/>
      <c r="AM26" s="211"/>
      <c r="AN26" s="211"/>
      <c r="AO26" s="211"/>
      <c r="AP26" s="211"/>
      <c r="AQ26" s="211"/>
      <c r="AR26" s="211"/>
      <c r="AS26" s="211"/>
      <c r="AT26" s="211"/>
      <c r="AU26" s="211"/>
      <c r="AV26" s="211"/>
      <c r="AW26" s="211"/>
      <c r="AX26" s="211"/>
      <c r="AY26" s="211"/>
      <c r="AZ26" s="211"/>
      <c r="BA26" s="211"/>
      <c r="BB26" s="211"/>
      <c r="BC26" s="211"/>
      <c r="BD26" s="146"/>
    </row>
    <row r="27" spans="1:63" ht="27" customHeight="1" x14ac:dyDescent="0.55000000000000004">
      <c r="A27" s="153"/>
      <c r="B27" s="153"/>
      <c r="C27" s="153"/>
      <c r="D27" s="153"/>
      <c r="E27" s="153"/>
      <c r="F27" s="153"/>
      <c r="G27" s="153"/>
      <c r="H27" s="153"/>
      <c r="I27" s="153"/>
      <c r="J27" s="153"/>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c r="AP27" s="153"/>
      <c r="AQ27" s="153"/>
      <c r="AR27" s="153"/>
      <c r="AS27" s="153"/>
      <c r="AT27" s="153"/>
      <c r="AU27" s="153"/>
      <c r="AV27" s="153"/>
      <c r="AW27" s="153"/>
      <c r="AX27" s="153"/>
      <c r="AY27" s="153"/>
      <c r="AZ27" s="153"/>
      <c r="BA27" s="153"/>
      <c r="BB27" s="153"/>
      <c r="BC27" s="153"/>
      <c r="BD27" s="146"/>
    </row>
    <row r="28" spans="1:63" ht="31.95" customHeight="1" x14ac:dyDescent="0.55000000000000004">
      <c r="A28" s="726" t="s">
        <v>820</v>
      </c>
      <c r="B28" s="727"/>
      <c r="C28" s="727"/>
      <c r="D28" s="727"/>
      <c r="E28" s="727"/>
      <c r="F28" s="727"/>
      <c r="G28" s="727"/>
      <c r="H28" s="727"/>
      <c r="I28" s="727"/>
      <c r="J28" s="727"/>
      <c r="K28" s="727"/>
      <c r="L28" s="727"/>
      <c r="M28" s="727"/>
      <c r="N28" s="727"/>
      <c r="O28" s="727"/>
      <c r="P28" s="727"/>
      <c r="Q28" s="727"/>
      <c r="R28" s="727"/>
      <c r="S28" s="727"/>
      <c r="T28" s="727"/>
      <c r="U28" s="727"/>
      <c r="V28" s="727"/>
      <c r="W28" s="727"/>
      <c r="X28" s="727"/>
      <c r="Y28" s="727"/>
      <c r="Z28" s="727"/>
      <c r="AA28" s="727"/>
      <c r="AB28" s="727"/>
      <c r="AC28" s="727"/>
      <c r="AD28" s="727"/>
      <c r="AE28" s="727"/>
      <c r="AF28" s="727"/>
      <c r="AG28" s="727"/>
      <c r="AH28" s="727"/>
      <c r="AI28" s="727"/>
      <c r="AJ28" s="727"/>
      <c r="AK28" s="727"/>
      <c r="AL28" s="727"/>
      <c r="AM28" s="727"/>
      <c r="AN28" s="727"/>
      <c r="AO28" s="727"/>
      <c r="AP28" s="727"/>
      <c r="AQ28" s="727"/>
      <c r="AR28" s="727"/>
      <c r="AS28" s="727"/>
      <c r="AT28" s="727"/>
      <c r="AU28" s="727"/>
      <c r="AV28" s="727"/>
      <c r="AW28" s="727"/>
      <c r="AX28" s="727"/>
      <c r="AY28" s="727"/>
      <c r="AZ28" s="727"/>
      <c r="BA28" s="727"/>
      <c r="BB28" s="727"/>
      <c r="BC28" s="728"/>
      <c r="BD28" s="146"/>
    </row>
    <row r="29" spans="1:63" ht="27" customHeight="1" x14ac:dyDescent="0.55000000000000004">
      <c r="A29" s="208"/>
      <c r="B29" s="208"/>
      <c r="C29" s="208"/>
      <c r="D29" s="208"/>
      <c r="E29" s="208"/>
      <c r="F29" s="208"/>
      <c r="G29" s="208"/>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8"/>
      <c r="AY29" s="208"/>
      <c r="AZ29" s="208"/>
      <c r="BA29" s="208"/>
      <c r="BB29" s="208"/>
      <c r="BC29" s="208"/>
      <c r="BD29" s="146"/>
    </row>
    <row r="30" spans="1:63" ht="27" customHeight="1" x14ac:dyDescent="0.55000000000000004">
      <c r="A30" s="735" t="s">
        <v>31</v>
      </c>
      <c r="B30" s="736"/>
      <c r="C30" s="736"/>
      <c r="D30" s="736"/>
      <c r="E30" s="736"/>
      <c r="F30" s="736"/>
      <c r="G30" s="736"/>
      <c r="H30" s="736"/>
      <c r="I30" s="739" t="s">
        <v>33</v>
      </c>
      <c r="J30" s="740"/>
      <c r="K30" s="743" t="s">
        <v>175</v>
      </c>
      <c r="L30" s="743"/>
      <c r="M30" s="743"/>
      <c r="N30" s="706" t="s">
        <v>751</v>
      </c>
      <c r="O30" s="707"/>
      <c r="P30" s="707"/>
      <c r="Q30" s="707"/>
      <c r="R30" s="707"/>
      <c r="S30" s="708"/>
      <c r="T30" s="706" t="s">
        <v>35</v>
      </c>
      <c r="U30" s="707"/>
      <c r="V30" s="707"/>
      <c r="W30" s="707"/>
      <c r="X30" s="707"/>
      <c r="Y30" s="708"/>
      <c r="Z30" s="706" t="s">
        <v>36</v>
      </c>
      <c r="AA30" s="707"/>
      <c r="AB30" s="707"/>
      <c r="AC30" s="707"/>
      <c r="AD30" s="707"/>
      <c r="AE30" s="708"/>
      <c r="AF30" s="706" t="s">
        <v>38</v>
      </c>
      <c r="AG30" s="707"/>
      <c r="AH30" s="707"/>
      <c r="AI30" s="707"/>
      <c r="AJ30" s="707"/>
      <c r="AK30" s="708"/>
      <c r="AL30" s="706" t="s">
        <v>37</v>
      </c>
      <c r="AM30" s="707"/>
      <c r="AN30" s="707"/>
      <c r="AO30" s="707"/>
      <c r="AP30" s="707"/>
      <c r="AQ30" s="708"/>
      <c r="AR30" s="734" t="s">
        <v>1880</v>
      </c>
      <c r="AS30" s="707"/>
      <c r="AT30" s="707"/>
      <c r="AU30" s="707"/>
      <c r="AV30" s="707"/>
      <c r="AW30" s="708"/>
      <c r="AX30" s="706" t="s">
        <v>750</v>
      </c>
      <c r="AY30" s="707"/>
      <c r="AZ30" s="707"/>
      <c r="BA30" s="707"/>
      <c r="BB30" s="707"/>
      <c r="BC30" s="708"/>
      <c r="BD30" s="146"/>
    </row>
    <row r="31" spans="1:63" ht="27" customHeight="1" x14ac:dyDescent="0.6">
      <c r="A31" s="737"/>
      <c r="B31" s="738"/>
      <c r="C31" s="738"/>
      <c r="D31" s="738"/>
      <c r="E31" s="738"/>
      <c r="F31" s="738"/>
      <c r="G31" s="738"/>
      <c r="H31" s="738"/>
      <c r="I31" s="741"/>
      <c r="J31" s="742"/>
      <c r="K31" s="744"/>
      <c r="L31" s="744"/>
      <c r="M31" s="744"/>
      <c r="N31" s="709" t="s">
        <v>137</v>
      </c>
      <c r="O31" s="710"/>
      <c r="P31" s="710"/>
      <c r="Q31" s="710" t="s">
        <v>136</v>
      </c>
      <c r="R31" s="710"/>
      <c r="S31" s="711"/>
      <c r="T31" s="709" t="s">
        <v>137</v>
      </c>
      <c r="U31" s="710"/>
      <c r="V31" s="710"/>
      <c r="W31" s="710" t="s">
        <v>136</v>
      </c>
      <c r="X31" s="710"/>
      <c r="Y31" s="711"/>
      <c r="Z31" s="709" t="s">
        <v>137</v>
      </c>
      <c r="AA31" s="710"/>
      <c r="AB31" s="710"/>
      <c r="AC31" s="710" t="s">
        <v>136</v>
      </c>
      <c r="AD31" s="710"/>
      <c r="AE31" s="711"/>
      <c r="AF31" s="709" t="s">
        <v>137</v>
      </c>
      <c r="AG31" s="710"/>
      <c r="AH31" s="710"/>
      <c r="AI31" s="710" t="s">
        <v>136</v>
      </c>
      <c r="AJ31" s="710"/>
      <c r="AK31" s="711"/>
      <c r="AL31" s="709" t="s">
        <v>137</v>
      </c>
      <c r="AM31" s="710"/>
      <c r="AN31" s="710"/>
      <c r="AO31" s="710" t="s">
        <v>136</v>
      </c>
      <c r="AP31" s="710"/>
      <c r="AQ31" s="711"/>
      <c r="AR31" s="709" t="s">
        <v>137</v>
      </c>
      <c r="AS31" s="710"/>
      <c r="AT31" s="710"/>
      <c r="AU31" s="710" t="s">
        <v>136</v>
      </c>
      <c r="AV31" s="710"/>
      <c r="AW31" s="711"/>
      <c r="AX31" s="709" t="s">
        <v>137</v>
      </c>
      <c r="AY31" s="710"/>
      <c r="AZ31" s="710"/>
      <c r="BA31" s="710" t="s">
        <v>136</v>
      </c>
      <c r="BB31" s="710"/>
      <c r="BC31" s="711"/>
      <c r="BD31" s="146"/>
    </row>
    <row r="32" spans="1:63" ht="27" customHeight="1" x14ac:dyDescent="0.55000000000000004">
      <c r="A32" s="732" t="s">
        <v>49</v>
      </c>
      <c r="B32" s="733"/>
      <c r="C32" s="733"/>
      <c r="D32" s="733"/>
      <c r="E32" s="733"/>
      <c r="F32" s="733"/>
      <c r="G32" s="733"/>
      <c r="H32" s="733"/>
      <c r="I32" s="724">
        <v>36273</v>
      </c>
      <c r="J32" s="725"/>
      <c r="K32" s="678">
        <f>IFERROR(VLOOKUP(A32,Input[],574,FALSE),"")</f>
        <v>3209.86</v>
      </c>
      <c r="L32" s="678"/>
      <c r="M32" s="678"/>
      <c r="N32" s="716">
        <f>ROUND(SUMIFS(Input[Instruction
Uses],Input[Institution Name],$A32),0)</f>
        <v>15636999</v>
      </c>
      <c r="O32" s="649"/>
      <c r="P32" s="649"/>
      <c r="Q32" s="683">
        <f>ROUND(N32/$K32,0)</f>
        <v>4872</v>
      </c>
      <c r="R32" s="683"/>
      <c r="S32" s="684"/>
      <c r="T32" s="716">
        <f>ROUND(SUMIFS(Input[Research
Uses],Input[Institution Name],$A32),0)</f>
        <v>0</v>
      </c>
      <c r="U32" s="649"/>
      <c r="V32" s="649"/>
      <c r="W32" s="683">
        <f>ROUND(T32/$K32,0)</f>
        <v>0</v>
      </c>
      <c r="X32" s="683"/>
      <c r="Y32" s="684"/>
      <c r="Z32" s="716">
        <f>ROUND(SUMIFS(Input[Academic
Uses],Input[Institution Name],$A32),0)</f>
        <v>2930023</v>
      </c>
      <c r="AA32" s="649"/>
      <c r="AB32" s="649"/>
      <c r="AC32" s="683">
        <f>ROUND(Z32/$K32,0)</f>
        <v>913</v>
      </c>
      <c r="AD32" s="683"/>
      <c r="AE32" s="684"/>
      <c r="AF32" s="716">
        <f>ROUND(SUMIFS(Input[Institutional
Uses],Input[Institution Name],$A32),0)</f>
        <v>5373244</v>
      </c>
      <c r="AG32" s="649"/>
      <c r="AH32" s="649"/>
      <c r="AI32" s="683">
        <f>ROUND(AF32/$K32,0)</f>
        <v>1674</v>
      </c>
      <c r="AJ32" s="683"/>
      <c r="AK32" s="684"/>
      <c r="AL32" s="716">
        <f>ROUND(SUMIFS(Input[Student
Uses],Input[Institution Name],$A32),0)</f>
        <v>2303066</v>
      </c>
      <c r="AM32" s="649"/>
      <c r="AN32" s="649"/>
      <c r="AO32" s="683">
        <f>ROUND(AL32/$K32,0)</f>
        <v>717</v>
      </c>
      <c r="AP32" s="683"/>
      <c r="AQ32" s="684"/>
      <c r="AR32" s="716">
        <f>ROUND(SUMIFS(Input[Operations
Uses],Input[Institution Name],$A32),0)
+ROUND(SUMIFS(Input[Scholarships
Uses],Input[Institution Name],$A32),0)
+ROUND(SUMIFS(Input[Capital
Uses],Input[Institution Name],$A32),0)
+ROUND(SUMIFS(Input[Other
Uses],Input[Institution Name],$A32),0)</f>
        <v>32528049</v>
      </c>
      <c r="AS32" s="649"/>
      <c r="AT32" s="649"/>
      <c r="AU32" s="683">
        <f>ROUND(AR32/$K32,0)</f>
        <v>10134</v>
      </c>
      <c r="AV32" s="683"/>
      <c r="AW32" s="684"/>
      <c r="AX32" s="648">
        <f>SUM($N32,$T32,$Z32,$AF32,$AL32,$AR32)</f>
        <v>58771381</v>
      </c>
      <c r="AY32" s="649"/>
      <c r="AZ32" s="649"/>
      <c r="BA32" s="683">
        <f>ROUND(AX32/$K32,0)</f>
        <v>18310</v>
      </c>
      <c r="BB32" s="683"/>
      <c r="BC32" s="684"/>
      <c r="BD32" s="146"/>
    </row>
    <row r="33" spans="1:63" ht="27" customHeight="1" x14ac:dyDescent="0.55000000000000004">
      <c r="A33" s="722" t="s">
        <v>50</v>
      </c>
      <c r="B33" s="723"/>
      <c r="C33" s="723"/>
      <c r="D33" s="723"/>
      <c r="E33" s="723"/>
      <c r="F33" s="723"/>
      <c r="G33" s="723"/>
      <c r="H33" s="723"/>
      <c r="I33" s="717">
        <v>23582</v>
      </c>
      <c r="J33" s="718"/>
      <c r="K33" s="680">
        <f>IFERROR(VLOOKUP(A33,Input[],574,FALSE),"")</f>
        <v>1819.28</v>
      </c>
      <c r="L33" s="681"/>
      <c r="M33" s="682"/>
      <c r="N33" s="703">
        <f>ROUND(SUMIFS(Input[Instruction
Uses],Input[Institution Name],$A33),0)</f>
        <v>6779349</v>
      </c>
      <c r="O33" s="704"/>
      <c r="P33" s="705"/>
      <c r="Q33" s="661">
        <f t="shared" ref="Q33:Q38" si="8">ROUND(N33/$K33,0)</f>
        <v>3726</v>
      </c>
      <c r="R33" s="662"/>
      <c r="S33" s="663"/>
      <c r="T33" s="703">
        <f>ROUND(SUMIFS(Input[Research
Uses],Input[Institution Name],$A33),0)</f>
        <v>0</v>
      </c>
      <c r="U33" s="704"/>
      <c r="V33" s="705"/>
      <c r="W33" s="661">
        <f t="shared" ref="W33:W40" si="9">ROUND(T33/$K33,0)</f>
        <v>0</v>
      </c>
      <c r="X33" s="662"/>
      <c r="Y33" s="663"/>
      <c r="Z33" s="703">
        <f>ROUND(SUMIFS(Input[Academic
Uses],Input[Institution Name],$A33),0)</f>
        <v>3308554</v>
      </c>
      <c r="AA33" s="704"/>
      <c r="AB33" s="705"/>
      <c r="AC33" s="661">
        <f t="shared" ref="AC33:AC40" si="10">ROUND(Z33/$K33,0)</f>
        <v>1819</v>
      </c>
      <c r="AD33" s="662"/>
      <c r="AE33" s="663"/>
      <c r="AF33" s="703">
        <f>ROUND(SUMIFS(Input[Institutional
Uses],Input[Institution Name],$A33),0)</f>
        <v>4027745</v>
      </c>
      <c r="AG33" s="704"/>
      <c r="AH33" s="705"/>
      <c r="AI33" s="661">
        <f t="shared" ref="AI33:AI40" si="11">ROUND(AF33/$K33,0)</f>
        <v>2214</v>
      </c>
      <c r="AJ33" s="662"/>
      <c r="AK33" s="663"/>
      <c r="AL33" s="703">
        <f>ROUND(SUMIFS(Input[Student
Uses],Input[Institution Name],$A33),0)</f>
        <v>1986410</v>
      </c>
      <c r="AM33" s="704"/>
      <c r="AN33" s="705"/>
      <c r="AO33" s="661">
        <f t="shared" ref="AO33:AO40" si="12">ROUND(AL33/$K33,0)</f>
        <v>1092</v>
      </c>
      <c r="AP33" s="662"/>
      <c r="AQ33" s="663"/>
      <c r="AR33" s="703">
        <f>ROUND(SUMIFS(Input[Operations
Uses],Input[Institution Name],$A33),0)
+ROUND(SUMIFS(Input[Scholarships
Uses],Input[Institution Name],$A33),0)
+ROUND(SUMIFS(Input[Capital
Uses],Input[Institution Name],$A33),0)
+ROUND(SUMIFS(Input[Other
Uses],Input[Institution Name],$A33),0)</f>
        <v>10597583</v>
      </c>
      <c r="AS33" s="704"/>
      <c r="AT33" s="705"/>
      <c r="AU33" s="661">
        <f t="shared" ref="AU33:AU40" si="13">ROUND(AR33/$K33,0)</f>
        <v>5825</v>
      </c>
      <c r="AV33" s="662"/>
      <c r="AW33" s="663"/>
      <c r="AX33" s="703">
        <f t="shared" ref="AX33:AX40" si="14">SUM($N33,$T33,$Z33,$AF33,$AL33,$AR33)</f>
        <v>26699641</v>
      </c>
      <c r="AY33" s="704"/>
      <c r="AZ33" s="705"/>
      <c r="BA33" s="661">
        <f t="shared" ref="BA33:BA40" si="15">ROUND(AX33/$K33,0)</f>
        <v>14676</v>
      </c>
      <c r="BB33" s="662"/>
      <c r="BC33" s="663"/>
      <c r="BD33" s="146"/>
    </row>
    <row r="34" spans="1:63" ht="27" customHeight="1" x14ac:dyDescent="0.55000000000000004">
      <c r="A34" s="732" t="s">
        <v>51</v>
      </c>
      <c r="B34" s="733"/>
      <c r="C34" s="733"/>
      <c r="D34" s="733"/>
      <c r="E34" s="733"/>
      <c r="F34" s="733"/>
      <c r="G34" s="733"/>
      <c r="H34" s="733"/>
      <c r="I34" s="724">
        <v>23485</v>
      </c>
      <c r="J34" s="725"/>
      <c r="K34" s="677">
        <f>IFERROR(VLOOKUP(A34,Input[],574,FALSE),"")</f>
        <v>2285.77</v>
      </c>
      <c r="L34" s="678"/>
      <c r="M34" s="679"/>
      <c r="N34" s="700">
        <f>ROUND(SUMIFS(Input[Instruction
Uses],Input[Institution Name],$A34),0)</f>
        <v>10805460</v>
      </c>
      <c r="O34" s="701"/>
      <c r="P34" s="702"/>
      <c r="Q34" s="672">
        <f t="shared" si="8"/>
        <v>4727</v>
      </c>
      <c r="R34" s="673"/>
      <c r="S34" s="674"/>
      <c r="T34" s="700">
        <f>ROUND(SUMIFS(Input[Research
Uses],Input[Institution Name],$A34),0)</f>
        <v>0</v>
      </c>
      <c r="U34" s="701"/>
      <c r="V34" s="702"/>
      <c r="W34" s="672">
        <f t="shared" si="9"/>
        <v>0</v>
      </c>
      <c r="X34" s="673"/>
      <c r="Y34" s="674"/>
      <c r="Z34" s="700">
        <f>ROUND(SUMIFS(Input[Academic
Uses],Input[Institution Name],$A34),0)</f>
        <v>3950827</v>
      </c>
      <c r="AA34" s="701"/>
      <c r="AB34" s="702"/>
      <c r="AC34" s="672">
        <f t="shared" si="10"/>
        <v>1728</v>
      </c>
      <c r="AD34" s="673"/>
      <c r="AE34" s="674"/>
      <c r="AF34" s="700">
        <f>ROUND(SUMIFS(Input[Institutional
Uses],Input[Institution Name],$A34),0)</f>
        <v>5451145</v>
      </c>
      <c r="AG34" s="701"/>
      <c r="AH34" s="702"/>
      <c r="AI34" s="672">
        <f t="shared" si="11"/>
        <v>2385</v>
      </c>
      <c r="AJ34" s="673"/>
      <c r="AK34" s="674"/>
      <c r="AL34" s="700">
        <f>ROUND(SUMIFS(Input[Student
Uses],Input[Institution Name],$A34),0)</f>
        <v>1685865</v>
      </c>
      <c r="AM34" s="701"/>
      <c r="AN34" s="702"/>
      <c r="AO34" s="672">
        <f t="shared" si="12"/>
        <v>738</v>
      </c>
      <c r="AP34" s="673"/>
      <c r="AQ34" s="674"/>
      <c r="AR34" s="700">
        <f>ROUND(SUMIFS(Input[Operations
Uses],Input[Institution Name],$A34),0)
+ROUND(SUMIFS(Input[Scholarships
Uses],Input[Institution Name],$A34),0)
+ROUND(SUMIFS(Input[Capital
Uses],Input[Institution Name],$A34),0)
+ROUND(SUMIFS(Input[Other
Uses],Input[Institution Name],$A34),0)</f>
        <v>21286754</v>
      </c>
      <c r="AS34" s="701"/>
      <c r="AT34" s="702"/>
      <c r="AU34" s="672">
        <f t="shared" si="13"/>
        <v>9313</v>
      </c>
      <c r="AV34" s="673"/>
      <c r="AW34" s="674"/>
      <c r="AX34" s="700">
        <f t="shared" si="14"/>
        <v>43180051</v>
      </c>
      <c r="AY34" s="701"/>
      <c r="AZ34" s="702"/>
      <c r="BA34" s="672">
        <f t="shared" si="15"/>
        <v>18891</v>
      </c>
      <c r="BB34" s="673"/>
      <c r="BC34" s="674"/>
      <c r="BD34" s="146"/>
    </row>
    <row r="35" spans="1:63" ht="27" customHeight="1" x14ac:dyDescent="0.55000000000000004">
      <c r="A35" s="722" t="s">
        <v>52</v>
      </c>
      <c r="B35" s="723"/>
      <c r="C35" s="723"/>
      <c r="D35" s="723"/>
      <c r="E35" s="723"/>
      <c r="F35" s="723"/>
      <c r="G35" s="723"/>
      <c r="H35" s="723"/>
      <c r="I35" s="717">
        <v>9225</v>
      </c>
      <c r="J35" s="718"/>
      <c r="K35" s="680">
        <f>IFERROR(VLOOKUP(A35,Input[],574,FALSE),"")</f>
        <v>2417.59</v>
      </c>
      <c r="L35" s="681"/>
      <c r="M35" s="682"/>
      <c r="N35" s="703">
        <f>ROUND(SUMIFS(Input[Instruction
Uses],Input[Institution Name],$A35),0)</f>
        <v>29184280</v>
      </c>
      <c r="O35" s="704"/>
      <c r="P35" s="705"/>
      <c r="Q35" s="661">
        <f t="shared" si="8"/>
        <v>12072</v>
      </c>
      <c r="R35" s="662"/>
      <c r="S35" s="663"/>
      <c r="T35" s="703">
        <f>ROUND(SUMIFS(Input[Research
Uses],Input[Institution Name],$A35),0)</f>
        <v>119771</v>
      </c>
      <c r="U35" s="704"/>
      <c r="V35" s="705"/>
      <c r="W35" s="661">
        <f t="shared" si="9"/>
        <v>50</v>
      </c>
      <c r="X35" s="662"/>
      <c r="Y35" s="663"/>
      <c r="Z35" s="703">
        <f>ROUND(SUMIFS(Input[Academic
Uses],Input[Institution Name],$A35),0)</f>
        <v>4323972</v>
      </c>
      <c r="AA35" s="704"/>
      <c r="AB35" s="705"/>
      <c r="AC35" s="661">
        <f t="shared" si="10"/>
        <v>1789</v>
      </c>
      <c r="AD35" s="662"/>
      <c r="AE35" s="663"/>
      <c r="AF35" s="703">
        <f>ROUND(SUMIFS(Input[Institutional
Uses],Input[Institution Name],$A35),0)</f>
        <v>6078645</v>
      </c>
      <c r="AG35" s="704"/>
      <c r="AH35" s="705"/>
      <c r="AI35" s="661">
        <f t="shared" si="11"/>
        <v>2514</v>
      </c>
      <c r="AJ35" s="662"/>
      <c r="AK35" s="663"/>
      <c r="AL35" s="703">
        <f>ROUND(SUMIFS(Input[Student
Uses],Input[Institution Name],$A35),0)</f>
        <v>6509827</v>
      </c>
      <c r="AM35" s="704"/>
      <c r="AN35" s="705"/>
      <c r="AO35" s="661">
        <f t="shared" si="12"/>
        <v>2693</v>
      </c>
      <c r="AP35" s="662"/>
      <c r="AQ35" s="663"/>
      <c r="AR35" s="703">
        <f>ROUND(SUMIFS(Input[Operations
Uses],Input[Institution Name],$A35),0)
+ROUND(SUMIFS(Input[Scholarships
Uses],Input[Institution Name],$A35),0)
+ROUND(SUMIFS(Input[Capital
Uses],Input[Institution Name],$A35),0)
+ROUND(SUMIFS(Input[Other
Uses],Input[Institution Name],$A35),0)</f>
        <v>15507622</v>
      </c>
      <c r="AS35" s="704"/>
      <c r="AT35" s="705"/>
      <c r="AU35" s="661">
        <f t="shared" si="13"/>
        <v>6414</v>
      </c>
      <c r="AV35" s="662"/>
      <c r="AW35" s="663"/>
      <c r="AX35" s="703">
        <f t="shared" si="14"/>
        <v>61724117</v>
      </c>
      <c r="AY35" s="704"/>
      <c r="AZ35" s="705"/>
      <c r="BA35" s="661">
        <f t="shared" si="15"/>
        <v>25531</v>
      </c>
      <c r="BB35" s="662"/>
      <c r="BC35" s="663"/>
      <c r="BD35" s="146"/>
    </row>
    <row r="36" spans="1:63" ht="27" customHeight="1" x14ac:dyDescent="0.55000000000000004">
      <c r="A36" s="732" t="s">
        <v>53</v>
      </c>
      <c r="B36" s="733"/>
      <c r="C36" s="733"/>
      <c r="D36" s="733"/>
      <c r="E36" s="733"/>
      <c r="F36" s="733"/>
      <c r="G36" s="733"/>
      <c r="H36" s="733"/>
      <c r="I36" s="724">
        <v>9932</v>
      </c>
      <c r="J36" s="725"/>
      <c r="K36" s="677">
        <f>IFERROR(VLOOKUP(A36,Input[],574,FALSE),"")</f>
        <v>970.76</v>
      </c>
      <c r="L36" s="678"/>
      <c r="M36" s="679"/>
      <c r="N36" s="700">
        <f>ROUND(SUMIFS(Input[Instruction
Uses],Input[Institution Name],$A36),0)</f>
        <v>12206034</v>
      </c>
      <c r="O36" s="701"/>
      <c r="P36" s="702"/>
      <c r="Q36" s="672">
        <f t="shared" si="8"/>
        <v>12574</v>
      </c>
      <c r="R36" s="673"/>
      <c r="S36" s="674"/>
      <c r="T36" s="700">
        <f>ROUND(SUMIFS(Input[Research
Uses],Input[Institution Name],$A36),0)</f>
        <v>15136</v>
      </c>
      <c r="U36" s="701"/>
      <c r="V36" s="702"/>
      <c r="W36" s="672">
        <f t="shared" si="9"/>
        <v>16</v>
      </c>
      <c r="X36" s="673"/>
      <c r="Y36" s="674"/>
      <c r="Z36" s="700">
        <f>ROUND(SUMIFS(Input[Academic
Uses],Input[Institution Name],$A36),0)</f>
        <v>4593181</v>
      </c>
      <c r="AA36" s="701"/>
      <c r="AB36" s="702"/>
      <c r="AC36" s="672">
        <f t="shared" si="10"/>
        <v>4732</v>
      </c>
      <c r="AD36" s="673"/>
      <c r="AE36" s="674"/>
      <c r="AF36" s="700">
        <f>ROUND(SUMIFS(Input[Institutional
Uses],Input[Institution Name],$A36),0)</f>
        <v>3199127</v>
      </c>
      <c r="AG36" s="701"/>
      <c r="AH36" s="702"/>
      <c r="AI36" s="672">
        <f t="shared" si="11"/>
        <v>3295</v>
      </c>
      <c r="AJ36" s="673"/>
      <c r="AK36" s="674"/>
      <c r="AL36" s="700">
        <f>ROUND(SUMIFS(Input[Student
Uses],Input[Institution Name],$A36),0)</f>
        <v>3336527</v>
      </c>
      <c r="AM36" s="701"/>
      <c r="AN36" s="702"/>
      <c r="AO36" s="672">
        <f t="shared" si="12"/>
        <v>3437</v>
      </c>
      <c r="AP36" s="673"/>
      <c r="AQ36" s="674"/>
      <c r="AR36" s="700">
        <f>ROUND(SUMIFS(Input[Operations
Uses],Input[Institution Name],$A36),0)
+ROUND(SUMIFS(Input[Scholarships
Uses],Input[Institution Name],$A36),0)
+ROUND(SUMIFS(Input[Capital
Uses],Input[Institution Name],$A36),0)
+ROUND(SUMIFS(Input[Other
Uses],Input[Institution Name],$A36),0)</f>
        <v>7569321</v>
      </c>
      <c r="AS36" s="701"/>
      <c r="AT36" s="702"/>
      <c r="AU36" s="672">
        <f t="shared" si="13"/>
        <v>7797</v>
      </c>
      <c r="AV36" s="673"/>
      <c r="AW36" s="674"/>
      <c r="AX36" s="700">
        <f t="shared" si="14"/>
        <v>30919326</v>
      </c>
      <c r="AY36" s="701"/>
      <c r="AZ36" s="702"/>
      <c r="BA36" s="672">
        <f t="shared" si="15"/>
        <v>31851</v>
      </c>
      <c r="BB36" s="673"/>
      <c r="BC36" s="674"/>
      <c r="BD36" s="146"/>
    </row>
    <row r="37" spans="1:63" ht="27" customHeight="1" x14ac:dyDescent="0.55000000000000004">
      <c r="A37" s="722" t="s">
        <v>54</v>
      </c>
      <c r="B37" s="723"/>
      <c r="C37" s="723"/>
      <c r="D37" s="723"/>
      <c r="E37" s="723"/>
      <c r="F37" s="723"/>
      <c r="G37" s="723"/>
      <c r="H37" s="723"/>
      <c r="I37" s="717">
        <v>33965</v>
      </c>
      <c r="J37" s="718"/>
      <c r="K37" s="680">
        <f>IFERROR(VLOOKUP(A37,Input[],574,FALSE),"")</f>
        <v>521.96</v>
      </c>
      <c r="L37" s="681"/>
      <c r="M37" s="682"/>
      <c r="N37" s="703">
        <f>ROUND(SUMIFS(Input[Instruction
Uses],Input[Institution Name],$A37),0)</f>
        <v>6283374</v>
      </c>
      <c r="O37" s="704"/>
      <c r="P37" s="705"/>
      <c r="Q37" s="661">
        <f t="shared" si="8"/>
        <v>12038</v>
      </c>
      <c r="R37" s="662"/>
      <c r="S37" s="663"/>
      <c r="T37" s="703">
        <f>ROUND(SUMIFS(Input[Research
Uses],Input[Institution Name],$A37),0)</f>
        <v>6952</v>
      </c>
      <c r="U37" s="704"/>
      <c r="V37" s="705"/>
      <c r="W37" s="661">
        <f t="shared" si="9"/>
        <v>13</v>
      </c>
      <c r="X37" s="662"/>
      <c r="Y37" s="663"/>
      <c r="Z37" s="703">
        <f>ROUND(SUMIFS(Input[Academic
Uses],Input[Institution Name],$A37),0)</f>
        <v>3658483</v>
      </c>
      <c r="AA37" s="704"/>
      <c r="AB37" s="705"/>
      <c r="AC37" s="661">
        <f t="shared" si="10"/>
        <v>7009</v>
      </c>
      <c r="AD37" s="662"/>
      <c r="AE37" s="663"/>
      <c r="AF37" s="703">
        <f>ROUND(SUMIFS(Input[Institutional
Uses],Input[Institution Name],$A37),0)</f>
        <v>1263458</v>
      </c>
      <c r="AG37" s="704"/>
      <c r="AH37" s="705"/>
      <c r="AI37" s="661">
        <f t="shared" si="11"/>
        <v>2421</v>
      </c>
      <c r="AJ37" s="662"/>
      <c r="AK37" s="663"/>
      <c r="AL37" s="703">
        <f>ROUND(SUMIFS(Input[Student
Uses],Input[Institution Name],$A37),0)</f>
        <v>2009896</v>
      </c>
      <c r="AM37" s="704"/>
      <c r="AN37" s="705"/>
      <c r="AO37" s="661">
        <f t="shared" si="12"/>
        <v>3851</v>
      </c>
      <c r="AP37" s="662"/>
      <c r="AQ37" s="663"/>
      <c r="AR37" s="703">
        <f>ROUND(SUMIFS(Input[Operations
Uses],Input[Institution Name],$A37),0)
+ROUND(SUMIFS(Input[Scholarships
Uses],Input[Institution Name],$A37),0)
+ROUND(SUMIFS(Input[Capital
Uses],Input[Institution Name],$A37),0)
+ROUND(SUMIFS(Input[Other
Uses],Input[Institution Name],$A37),0)</f>
        <v>3269210</v>
      </c>
      <c r="AS37" s="704"/>
      <c r="AT37" s="705"/>
      <c r="AU37" s="661">
        <f t="shared" si="13"/>
        <v>6263</v>
      </c>
      <c r="AV37" s="662"/>
      <c r="AW37" s="663"/>
      <c r="AX37" s="703">
        <f t="shared" si="14"/>
        <v>16491373</v>
      </c>
      <c r="AY37" s="704"/>
      <c r="AZ37" s="705"/>
      <c r="BA37" s="661">
        <f t="shared" si="15"/>
        <v>31595</v>
      </c>
      <c r="BB37" s="662"/>
      <c r="BC37" s="663"/>
      <c r="BD37" s="146"/>
    </row>
    <row r="38" spans="1:63" ht="27" customHeight="1" x14ac:dyDescent="0.55000000000000004">
      <c r="A38" s="732" t="s">
        <v>55</v>
      </c>
      <c r="B38" s="733"/>
      <c r="C38" s="733"/>
      <c r="D38" s="733"/>
      <c r="E38" s="733"/>
      <c r="F38" s="733"/>
      <c r="G38" s="733"/>
      <c r="H38" s="733"/>
      <c r="I38" s="724">
        <v>3634</v>
      </c>
      <c r="J38" s="725"/>
      <c r="K38" s="677">
        <f>IFERROR(VLOOKUP(A38,Input[],574,FALSE),"")</f>
        <v>4359.9799999999996</v>
      </c>
      <c r="L38" s="678"/>
      <c r="M38" s="679"/>
      <c r="N38" s="700">
        <f>ROUND(SUMIFS(Input[Instruction
Uses],Input[Institution Name],$A38),0)</f>
        <v>44776811</v>
      </c>
      <c r="O38" s="701"/>
      <c r="P38" s="702"/>
      <c r="Q38" s="672">
        <f t="shared" si="8"/>
        <v>10270</v>
      </c>
      <c r="R38" s="673"/>
      <c r="S38" s="674"/>
      <c r="T38" s="700">
        <f>ROUND(SUMIFS(Input[Research
Uses],Input[Institution Name],$A38),0)</f>
        <v>34925</v>
      </c>
      <c r="U38" s="701"/>
      <c r="V38" s="702"/>
      <c r="W38" s="672">
        <f t="shared" si="9"/>
        <v>8</v>
      </c>
      <c r="X38" s="673"/>
      <c r="Y38" s="674"/>
      <c r="Z38" s="700">
        <f>ROUND(SUMIFS(Input[Academic
Uses],Input[Institution Name],$A38),0)</f>
        <v>10622380</v>
      </c>
      <c r="AA38" s="701"/>
      <c r="AB38" s="702"/>
      <c r="AC38" s="672">
        <f t="shared" si="10"/>
        <v>2436</v>
      </c>
      <c r="AD38" s="673"/>
      <c r="AE38" s="674"/>
      <c r="AF38" s="700">
        <f>ROUND(SUMIFS(Input[Institutional
Uses],Input[Institution Name],$A38),0)</f>
        <v>13284639</v>
      </c>
      <c r="AG38" s="701"/>
      <c r="AH38" s="702"/>
      <c r="AI38" s="672">
        <f t="shared" si="11"/>
        <v>3047</v>
      </c>
      <c r="AJ38" s="673"/>
      <c r="AK38" s="674"/>
      <c r="AL38" s="700">
        <f>ROUND(SUMIFS(Input[Student
Uses],Input[Institution Name],$A38),0)</f>
        <v>9628769</v>
      </c>
      <c r="AM38" s="701"/>
      <c r="AN38" s="702"/>
      <c r="AO38" s="672">
        <f t="shared" si="12"/>
        <v>2208</v>
      </c>
      <c r="AP38" s="673"/>
      <c r="AQ38" s="674"/>
      <c r="AR38" s="700">
        <f>ROUND(SUMIFS(Input[Operations
Uses],Input[Institution Name],$A38),0)
+ROUND(SUMIFS(Input[Scholarships
Uses],Input[Institution Name],$A38),0)
+ROUND(SUMIFS(Input[Capital
Uses],Input[Institution Name],$A38),0)
+ROUND(SUMIFS(Input[Other
Uses],Input[Institution Name],$A38),0)</f>
        <v>31559351</v>
      </c>
      <c r="AS38" s="701"/>
      <c r="AT38" s="702"/>
      <c r="AU38" s="672">
        <f t="shared" si="13"/>
        <v>7238</v>
      </c>
      <c r="AV38" s="673"/>
      <c r="AW38" s="674"/>
      <c r="AX38" s="700">
        <f t="shared" si="14"/>
        <v>109906875</v>
      </c>
      <c r="AY38" s="701"/>
      <c r="AZ38" s="702"/>
      <c r="BA38" s="672">
        <f t="shared" si="15"/>
        <v>25208</v>
      </c>
      <c r="BB38" s="673"/>
      <c r="BC38" s="674"/>
      <c r="BD38" s="146"/>
    </row>
    <row r="39" spans="1:63" ht="27" customHeight="1" x14ac:dyDescent="0.55000000000000004">
      <c r="A39" s="722" t="s">
        <v>56</v>
      </c>
      <c r="B39" s="723"/>
      <c r="C39" s="723"/>
      <c r="D39" s="723"/>
      <c r="E39" s="723"/>
      <c r="F39" s="723"/>
      <c r="G39" s="723"/>
      <c r="H39" s="723"/>
      <c r="I39" s="717">
        <v>133965</v>
      </c>
      <c r="J39" s="718"/>
      <c r="K39" s="680">
        <f>IFERROR(VLOOKUP(A39,Input[],574,FALSE),"")</f>
        <v>262.23</v>
      </c>
      <c r="L39" s="681"/>
      <c r="M39" s="682"/>
      <c r="N39" s="703">
        <f>ROUND(SUMIFS(Input[Instruction
Uses],Input[Institution Name],$A39),0)</f>
        <v>4331280</v>
      </c>
      <c r="O39" s="704"/>
      <c r="P39" s="705"/>
      <c r="Q39" s="661">
        <f t="shared" ref="Q39:Q40" si="16">ROUND(N39/$K39,0)</f>
        <v>16517</v>
      </c>
      <c r="R39" s="662"/>
      <c r="S39" s="663"/>
      <c r="T39" s="703">
        <f>ROUND(SUMIFS(Input[Research
Uses],Input[Institution Name],$A39),0)</f>
        <v>4807</v>
      </c>
      <c r="U39" s="704"/>
      <c r="V39" s="705"/>
      <c r="W39" s="661">
        <f t="shared" si="9"/>
        <v>18</v>
      </c>
      <c r="X39" s="662"/>
      <c r="Y39" s="663"/>
      <c r="Z39" s="703">
        <f>ROUND(SUMIFS(Input[Academic
Uses],Input[Institution Name],$A39),0)</f>
        <v>751220</v>
      </c>
      <c r="AA39" s="704"/>
      <c r="AB39" s="705"/>
      <c r="AC39" s="661">
        <f t="shared" si="10"/>
        <v>2865</v>
      </c>
      <c r="AD39" s="662"/>
      <c r="AE39" s="663"/>
      <c r="AF39" s="703">
        <f>ROUND(SUMIFS(Input[Institutional
Uses],Input[Institution Name],$A39),0)</f>
        <v>1404772</v>
      </c>
      <c r="AG39" s="704"/>
      <c r="AH39" s="705"/>
      <c r="AI39" s="661">
        <f t="shared" si="11"/>
        <v>5357</v>
      </c>
      <c r="AJ39" s="662"/>
      <c r="AK39" s="663"/>
      <c r="AL39" s="703">
        <f>ROUND(SUMIFS(Input[Student
Uses],Input[Institution Name],$A39),0)</f>
        <v>1354999</v>
      </c>
      <c r="AM39" s="704"/>
      <c r="AN39" s="705"/>
      <c r="AO39" s="661">
        <f t="shared" si="12"/>
        <v>5167</v>
      </c>
      <c r="AP39" s="662"/>
      <c r="AQ39" s="663"/>
      <c r="AR39" s="703">
        <f>ROUND(SUMIFS(Input[Operations
Uses],Input[Institution Name],$A39),0)
+ROUND(SUMIFS(Input[Scholarships
Uses],Input[Institution Name],$A39),0)
+ROUND(SUMIFS(Input[Capital
Uses],Input[Institution Name],$A39),0)
+ROUND(SUMIFS(Input[Other
Uses],Input[Institution Name],$A39),0)</f>
        <v>1711350</v>
      </c>
      <c r="AS39" s="704"/>
      <c r="AT39" s="705"/>
      <c r="AU39" s="661">
        <f t="shared" si="13"/>
        <v>6526</v>
      </c>
      <c r="AV39" s="662"/>
      <c r="AW39" s="663"/>
      <c r="AX39" s="703">
        <f t="shared" si="14"/>
        <v>9558428</v>
      </c>
      <c r="AY39" s="704"/>
      <c r="AZ39" s="705"/>
      <c r="BA39" s="661">
        <f t="shared" si="15"/>
        <v>36451</v>
      </c>
      <c r="BB39" s="662"/>
      <c r="BC39" s="663"/>
      <c r="BD39" s="146"/>
    </row>
    <row r="40" spans="1:63" ht="27" customHeight="1" x14ac:dyDescent="0.55000000000000004">
      <c r="A40" s="732" t="s">
        <v>57</v>
      </c>
      <c r="B40" s="733"/>
      <c r="C40" s="733"/>
      <c r="D40" s="733"/>
      <c r="E40" s="733"/>
      <c r="F40" s="733"/>
      <c r="G40" s="733"/>
      <c r="H40" s="733"/>
      <c r="I40" s="724">
        <v>203634</v>
      </c>
      <c r="J40" s="725"/>
      <c r="K40" s="695">
        <f>IFERROR(VLOOKUP(A40,Input[],574,FALSE),"")</f>
        <v>674.78</v>
      </c>
      <c r="L40" s="696"/>
      <c r="M40" s="697"/>
      <c r="N40" s="719">
        <f>ROUND(SUMIFS(Input[Instruction
Uses],Input[Institution Name],$A40),0)</f>
        <v>5750679</v>
      </c>
      <c r="O40" s="720"/>
      <c r="P40" s="721"/>
      <c r="Q40" s="692">
        <f t="shared" si="16"/>
        <v>8522</v>
      </c>
      <c r="R40" s="693"/>
      <c r="S40" s="694"/>
      <c r="T40" s="719">
        <f>ROUND(SUMIFS(Input[Research
Uses],Input[Institution Name],$A40),0)</f>
        <v>7131</v>
      </c>
      <c r="U40" s="720"/>
      <c r="V40" s="721"/>
      <c r="W40" s="692">
        <f t="shared" si="9"/>
        <v>11</v>
      </c>
      <c r="X40" s="693"/>
      <c r="Y40" s="694"/>
      <c r="Z40" s="719">
        <f>ROUND(SUMIFS(Input[Academic
Uses],Input[Institution Name],$A40),0)</f>
        <v>1394390</v>
      </c>
      <c r="AA40" s="720"/>
      <c r="AB40" s="721"/>
      <c r="AC40" s="692">
        <f t="shared" si="10"/>
        <v>2066</v>
      </c>
      <c r="AD40" s="693"/>
      <c r="AE40" s="694"/>
      <c r="AF40" s="719">
        <f>ROUND(SUMIFS(Input[Institutional
Uses],Input[Institution Name],$A40),0)</f>
        <v>1097624</v>
      </c>
      <c r="AG40" s="720"/>
      <c r="AH40" s="721"/>
      <c r="AI40" s="692">
        <f t="shared" si="11"/>
        <v>1627</v>
      </c>
      <c r="AJ40" s="693"/>
      <c r="AK40" s="694"/>
      <c r="AL40" s="719">
        <f>ROUND(SUMIFS(Input[Student
Uses],Input[Institution Name],$A40),0)</f>
        <v>1860048</v>
      </c>
      <c r="AM40" s="720"/>
      <c r="AN40" s="721"/>
      <c r="AO40" s="692">
        <f t="shared" si="12"/>
        <v>2757</v>
      </c>
      <c r="AP40" s="693"/>
      <c r="AQ40" s="694"/>
      <c r="AR40" s="719">
        <f>ROUND(SUMIFS(Input[Operations
Uses],Input[Institution Name],$A40),0)
+ROUND(SUMIFS(Input[Scholarships
Uses],Input[Institution Name],$A40),0)
+ROUND(SUMIFS(Input[Capital
Uses],Input[Institution Name],$A40),0)
+ROUND(SUMIFS(Input[Other
Uses],Input[Institution Name],$A40),0)</f>
        <v>3507961</v>
      </c>
      <c r="AS40" s="720"/>
      <c r="AT40" s="721"/>
      <c r="AU40" s="692">
        <f t="shared" si="13"/>
        <v>5199</v>
      </c>
      <c r="AV40" s="693"/>
      <c r="AW40" s="694"/>
      <c r="AX40" s="719">
        <f t="shared" si="14"/>
        <v>13617833</v>
      </c>
      <c r="AY40" s="720"/>
      <c r="AZ40" s="721"/>
      <c r="BA40" s="692">
        <f t="shared" si="15"/>
        <v>20181</v>
      </c>
      <c r="BB40" s="693"/>
      <c r="BC40" s="694"/>
      <c r="BD40" s="146"/>
    </row>
    <row r="41" spans="1:63" ht="27" customHeight="1" x14ac:dyDescent="0.55000000000000004">
      <c r="A41" s="730"/>
      <c r="B41" s="731"/>
      <c r="C41" s="731"/>
      <c r="D41" s="731"/>
      <c r="E41" s="731"/>
      <c r="F41" s="731"/>
      <c r="G41" s="731"/>
      <c r="H41" s="731"/>
      <c r="I41" s="689">
        <f>COUNT($I$32:$I$40)</f>
        <v>9</v>
      </c>
      <c r="J41" s="690"/>
      <c r="K41" s="691">
        <f>SUM(K32:M40)</f>
        <v>16522.21</v>
      </c>
      <c r="L41" s="691"/>
      <c r="M41" s="691"/>
      <c r="N41" s="685">
        <f>SUM(N32:P40)</f>
        <v>135754266</v>
      </c>
      <c r="O41" s="686"/>
      <c r="P41" s="686"/>
      <c r="Q41" s="686">
        <f>N41/$K$41</f>
        <v>8216.4714042491905</v>
      </c>
      <c r="R41" s="686"/>
      <c r="S41" s="687"/>
      <c r="T41" s="685">
        <f>SUM(T32:V40)</f>
        <v>188722</v>
      </c>
      <c r="U41" s="686"/>
      <c r="V41" s="686"/>
      <c r="W41" s="686">
        <f>T41/$K$41</f>
        <v>11.422321832248834</v>
      </c>
      <c r="X41" s="686"/>
      <c r="Y41" s="687"/>
      <c r="Z41" s="685">
        <f>SUM(Z32:AB40)</f>
        <v>35533030</v>
      </c>
      <c r="AA41" s="686"/>
      <c r="AB41" s="686"/>
      <c r="AC41" s="686">
        <f>Z41/$K$41</f>
        <v>2150.6221020069352</v>
      </c>
      <c r="AD41" s="686"/>
      <c r="AE41" s="687"/>
      <c r="AF41" s="685">
        <f>SUM(AF32:AH40)</f>
        <v>41180399</v>
      </c>
      <c r="AG41" s="686"/>
      <c r="AH41" s="686"/>
      <c r="AI41" s="686">
        <f>AF41/$K$41</f>
        <v>2492.426800046725</v>
      </c>
      <c r="AJ41" s="686"/>
      <c r="AK41" s="687"/>
      <c r="AL41" s="685">
        <f>SUM(AL32:AN40)</f>
        <v>30675407</v>
      </c>
      <c r="AM41" s="686"/>
      <c r="AN41" s="686"/>
      <c r="AO41" s="686">
        <f>AL41/$K$41</f>
        <v>1856.6164574835934</v>
      </c>
      <c r="AP41" s="686"/>
      <c r="AQ41" s="687"/>
      <c r="AR41" s="685">
        <f>SUM(AR32:AT40)</f>
        <v>127537201</v>
      </c>
      <c r="AS41" s="686"/>
      <c r="AT41" s="686"/>
      <c r="AU41" s="686">
        <f>AR41/$K$41</f>
        <v>7719.136907229723</v>
      </c>
      <c r="AV41" s="686"/>
      <c r="AW41" s="687"/>
      <c r="AX41" s="685">
        <f>SUM(AX32:AZ40)</f>
        <v>370869025</v>
      </c>
      <c r="AY41" s="686"/>
      <c r="AZ41" s="686"/>
      <c r="BA41" s="686">
        <f>AX41/$K$41</f>
        <v>22446.695992848414</v>
      </c>
      <c r="BB41" s="686"/>
      <c r="BC41" s="687"/>
      <c r="BD41" s="146"/>
    </row>
    <row r="42" spans="1:63" ht="28.2" customHeight="1" x14ac:dyDescent="0.55000000000000004">
      <c r="A42" s="715" t="s">
        <v>1908</v>
      </c>
      <c r="B42" s="715"/>
      <c r="C42" s="715"/>
      <c r="D42" s="715"/>
      <c r="E42" s="715"/>
      <c r="F42" s="715"/>
      <c r="G42" s="715"/>
      <c r="H42" s="715"/>
      <c r="I42" s="715"/>
      <c r="J42" s="715"/>
      <c r="K42" s="715"/>
      <c r="L42" s="715"/>
      <c r="M42" s="715"/>
      <c r="N42" s="715"/>
      <c r="O42" s="715"/>
      <c r="P42" s="715"/>
      <c r="Q42" s="715"/>
      <c r="R42" s="715"/>
      <c r="S42" s="715"/>
      <c r="T42" s="715"/>
      <c r="U42" s="715"/>
      <c r="V42" s="715"/>
      <c r="W42" s="715"/>
      <c r="X42" s="715"/>
      <c r="Y42" s="715"/>
      <c r="Z42" s="715"/>
      <c r="AA42" s="715"/>
      <c r="AB42" s="715"/>
      <c r="AC42" s="715"/>
      <c r="AD42" s="715"/>
      <c r="AE42" s="715"/>
      <c r="AF42" s="715"/>
      <c r="AG42" s="715"/>
      <c r="AH42" s="715"/>
      <c r="AI42" s="715"/>
      <c r="AJ42" s="715"/>
      <c r="AK42" s="715"/>
      <c r="AL42" s="715"/>
      <c r="AM42" s="715"/>
      <c r="AN42" s="715"/>
      <c r="AO42" s="715"/>
      <c r="AP42" s="715"/>
      <c r="AQ42" s="715"/>
      <c r="AR42" s="715"/>
      <c r="AS42" s="715"/>
      <c r="AT42" s="715"/>
      <c r="AU42" s="715"/>
      <c r="AV42" s="715"/>
      <c r="AW42" s="715"/>
      <c r="AX42" s="715"/>
      <c r="AY42" s="715"/>
      <c r="AZ42" s="715"/>
      <c r="BA42" s="715"/>
      <c r="BB42" s="715"/>
      <c r="BC42" s="715"/>
      <c r="BD42" s="146"/>
    </row>
    <row r="43" spans="1:63" ht="28.2" customHeight="1" x14ac:dyDescent="0.55000000000000004">
      <c r="A43" s="715" t="s">
        <v>1919</v>
      </c>
      <c r="B43" s="715"/>
      <c r="C43" s="715"/>
      <c r="D43" s="715"/>
      <c r="E43" s="715"/>
      <c r="F43" s="715"/>
      <c r="G43" s="715"/>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5"/>
      <c r="AF43" s="715"/>
      <c r="AG43" s="715"/>
      <c r="AH43" s="715"/>
      <c r="AI43" s="715"/>
      <c r="AJ43" s="715"/>
      <c r="AK43" s="715"/>
      <c r="AL43" s="715"/>
      <c r="AM43" s="715"/>
      <c r="AN43" s="715"/>
      <c r="AO43" s="715"/>
      <c r="AP43" s="715"/>
      <c r="AQ43" s="715"/>
      <c r="AR43" s="715"/>
      <c r="AS43" s="715"/>
      <c r="AT43" s="715"/>
      <c r="AU43" s="715"/>
      <c r="AV43" s="715"/>
      <c r="AW43" s="715"/>
      <c r="AX43" s="715"/>
      <c r="AY43" s="715"/>
      <c r="AZ43" s="715"/>
      <c r="BA43" s="715"/>
      <c r="BB43" s="715"/>
      <c r="BC43" s="715"/>
      <c r="BD43" s="146"/>
    </row>
    <row r="44" spans="1:63" ht="27" customHeight="1" x14ac:dyDescent="0.55000000000000004">
      <c r="A44" s="149"/>
      <c r="B44" s="149"/>
      <c r="C44" s="149"/>
      <c r="D44" s="149"/>
      <c r="E44" s="149"/>
      <c r="F44" s="149"/>
      <c r="G44" s="149"/>
      <c r="H44" s="149"/>
      <c r="I44" s="149"/>
      <c r="J44" s="149"/>
      <c r="K44" s="149"/>
      <c r="L44" s="149"/>
      <c r="M44" s="149"/>
      <c r="N44" s="146"/>
      <c r="O44" s="146"/>
      <c r="P44" s="146"/>
      <c r="Q44" s="146"/>
      <c r="R44" s="146"/>
      <c r="S44" s="146"/>
      <c r="T44" s="146"/>
      <c r="U44" s="146"/>
      <c r="V44" s="146"/>
      <c r="W44" s="146"/>
      <c r="X44" s="146"/>
      <c r="Y44" s="146"/>
      <c r="Z44" s="146"/>
      <c r="AA44" s="146"/>
      <c r="AB44" s="146"/>
      <c r="AC44" s="146"/>
      <c r="AD44" s="146"/>
      <c r="AE44" s="146"/>
      <c r="AF44" s="146"/>
      <c r="AG44" s="146"/>
      <c r="AH44" s="146"/>
      <c r="AI44" s="146"/>
      <c r="AJ44" s="146"/>
      <c r="AK44" s="146"/>
      <c r="AL44" s="146"/>
      <c r="AM44" s="146"/>
      <c r="AN44" s="146"/>
      <c r="AO44" s="146"/>
      <c r="AP44" s="146"/>
      <c r="AQ44" s="146"/>
      <c r="AR44" s="146"/>
      <c r="AS44" s="146"/>
      <c r="AT44" s="146"/>
      <c r="AU44" s="146"/>
      <c r="AV44" s="146"/>
      <c r="AW44" s="146"/>
      <c r="AX44" s="146"/>
      <c r="AY44" s="146"/>
      <c r="AZ44" s="146"/>
      <c r="BA44" s="146"/>
      <c r="BB44" s="146"/>
      <c r="BC44" s="146"/>
      <c r="BD44" s="146"/>
    </row>
    <row r="45" spans="1:63" ht="31.95" customHeight="1" x14ac:dyDescent="0.55000000000000004">
      <c r="A45" s="729" t="s">
        <v>22</v>
      </c>
      <c r="B45" s="729"/>
      <c r="C45" s="729"/>
      <c r="D45" s="729"/>
      <c r="E45" s="729"/>
      <c r="F45" s="729"/>
      <c r="G45" s="729"/>
      <c r="H45" s="729"/>
      <c r="I45" s="729"/>
      <c r="J45" s="729"/>
      <c r="K45" s="729"/>
      <c r="L45" s="729"/>
      <c r="M45" s="729"/>
      <c r="N45" s="729"/>
      <c r="O45" s="729"/>
      <c r="P45" s="729"/>
      <c r="Q45" s="729"/>
      <c r="R45" s="729"/>
      <c r="S45" s="729"/>
      <c r="T45" s="729"/>
      <c r="U45" s="729"/>
      <c r="V45" s="729"/>
      <c r="W45" s="729"/>
      <c r="X45" s="729"/>
      <c r="Y45" s="729"/>
      <c r="Z45" s="729"/>
      <c r="AA45" s="729"/>
      <c r="AB45" s="729"/>
      <c r="AC45" s="729"/>
      <c r="AD45" s="729"/>
      <c r="AE45" s="729"/>
      <c r="AF45" s="729"/>
      <c r="AG45" s="729"/>
      <c r="AH45" s="729"/>
      <c r="AI45" s="729"/>
      <c r="AJ45" s="729"/>
      <c r="AK45" s="729"/>
      <c r="AL45" s="729"/>
      <c r="AM45" s="729"/>
      <c r="AN45" s="729"/>
      <c r="AO45" s="729"/>
      <c r="AP45" s="729"/>
      <c r="AQ45" s="729"/>
      <c r="AR45" s="729"/>
      <c r="AS45" s="729"/>
      <c r="AT45" s="729"/>
      <c r="AU45" s="729"/>
      <c r="AV45" s="729"/>
      <c r="AW45" s="729"/>
      <c r="AX45" s="729"/>
      <c r="AY45" s="729"/>
      <c r="AZ45" s="729"/>
      <c r="BA45" s="729"/>
      <c r="BB45" s="729"/>
      <c r="BC45" s="729"/>
      <c r="BD45" s="146"/>
    </row>
    <row r="46" spans="1:63" ht="27" customHeight="1" x14ac:dyDescent="0.55000000000000004">
      <c r="A46" s="146"/>
      <c r="B46" s="146"/>
      <c r="C46" s="146"/>
      <c r="D46" s="146"/>
      <c r="E46" s="146"/>
      <c r="F46" s="146"/>
      <c r="G46" s="146"/>
      <c r="H46" s="146"/>
      <c r="I46" s="206">
        <f>COLUMN()-9</f>
        <v>0</v>
      </c>
      <c r="J46" s="206">
        <f t="shared" ref="J46:BC46" si="17">COLUMN()-9</f>
        <v>1</v>
      </c>
      <c r="K46" s="206">
        <f t="shared" si="17"/>
        <v>2</v>
      </c>
      <c r="L46" s="206">
        <f t="shared" si="17"/>
        <v>3</v>
      </c>
      <c r="M46" s="206">
        <f t="shared" si="17"/>
        <v>4</v>
      </c>
      <c r="N46" s="206">
        <f t="shared" si="17"/>
        <v>5</v>
      </c>
      <c r="O46" s="206">
        <f t="shared" si="17"/>
        <v>6</v>
      </c>
      <c r="P46" s="206">
        <f t="shared" si="17"/>
        <v>7</v>
      </c>
      <c r="Q46" s="206">
        <f t="shared" si="17"/>
        <v>8</v>
      </c>
      <c r="R46" s="206">
        <f t="shared" si="17"/>
        <v>9</v>
      </c>
      <c r="S46" s="206">
        <f t="shared" si="17"/>
        <v>10</v>
      </c>
      <c r="T46" s="206">
        <f t="shared" si="17"/>
        <v>11</v>
      </c>
      <c r="U46" s="206">
        <f t="shared" si="17"/>
        <v>12</v>
      </c>
      <c r="V46" s="206">
        <f t="shared" si="17"/>
        <v>13</v>
      </c>
      <c r="W46" s="206">
        <f t="shared" si="17"/>
        <v>14</v>
      </c>
      <c r="X46" s="206">
        <f t="shared" si="17"/>
        <v>15</v>
      </c>
      <c r="Y46" s="206">
        <f t="shared" si="17"/>
        <v>16</v>
      </c>
      <c r="Z46" s="206">
        <f t="shared" si="17"/>
        <v>17</v>
      </c>
      <c r="AA46" s="206">
        <f t="shared" si="17"/>
        <v>18</v>
      </c>
      <c r="AB46" s="206">
        <f t="shared" si="17"/>
        <v>19</v>
      </c>
      <c r="AC46" s="206">
        <f t="shared" si="17"/>
        <v>20</v>
      </c>
      <c r="AD46" s="206">
        <f t="shared" si="17"/>
        <v>21</v>
      </c>
      <c r="AE46" s="206">
        <f t="shared" si="17"/>
        <v>22</v>
      </c>
      <c r="AF46" s="206">
        <f t="shared" si="17"/>
        <v>23</v>
      </c>
      <c r="AG46" s="206">
        <f t="shared" si="17"/>
        <v>24</v>
      </c>
      <c r="AH46" s="206">
        <f t="shared" si="17"/>
        <v>25</v>
      </c>
      <c r="AI46" s="206">
        <f t="shared" si="17"/>
        <v>26</v>
      </c>
      <c r="AJ46" s="206">
        <f t="shared" si="17"/>
        <v>27</v>
      </c>
      <c r="AK46" s="206">
        <f t="shared" si="17"/>
        <v>28</v>
      </c>
      <c r="AL46" s="206">
        <f t="shared" si="17"/>
        <v>29</v>
      </c>
      <c r="AM46" s="206">
        <f t="shared" si="17"/>
        <v>30</v>
      </c>
      <c r="AN46" s="206">
        <f t="shared" si="17"/>
        <v>31</v>
      </c>
      <c r="AO46" s="206">
        <f t="shared" si="17"/>
        <v>32</v>
      </c>
      <c r="AP46" s="206">
        <f t="shared" si="17"/>
        <v>33</v>
      </c>
      <c r="AQ46" s="206">
        <f t="shared" si="17"/>
        <v>34</v>
      </c>
      <c r="AR46" s="206">
        <f t="shared" si="17"/>
        <v>35</v>
      </c>
      <c r="AS46" s="206">
        <f t="shared" si="17"/>
        <v>36</v>
      </c>
      <c r="AT46" s="206">
        <f t="shared" si="17"/>
        <v>37</v>
      </c>
      <c r="AU46" s="206">
        <f t="shared" si="17"/>
        <v>38</v>
      </c>
      <c r="AV46" s="206">
        <f t="shared" si="17"/>
        <v>39</v>
      </c>
      <c r="AW46" s="206">
        <f t="shared" si="17"/>
        <v>40</v>
      </c>
      <c r="AX46" s="206">
        <f t="shared" si="17"/>
        <v>41</v>
      </c>
      <c r="AY46" s="206">
        <f t="shared" si="17"/>
        <v>42</v>
      </c>
      <c r="AZ46" s="206">
        <f t="shared" si="17"/>
        <v>43</v>
      </c>
      <c r="BA46" s="206">
        <f t="shared" si="17"/>
        <v>44</v>
      </c>
      <c r="BB46" s="206">
        <f t="shared" si="17"/>
        <v>45</v>
      </c>
      <c r="BC46" s="206">
        <f t="shared" si="17"/>
        <v>46</v>
      </c>
      <c r="BD46" s="146"/>
    </row>
    <row r="47" spans="1:63" ht="27" customHeight="1" x14ac:dyDescent="0.55000000000000004">
      <c r="A47" s="735" t="s">
        <v>31</v>
      </c>
      <c r="B47" s="736"/>
      <c r="C47" s="736"/>
      <c r="D47" s="736"/>
      <c r="E47" s="736"/>
      <c r="F47" s="736"/>
      <c r="G47" s="736"/>
      <c r="H47" s="736"/>
      <c r="I47" s="739" t="s">
        <v>33</v>
      </c>
      <c r="J47" s="740"/>
      <c r="K47" s="743" t="s">
        <v>175</v>
      </c>
      <c r="L47" s="743"/>
      <c r="M47" s="743"/>
      <c r="N47" s="706" t="s">
        <v>751</v>
      </c>
      <c r="O47" s="707"/>
      <c r="P47" s="707"/>
      <c r="Q47" s="707"/>
      <c r="R47" s="707"/>
      <c r="S47" s="708"/>
      <c r="T47" s="706" t="s">
        <v>35</v>
      </c>
      <c r="U47" s="707"/>
      <c r="V47" s="707"/>
      <c r="W47" s="707"/>
      <c r="X47" s="707"/>
      <c r="Y47" s="708"/>
      <c r="Z47" s="706" t="s">
        <v>36</v>
      </c>
      <c r="AA47" s="707"/>
      <c r="AB47" s="707"/>
      <c r="AC47" s="707"/>
      <c r="AD47" s="707"/>
      <c r="AE47" s="708"/>
      <c r="AF47" s="706" t="s">
        <v>38</v>
      </c>
      <c r="AG47" s="707"/>
      <c r="AH47" s="707"/>
      <c r="AI47" s="707"/>
      <c r="AJ47" s="707"/>
      <c r="AK47" s="708"/>
      <c r="AL47" s="706" t="s">
        <v>37</v>
      </c>
      <c r="AM47" s="707"/>
      <c r="AN47" s="707"/>
      <c r="AO47" s="707"/>
      <c r="AP47" s="707"/>
      <c r="AQ47" s="708"/>
      <c r="AR47" s="734" t="s">
        <v>1880</v>
      </c>
      <c r="AS47" s="707"/>
      <c r="AT47" s="707"/>
      <c r="AU47" s="707"/>
      <c r="AV47" s="707"/>
      <c r="AW47" s="708"/>
      <c r="AX47" s="706" t="s">
        <v>750</v>
      </c>
      <c r="AY47" s="707"/>
      <c r="AZ47" s="707"/>
      <c r="BA47" s="707"/>
      <c r="BB47" s="707"/>
      <c r="BC47" s="708"/>
      <c r="BD47" s="146"/>
      <c r="BF47" s="232"/>
      <c r="BG47" s="232"/>
      <c r="BH47" s="232"/>
      <c r="BI47" s="232"/>
      <c r="BJ47" s="232"/>
      <c r="BK47" s="232"/>
    </row>
    <row r="48" spans="1:63" s="150" customFormat="1" ht="27" customHeight="1" x14ac:dyDescent="0.6">
      <c r="A48" s="737"/>
      <c r="B48" s="738"/>
      <c r="C48" s="738"/>
      <c r="D48" s="738"/>
      <c r="E48" s="738"/>
      <c r="F48" s="738"/>
      <c r="G48" s="738"/>
      <c r="H48" s="738"/>
      <c r="I48" s="741"/>
      <c r="J48" s="742"/>
      <c r="K48" s="744"/>
      <c r="L48" s="744"/>
      <c r="M48" s="744"/>
      <c r="N48" s="709" t="s">
        <v>137</v>
      </c>
      <c r="O48" s="710"/>
      <c r="P48" s="710"/>
      <c r="Q48" s="710" t="s">
        <v>136</v>
      </c>
      <c r="R48" s="710"/>
      <c r="S48" s="711"/>
      <c r="T48" s="709" t="s">
        <v>137</v>
      </c>
      <c r="U48" s="710"/>
      <c r="V48" s="710"/>
      <c r="W48" s="710" t="s">
        <v>136</v>
      </c>
      <c r="X48" s="710"/>
      <c r="Y48" s="711"/>
      <c r="Z48" s="709" t="s">
        <v>137</v>
      </c>
      <c r="AA48" s="710"/>
      <c r="AB48" s="710"/>
      <c r="AC48" s="710" t="s">
        <v>136</v>
      </c>
      <c r="AD48" s="710"/>
      <c r="AE48" s="711"/>
      <c r="AF48" s="709" t="s">
        <v>137</v>
      </c>
      <c r="AG48" s="710"/>
      <c r="AH48" s="710"/>
      <c r="AI48" s="710" t="s">
        <v>136</v>
      </c>
      <c r="AJ48" s="710"/>
      <c r="AK48" s="711"/>
      <c r="AL48" s="709" t="s">
        <v>137</v>
      </c>
      <c r="AM48" s="710"/>
      <c r="AN48" s="710"/>
      <c r="AO48" s="710" t="s">
        <v>136</v>
      </c>
      <c r="AP48" s="710"/>
      <c r="AQ48" s="711"/>
      <c r="AR48" s="709" t="s">
        <v>137</v>
      </c>
      <c r="AS48" s="710"/>
      <c r="AT48" s="710"/>
      <c r="AU48" s="710" t="s">
        <v>136</v>
      </c>
      <c r="AV48" s="710"/>
      <c r="AW48" s="711"/>
      <c r="AX48" s="709" t="s">
        <v>137</v>
      </c>
      <c r="AY48" s="710"/>
      <c r="AZ48" s="710"/>
      <c r="BA48" s="710" t="s">
        <v>136</v>
      </c>
      <c r="BB48" s="710"/>
      <c r="BC48" s="711"/>
      <c r="BD48" s="144"/>
      <c r="BF48" s="233"/>
      <c r="BG48" s="233"/>
      <c r="BH48" s="233"/>
      <c r="BI48" s="233"/>
      <c r="BJ48" s="233"/>
      <c r="BK48" s="233"/>
    </row>
    <row r="49" spans="1:63" ht="27" customHeight="1" x14ac:dyDescent="0.55000000000000004">
      <c r="A49" s="732" t="s">
        <v>58</v>
      </c>
      <c r="B49" s="733"/>
      <c r="C49" s="733"/>
      <c r="D49" s="733"/>
      <c r="E49" s="733"/>
      <c r="F49" s="733"/>
      <c r="G49" s="733"/>
      <c r="H49" s="733"/>
      <c r="I49" s="724">
        <v>3656</v>
      </c>
      <c r="J49" s="725"/>
      <c r="K49" s="678">
        <f>IFERROR(VLOOKUP(A49,Input[],574,FALSE),"")</f>
        <v>33010.629999999997</v>
      </c>
      <c r="L49" s="678"/>
      <c r="M49" s="678"/>
      <c r="N49" s="716">
        <f>ROUND(SUMIFS(Input[Instruction
Uses],Input[Institution Name],$A49),0)</f>
        <v>241968412</v>
      </c>
      <c r="O49" s="649"/>
      <c r="P49" s="649"/>
      <c r="Q49" s="683">
        <f>ROUND(N49/$K49,0)</f>
        <v>7330</v>
      </c>
      <c r="R49" s="683"/>
      <c r="S49" s="684"/>
      <c r="T49" s="716">
        <f>ROUND(SUMIFS(Input[Research
Uses],Input[Institution Name],$A49),0)</f>
        <v>117733483</v>
      </c>
      <c r="U49" s="649"/>
      <c r="V49" s="649"/>
      <c r="W49" s="683">
        <f>ROUND(T49/$K49,0)</f>
        <v>3567</v>
      </c>
      <c r="X49" s="683"/>
      <c r="Y49" s="684"/>
      <c r="Z49" s="716">
        <f>ROUND(SUMIFS(Input[Academic
Uses],Input[Institution Name],$A49),0)</f>
        <v>59138829</v>
      </c>
      <c r="AA49" s="649"/>
      <c r="AB49" s="649"/>
      <c r="AC49" s="683">
        <f>ROUND(Z49/$K49,0)</f>
        <v>1792</v>
      </c>
      <c r="AD49" s="683"/>
      <c r="AE49" s="684"/>
      <c r="AF49" s="716">
        <f>ROUND(SUMIFS(Input[Institutional
Uses],Input[Institution Name],$A49),0)</f>
        <v>61564859</v>
      </c>
      <c r="AG49" s="649"/>
      <c r="AH49" s="649"/>
      <c r="AI49" s="683">
        <f>ROUND(AF49/$K49,0)</f>
        <v>1865</v>
      </c>
      <c r="AJ49" s="683"/>
      <c r="AK49" s="684"/>
      <c r="AL49" s="716">
        <f>ROUND(SUMIFS(Input[Student
Uses],Input[Institution Name],$A49),0)</f>
        <v>87002680</v>
      </c>
      <c r="AM49" s="649"/>
      <c r="AN49" s="649"/>
      <c r="AO49" s="683">
        <f>ROUND(AL49/$K49,0)</f>
        <v>2636</v>
      </c>
      <c r="AP49" s="683"/>
      <c r="AQ49" s="684"/>
      <c r="AR49" s="716">
        <f>ROUND(SUMIFS(Input[Operations
Uses],Input[Institution Name],$A49),0)
+ROUND(SUMIFS(Input[Scholarships
Uses],Input[Institution Name],$A49),0)
+ROUND(SUMIFS(Input[Capital
Uses],Input[Institution Name],$A49),0)
+ROUND(SUMIFS(Input[Other
Uses],Input[Institution Name],$A49),0)</f>
        <v>127707180</v>
      </c>
      <c r="AS49" s="649"/>
      <c r="AT49" s="649"/>
      <c r="AU49" s="683">
        <f>ROUND(AR49/$K49,0)</f>
        <v>3869</v>
      </c>
      <c r="AV49" s="683"/>
      <c r="AW49" s="684"/>
      <c r="AX49" s="648">
        <f>SUM($N49,$T49,$Z49,$AF49,$AL49,$AR49)</f>
        <v>695115443</v>
      </c>
      <c r="AY49" s="649"/>
      <c r="AZ49" s="649"/>
      <c r="BA49" s="683">
        <f>ROUND(AX49/$K49,0)</f>
        <v>21057</v>
      </c>
      <c r="BB49" s="683"/>
      <c r="BC49" s="684"/>
      <c r="BD49" s="146"/>
      <c r="BF49" s="234"/>
      <c r="BG49" s="234"/>
      <c r="BH49" s="234"/>
      <c r="BI49" s="234"/>
      <c r="BJ49" s="234"/>
      <c r="BK49" s="234"/>
    </row>
    <row r="50" spans="1:63" ht="27" customHeight="1" x14ac:dyDescent="0.55000000000000004">
      <c r="A50" s="722" t="s">
        <v>59</v>
      </c>
      <c r="B50" s="723"/>
      <c r="C50" s="723"/>
      <c r="D50" s="723"/>
      <c r="E50" s="723"/>
      <c r="F50" s="723"/>
      <c r="G50" s="723"/>
      <c r="H50" s="723"/>
      <c r="I50" s="717">
        <v>3658</v>
      </c>
      <c r="J50" s="718"/>
      <c r="K50" s="680">
        <f>IFERROR(VLOOKUP(A50,Input[],574,FALSE),"")</f>
        <v>49666.81</v>
      </c>
      <c r="L50" s="681"/>
      <c r="M50" s="682"/>
      <c r="N50" s="703">
        <f>ROUND(SUMIFS(Input[Instruction
Uses],Input[Institution Name],$A50),0)</f>
        <v>769101349</v>
      </c>
      <c r="O50" s="704"/>
      <c r="P50" s="705"/>
      <c r="Q50" s="661">
        <f t="shared" ref="Q50:Q84" si="18">ROUND(N50/$K50,0)</f>
        <v>15485</v>
      </c>
      <c r="R50" s="662"/>
      <c r="S50" s="663"/>
      <c r="T50" s="703">
        <f>ROUND(SUMIFS(Input[Research
Uses],Input[Institution Name],$A50),0)</f>
        <v>808805732</v>
      </c>
      <c r="U50" s="704"/>
      <c r="V50" s="705"/>
      <c r="W50" s="661">
        <f t="shared" ref="W50:W84" si="19">ROUND(T50/$K50,0)</f>
        <v>16285</v>
      </c>
      <c r="X50" s="662"/>
      <c r="Y50" s="663"/>
      <c r="Z50" s="703">
        <f>ROUND(SUMIFS(Input[Academic
Uses],Input[Institution Name],$A50),0)</f>
        <v>502314543</v>
      </c>
      <c r="AA50" s="704"/>
      <c r="AB50" s="705"/>
      <c r="AC50" s="661">
        <f t="shared" ref="AC50:AC84" si="20">ROUND(Z50/$K50,0)</f>
        <v>10114</v>
      </c>
      <c r="AD50" s="662"/>
      <c r="AE50" s="663"/>
      <c r="AF50" s="703">
        <f>ROUND(SUMIFS(Input[Institutional
Uses],Input[Institution Name],$A50),0)</f>
        <v>225247196</v>
      </c>
      <c r="AG50" s="704"/>
      <c r="AH50" s="705"/>
      <c r="AI50" s="661">
        <f t="shared" ref="AI50:AI84" si="21">ROUND(AF50/$K50,0)</f>
        <v>4535</v>
      </c>
      <c r="AJ50" s="662"/>
      <c r="AK50" s="663"/>
      <c r="AL50" s="703">
        <f>ROUND(SUMIFS(Input[Student
Uses],Input[Institution Name],$A50),0)</f>
        <v>50664976</v>
      </c>
      <c r="AM50" s="704"/>
      <c r="AN50" s="705"/>
      <c r="AO50" s="661">
        <f t="shared" ref="AO50:AO84" si="22">ROUND(AL50/$K50,0)</f>
        <v>1020</v>
      </c>
      <c r="AP50" s="662"/>
      <c r="AQ50" s="663"/>
      <c r="AR50" s="703">
        <f>ROUND(SUMIFS(Input[Operations
Uses],Input[Institution Name],$A50),0)
+ROUND(SUMIFS(Input[Scholarships
Uses],Input[Institution Name],$A50),0)
+ROUND(SUMIFS(Input[Capital
Uses],Input[Institution Name],$A50),0)
+ROUND(SUMIFS(Input[Other
Uses],Input[Institution Name],$A50),0)</f>
        <v>642669486</v>
      </c>
      <c r="AS50" s="704"/>
      <c r="AT50" s="705"/>
      <c r="AU50" s="661">
        <f t="shared" ref="AU50:AU84" si="23">ROUND(AR50/$K50,0)</f>
        <v>12940</v>
      </c>
      <c r="AV50" s="662"/>
      <c r="AW50" s="663"/>
      <c r="AX50" s="703">
        <f t="shared" ref="AX50:AX84" si="24">SUM($N50,$T50,$Z50,$AF50,$AL50,$AR50)</f>
        <v>2998803282</v>
      </c>
      <c r="AY50" s="704"/>
      <c r="AZ50" s="705"/>
      <c r="BA50" s="661">
        <f t="shared" ref="BA50:BA84" si="25">ROUND(AX50/$K50,0)</f>
        <v>60378</v>
      </c>
      <c r="BB50" s="662"/>
      <c r="BC50" s="663"/>
      <c r="BD50" s="146"/>
      <c r="BF50" s="234"/>
      <c r="BG50" s="234"/>
      <c r="BH50" s="234"/>
      <c r="BI50" s="234"/>
      <c r="BJ50" s="234"/>
      <c r="BK50" s="234"/>
    </row>
    <row r="51" spans="1:63" ht="27" customHeight="1" x14ac:dyDescent="0.55000000000000004">
      <c r="A51" s="732" t="s">
        <v>60</v>
      </c>
      <c r="B51" s="733"/>
      <c r="C51" s="733"/>
      <c r="D51" s="733"/>
      <c r="E51" s="733"/>
      <c r="F51" s="733"/>
      <c r="G51" s="733"/>
      <c r="H51" s="733"/>
      <c r="I51" s="724">
        <v>9741</v>
      </c>
      <c r="J51" s="725"/>
      <c r="K51" s="677">
        <f>IFERROR(VLOOKUP(A51,Input[],574,FALSE),"")</f>
        <v>26080.89</v>
      </c>
      <c r="L51" s="678"/>
      <c r="M51" s="679"/>
      <c r="N51" s="700">
        <f>ROUND(SUMIFS(Input[Instruction
Uses],Input[Institution Name],$A51),0)</f>
        <v>243024570</v>
      </c>
      <c r="O51" s="701"/>
      <c r="P51" s="702"/>
      <c r="Q51" s="672">
        <f t="shared" si="18"/>
        <v>9318</v>
      </c>
      <c r="R51" s="673"/>
      <c r="S51" s="674"/>
      <c r="T51" s="700">
        <f>ROUND(SUMIFS(Input[Research
Uses],Input[Institution Name],$A51),0)</f>
        <v>138572238</v>
      </c>
      <c r="U51" s="701"/>
      <c r="V51" s="702"/>
      <c r="W51" s="672">
        <f t="shared" si="19"/>
        <v>5313</v>
      </c>
      <c r="X51" s="673"/>
      <c r="Y51" s="674"/>
      <c r="Z51" s="700">
        <f>ROUND(SUMIFS(Input[Academic
Uses],Input[Institution Name],$A51),0)</f>
        <v>96570712</v>
      </c>
      <c r="AA51" s="701"/>
      <c r="AB51" s="702"/>
      <c r="AC51" s="672">
        <f t="shared" si="20"/>
        <v>3703</v>
      </c>
      <c r="AD51" s="673"/>
      <c r="AE51" s="674"/>
      <c r="AF51" s="700">
        <f>ROUND(SUMIFS(Input[Institutional
Uses],Input[Institution Name],$A51),0)</f>
        <v>52175568</v>
      </c>
      <c r="AG51" s="701"/>
      <c r="AH51" s="702"/>
      <c r="AI51" s="672">
        <f t="shared" si="21"/>
        <v>2001</v>
      </c>
      <c r="AJ51" s="673"/>
      <c r="AK51" s="674"/>
      <c r="AL51" s="700">
        <f>ROUND(SUMIFS(Input[Student
Uses],Input[Institution Name],$A51),0)</f>
        <v>27527552</v>
      </c>
      <c r="AM51" s="701"/>
      <c r="AN51" s="702"/>
      <c r="AO51" s="672">
        <f t="shared" si="22"/>
        <v>1055</v>
      </c>
      <c r="AP51" s="673"/>
      <c r="AQ51" s="674"/>
      <c r="AR51" s="700">
        <f>ROUND(SUMIFS(Input[Operations
Uses],Input[Institution Name],$A51),0)
+ROUND(SUMIFS(Input[Scholarships
Uses],Input[Institution Name],$A51),0)
+ROUND(SUMIFS(Input[Capital
Uses],Input[Institution Name],$A51),0)
+ROUND(SUMIFS(Input[Other
Uses],Input[Institution Name],$A51),0)</f>
        <v>138336524</v>
      </c>
      <c r="AS51" s="701"/>
      <c r="AT51" s="702"/>
      <c r="AU51" s="672">
        <f t="shared" si="23"/>
        <v>5304</v>
      </c>
      <c r="AV51" s="673"/>
      <c r="AW51" s="674"/>
      <c r="AX51" s="700">
        <f t="shared" si="24"/>
        <v>696207164</v>
      </c>
      <c r="AY51" s="701"/>
      <c r="AZ51" s="702"/>
      <c r="BA51" s="672">
        <f t="shared" si="25"/>
        <v>26694</v>
      </c>
      <c r="BB51" s="673"/>
      <c r="BC51" s="674"/>
      <c r="BD51" s="146"/>
      <c r="BF51" s="234"/>
      <c r="BG51" s="234"/>
      <c r="BH51" s="234"/>
      <c r="BI51" s="234"/>
      <c r="BJ51" s="234"/>
      <c r="BK51" s="234"/>
    </row>
    <row r="52" spans="1:63" ht="27" customHeight="1" x14ac:dyDescent="0.55000000000000004">
      <c r="A52" s="722" t="s">
        <v>61</v>
      </c>
      <c r="B52" s="723"/>
      <c r="C52" s="723"/>
      <c r="D52" s="723"/>
      <c r="E52" s="723"/>
      <c r="F52" s="723"/>
      <c r="G52" s="723"/>
      <c r="H52" s="723"/>
      <c r="I52" s="717">
        <v>3661</v>
      </c>
      <c r="J52" s="718"/>
      <c r="K52" s="680">
        <f>IFERROR(VLOOKUP(A52,Input[],574,FALSE),"")</f>
        <v>19593.310000000001</v>
      </c>
      <c r="L52" s="681"/>
      <c r="M52" s="682"/>
      <c r="N52" s="703">
        <f>ROUND(SUMIFS(Input[Instruction
Uses],Input[Institution Name],$A52),0)</f>
        <v>124482153</v>
      </c>
      <c r="O52" s="704"/>
      <c r="P52" s="705"/>
      <c r="Q52" s="661">
        <f t="shared" si="18"/>
        <v>6353</v>
      </c>
      <c r="R52" s="662"/>
      <c r="S52" s="663"/>
      <c r="T52" s="703">
        <f>ROUND(SUMIFS(Input[Research
Uses],Input[Institution Name],$A52),0)</f>
        <v>122078760</v>
      </c>
      <c r="U52" s="704"/>
      <c r="V52" s="705"/>
      <c r="W52" s="661">
        <f t="shared" si="19"/>
        <v>6231</v>
      </c>
      <c r="X52" s="662"/>
      <c r="Y52" s="663"/>
      <c r="Z52" s="703">
        <f>ROUND(SUMIFS(Input[Academic
Uses],Input[Institution Name],$A52),0)</f>
        <v>27881176</v>
      </c>
      <c r="AA52" s="704"/>
      <c r="AB52" s="705"/>
      <c r="AC52" s="661">
        <f t="shared" si="20"/>
        <v>1423</v>
      </c>
      <c r="AD52" s="662"/>
      <c r="AE52" s="663"/>
      <c r="AF52" s="703">
        <f>ROUND(SUMIFS(Input[Institutional
Uses],Input[Institution Name],$A52),0)</f>
        <v>43196058</v>
      </c>
      <c r="AG52" s="704"/>
      <c r="AH52" s="705"/>
      <c r="AI52" s="661">
        <f t="shared" si="21"/>
        <v>2205</v>
      </c>
      <c r="AJ52" s="662"/>
      <c r="AK52" s="663"/>
      <c r="AL52" s="703">
        <f>ROUND(SUMIFS(Input[Student
Uses],Input[Institution Name],$A52),0)</f>
        <v>25175181</v>
      </c>
      <c r="AM52" s="704"/>
      <c r="AN52" s="705"/>
      <c r="AO52" s="661">
        <f t="shared" si="22"/>
        <v>1285</v>
      </c>
      <c r="AP52" s="662"/>
      <c r="AQ52" s="663"/>
      <c r="AR52" s="703">
        <f>ROUND(SUMIFS(Input[Operations
Uses],Input[Institution Name],$A52),0)
+ROUND(SUMIFS(Input[Scholarships
Uses],Input[Institution Name],$A52),0)
+ROUND(SUMIFS(Input[Capital
Uses],Input[Institution Name],$A52),0)
+ROUND(SUMIFS(Input[Other
Uses],Input[Institution Name],$A52),0)</f>
        <v>121301748</v>
      </c>
      <c r="AS52" s="704"/>
      <c r="AT52" s="705"/>
      <c r="AU52" s="661">
        <f t="shared" si="23"/>
        <v>6191</v>
      </c>
      <c r="AV52" s="662"/>
      <c r="AW52" s="663"/>
      <c r="AX52" s="703">
        <f t="shared" si="24"/>
        <v>464115076</v>
      </c>
      <c r="AY52" s="704"/>
      <c r="AZ52" s="705"/>
      <c r="BA52" s="661">
        <f t="shared" si="25"/>
        <v>23687</v>
      </c>
      <c r="BB52" s="662"/>
      <c r="BC52" s="663"/>
      <c r="BD52" s="146"/>
      <c r="BF52" s="234"/>
      <c r="BG52" s="234"/>
      <c r="BH52" s="234"/>
      <c r="BI52" s="234"/>
      <c r="BJ52" s="234"/>
      <c r="BK52" s="234"/>
    </row>
    <row r="53" spans="1:63" ht="27" customHeight="1" x14ac:dyDescent="0.55000000000000004">
      <c r="A53" s="732" t="s">
        <v>62</v>
      </c>
      <c r="B53" s="733"/>
      <c r="C53" s="733"/>
      <c r="D53" s="733"/>
      <c r="E53" s="733"/>
      <c r="F53" s="733"/>
      <c r="G53" s="733"/>
      <c r="H53" s="733"/>
      <c r="I53" s="724">
        <v>3599</v>
      </c>
      <c r="J53" s="725"/>
      <c r="K53" s="677">
        <f>IFERROR(VLOOKUP(A53,Input[],574,FALSE),"")</f>
        <v>27185.39</v>
      </c>
      <c r="L53" s="678"/>
      <c r="M53" s="679"/>
      <c r="N53" s="700">
        <f>ROUND(SUMIFS(Input[Instruction
Uses],Input[Institution Name],$A53),0)</f>
        <v>170175425</v>
      </c>
      <c r="O53" s="701"/>
      <c r="P53" s="702"/>
      <c r="Q53" s="672">
        <f t="shared" si="18"/>
        <v>6260</v>
      </c>
      <c r="R53" s="673"/>
      <c r="S53" s="674"/>
      <c r="T53" s="700">
        <f>ROUND(SUMIFS(Input[Research
Uses],Input[Institution Name],$A53),0)</f>
        <v>71798602</v>
      </c>
      <c r="U53" s="701"/>
      <c r="V53" s="702"/>
      <c r="W53" s="672">
        <f t="shared" si="19"/>
        <v>2641</v>
      </c>
      <c r="X53" s="673"/>
      <c r="Y53" s="674"/>
      <c r="Z53" s="700">
        <f>ROUND(SUMIFS(Input[Academic
Uses],Input[Institution Name],$A53),0)</f>
        <v>60040668</v>
      </c>
      <c r="AA53" s="701"/>
      <c r="AB53" s="702"/>
      <c r="AC53" s="672">
        <f t="shared" si="20"/>
        <v>2209</v>
      </c>
      <c r="AD53" s="673"/>
      <c r="AE53" s="674"/>
      <c r="AF53" s="700">
        <f>ROUND(SUMIFS(Input[Institutional
Uses],Input[Institution Name],$A53),0)</f>
        <v>41025670</v>
      </c>
      <c r="AG53" s="701"/>
      <c r="AH53" s="702"/>
      <c r="AI53" s="672">
        <f t="shared" si="21"/>
        <v>1509</v>
      </c>
      <c r="AJ53" s="673"/>
      <c r="AK53" s="674"/>
      <c r="AL53" s="700">
        <f>ROUND(SUMIFS(Input[Student
Uses],Input[Institution Name],$A53),0)</f>
        <v>31239316</v>
      </c>
      <c r="AM53" s="701"/>
      <c r="AN53" s="702"/>
      <c r="AO53" s="672">
        <f t="shared" si="22"/>
        <v>1149</v>
      </c>
      <c r="AP53" s="673"/>
      <c r="AQ53" s="674"/>
      <c r="AR53" s="700">
        <f>ROUND(SUMIFS(Input[Operations
Uses],Input[Institution Name],$A53),0)
+ROUND(SUMIFS(Input[Scholarships
Uses],Input[Institution Name],$A53),0)
+ROUND(SUMIFS(Input[Capital
Uses],Input[Institution Name],$A53),0)
+ROUND(SUMIFS(Input[Other
Uses],Input[Institution Name],$A53),0)</f>
        <v>102463800</v>
      </c>
      <c r="AS53" s="701"/>
      <c r="AT53" s="702"/>
      <c r="AU53" s="672">
        <f t="shared" si="23"/>
        <v>3769</v>
      </c>
      <c r="AV53" s="673"/>
      <c r="AW53" s="674"/>
      <c r="AX53" s="700">
        <f t="shared" si="24"/>
        <v>476743481</v>
      </c>
      <c r="AY53" s="701"/>
      <c r="AZ53" s="702"/>
      <c r="BA53" s="672">
        <f t="shared" si="25"/>
        <v>17537</v>
      </c>
      <c r="BB53" s="673"/>
      <c r="BC53" s="674"/>
      <c r="BD53" s="146"/>
      <c r="BF53" s="234"/>
      <c r="BG53" s="234"/>
      <c r="BH53" s="234"/>
      <c r="BI53" s="234"/>
      <c r="BJ53" s="234"/>
      <c r="BK53" s="234"/>
    </row>
    <row r="54" spans="1:63" ht="27" customHeight="1" x14ac:dyDescent="0.55000000000000004">
      <c r="A54" s="722" t="s">
        <v>63</v>
      </c>
      <c r="B54" s="723"/>
      <c r="C54" s="723"/>
      <c r="D54" s="723"/>
      <c r="E54" s="723"/>
      <c r="F54" s="723"/>
      <c r="G54" s="723"/>
      <c r="H54" s="723"/>
      <c r="I54" s="717">
        <v>9930</v>
      </c>
      <c r="J54" s="718"/>
      <c r="K54" s="680">
        <f>IFERROR(VLOOKUP(A54,Input[],574,FALSE),"")</f>
        <v>3956.21</v>
      </c>
      <c r="L54" s="681"/>
      <c r="M54" s="682"/>
      <c r="N54" s="703">
        <f>ROUND(SUMIFS(Input[Instruction
Uses],Input[Institution Name],$A54),0)</f>
        <v>31063258</v>
      </c>
      <c r="O54" s="704"/>
      <c r="P54" s="705"/>
      <c r="Q54" s="661">
        <f t="shared" si="18"/>
        <v>7852</v>
      </c>
      <c r="R54" s="662"/>
      <c r="S54" s="663"/>
      <c r="T54" s="703">
        <f>ROUND(SUMIFS(Input[Research
Uses],Input[Institution Name],$A54),0)</f>
        <v>3783194</v>
      </c>
      <c r="U54" s="704"/>
      <c r="V54" s="705"/>
      <c r="W54" s="661">
        <f t="shared" si="19"/>
        <v>956</v>
      </c>
      <c r="X54" s="662"/>
      <c r="Y54" s="663"/>
      <c r="Z54" s="703">
        <f>ROUND(SUMIFS(Input[Academic
Uses],Input[Institution Name],$A54),0)</f>
        <v>10628824</v>
      </c>
      <c r="AA54" s="704"/>
      <c r="AB54" s="705"/>
      <c r="AC54" s="661">
        <f t="shared" si="20"/>
        <v>2687</v>
      </c>
      <c r="AD54" s="662"/>
      <c r="AE54" s="663"/>
      <c r="AF54" s="703">
        <f>ROUND(SUMIFS(Input[Institutional
Uses],Input[Institution Name],$A54),0)</f>
        <v>11900427</v>
      </c>
      <c r="AG54" s="704"/>
      <c r="AH54" s="705"/>
      <c r="AI54" s="661">
        <f t="shared" si="21"/>
        <v>3008</v>
      </c>
      <c r="AJ54" s="662"/>
      <c r="AK54" s="663"/>
      <c r="AL54" s="703">
        <f>ROUND(SUMIFS(Input[Student
Uses],Input[Institution Name],$A54),0)</f>
        <v>4206655</v>
      </c>
      <c r="AM54" s="704"/>
      <c r="AN54" s="705"/>
      <c r="AO54" s="661">
        <f t="shared" si="22"/>
        <v>1063</v>
      </c>
      <c r="AP54" s="662"/>
      <c r="AQ54" s="663"/>
      <c r="AR54" s="703">
        <f>ROUND(SUMIFS(Input[Operations
Uses],Input[Institution Name],$A54),0)
+ROUND(SUMIFS(Input[Scholarships
Uses],Input[Institution Name],$A54),0)
+ROUND(SUMIFS(Input[Capital
Uses],Input[Institution Name],$A54),0)
+ROUND(SUMIFS(Input[Other
Uses],Input[Institution Name],$A54),0)</f>
        <v>25264429</v>
      </c>
      <c r="AS54" s="704"/>
      <c r="AT54" s="705"/>
      <c r="AU54" s="661">
        <f t="shared" si="23"/>
        <v>6386</v>
      </c>
      <c r="AV54" s="662"/>
      <c r="AW54" s="663"/>
      <c r="AX54" s="703">
        <f t="shared" si="24"/>
        <v>86846787</v>
      </c>
      <c r="AY54" s="704"/>
      <c r="AZ54" s="705"/>
      <c r="BA54" s="661">
        <f t="shared" si="25"/>
        <v>21952</v>
      </c>
      <c r="BB54" s="662"/>
      <c r="BC54" s="663"/>
      <c r="BD54" s="146"/>
      <c r="BF54" s="234"/>
      <c r="BG54" s="234"/>
      <c r="BH54" s="234"/>
      <c r="BI54" s="234"/>
      <c r="BJ54" s="234"/>
      <c r="BK54" s="234"/>
    </row>
    <row r="55" spans="1:63" ht="27" customHeight="1" x14ac:dyDescent="0.55000000000000004">
      <c r="A55" s="732" t="s">
        <v>64</v>
      </c>
      <c r="B55" s="733"/>
      <c r="C55" s="733"/>
      <c r="D55" s="733"/>
      <c r="E55" s="733"/>
      <c r="F55" s="733"/>
      <c r="G55" s="733"/>
      <c r="H55" s="733"/>
      <c r="I55" s="724">
        <v>10115</v>
      </c>
      <c r="J55" s="725"/>
      <c r="K55" s="677">
        <f>IFERROR(VLOOKUP(A55,Input[],574,FALSE),"")</f>
        <v>28223.53</v>
      </c>
      <c r="L55" s="678"/>
      <c r="M55" s="679"/>
      <c r="N55" s="700">
        <f>ROUND(SUMIFS(Input[Instruction
Uses],Input[Institution Name],$A55),0)</f>
        <v>137831889</v>
      </c>
      <c r="O55" s="701"/>
      <c r="P55" s="702"/>
      <c r="Q55" s="672">
        <f t="shared" si="18"/>
        <v>4884</v>
      </c>
      <c r="R55" s="673"/>
      <c r="S55" s="674"/>
      <c r="T55" s="700">
        <f>ROUND(SUMIFS(Input[Research
Uses],Input[Institution Name],$A55),0)</f>
        <v>146307495</v>
      </c>
      <c r="U55" s="701"/>
      <c r="V55" s="702"/>
      <c r="W55" s="672">
        <f t="shared" si="19"/>
        <v>5184</v>
      </c>
      <c r="X55" s="673"/>
      <c r="Y55" s="674"/>
      <c r="Z55" s="700">
        <f>ROUND(SUMIFS(Input[Academic
Uses],Input[Institution Name],$A55),0)</f>
        <v>98194519</v>
      </c>
      <c r="AA55" s="701"/>
      <c r="AB55" s="702"/>
      <c r="AC55" s="672">
        <f t="shared" si="20"/>
        <v>3479</v>
      </c>
      <c r="AD55" s="673"/>
      <c r="AE55" s="674"/>
      <c r="AF55" s="700">
        <f>ROUND(SUMIFS(Input[Institutional
Uses],Input[Institution Name],$A55),0)</f>
        <v>50780806</v>
      </c>
      <c r="AG55" s="701"/>
      <c r="AH55" s="702"/>
      <c r="AI55" s="672">
        <f t="shared" si="21"/>
        <v>1799</v>
      </c>
      <c r="AJ55" s="673"/>
      <c r="AK55" s="674"/>
      <c r="AL55" s="700">
        <f>ROUND(SUMIFS(Input[Student
Uses],Input[Institution Name],$A55),0)</f>
        <v>39672554</v>
      </c>
      <c r="AM55" s="701"/>
      <c r="AN55" s="702"/>
      <c r="AO55" s="672">
        <f t="shared" si="22"/>
        <v>1406</v>
      </c>
      <c r="AP55" s="673"/>
      <c r="AQ55" s="674"/>
      <c r="AR55" s="700">
        <f>ROUND(SUMIFS(Input[Operations
Uses],Input[Institution Name],$A55),0)
+ROUND(SUMIFS(Input[Scholarships
Uses],Input[Institution Name],$A55),0)
+ROUND(SUMIFS(Input[Capital
Uses],Input[Institution Name],$A55),0)
+ROUND(SUMIFS(Input[Other
Uses],Input[Institution Name],$A55),0)</f>
        <v>124938132</v>
      </c>
      <c r="AS55" s="701"/>
      <c r="AT55" s="702"/>
      <c r="AU55" s="672">
        <f t="shared" si="23"/>
        <v>4427</v>
      </c>
      <c r="AV55" s="673"/>
      <c r="AW55" s="674"/>
      <c r="AX55" s="700">
        <f t="shared" si="24"/>
        <v>597725395</v>
      </c>
      <c r="AY55" s="701"/>
      <c r="AZ55" s="702"/>
      <c r="BA55" s="672">
        <f t="shared" si="25"/>
        <v>21178</v>
      </c>
      <c r="BB55" s="673"/>
      <c r="BC55" s="674"/>
      <c r="BD55" s="146"/>
      <c r="BF55" s="234"/>
      <c r="BG55" s="234"/>
      <c r="BH55" s="234"/>
      <c r="BI55" s="234"/>
      <c r="BJ55" s="234"/>
      <c r="BK55" s="234"/>
    </row>
    <row r="56" spans="1:63" ht="27" customHeight="1" x14ac:dyDescent="0.55000000000000004">
      <c r="A56" s="722" t="s">
        <v>65</v>
      </c>
      <c r="B56" s="723"/>
      <c r="C56" s="723"/>
      <c r="D56" s="723"/>
      <c r="E56" s="723"/>
      <c r="F56" s="723"/>
      <c r="G56" s="723"/>
      <c r="H56" s="723"/>
      <c r="I56" s="717">
        <v>11163</v>
      </c>
      <c r="J56" s="718"/>
      <c r="K56" s="680">
        <f>IFERROR(VLOOKUP(A56,Input[],574,FALSE),"")</f>
        <v>8111.83</v>
      </c>
      <c r="L56" s="681"/>
      <c r="M56" s="682"/>
      <c r="N56" s="703">
        <f>ROUND(SUMIFS(Input[Instruction
Uses],Input[Institution Name],$A56),0)</f>
        <v>72436537</v>
      </c>
      <c r="O56" s="704"/>
      <c r="P56" s="705"/>
      <c r="Q56" s="661">
        <f t="shared" si="18"/>
        <v>8930</v>
      </c>
      <c r="R56" s="662"/>
      <c r="S56" s="663"/>
      <c r="T56" s="703">
        <f>ROUND(SUMIFS(Input[Research
Uses],Input[Institution Name],$A56),0)</f>
        <v>4846527</v>
      </c>
      <c r="U56" s="704"/>
      <c r="V56" s="705"/>
      <c r="W56" s="661">
        <f t="shared" si="19"/>
        <v>597</v>
      </c>
      <c r="X56" s="662"/>
      <c r="Y56" s="663"/>
      <c r="Z56" s="703">
        <f>ROUND(SUMIFS(Input[Academic
Uses],Input[Institution Name],$A56),0)</f>
        <v>17797803</v>
      </c>
      <c r="AA56" s="704"/>
      <c r="AB56" s="705"/>
      <c r="AC56" s="661">
        <f t="shared" si="20"/>
        <v>2194</v>
      </c>
      <c r="AD56" s="662"/>
      <c r="AE56" s="663"/>
      <c r="AF56" s="703">
        <f>ROUND(SUMIFS(Input[Institutional
Uses],Input[Institution Name],$A56),0)</f>
        <v>16880478</v>
      </c>
      <c r="AG56" s="704"/>
      <c r="AH56" s="705"/>
      <c r="AI56" s="661">
        <f t="shared" si="21"/>
        <v>2081</v>
      </c>
      <c r="AJ56" s="662"/>
      <c r="AK56" s="663"/>
      <c r="AL56" s="703">
        <f>ROUND(SUMIFS(Input[Student
Uses],Input[Institution Name],$A56),0)</f>
        <v>15716927</v>
      </c>
      <c r="AM56" s="704"/>
      <c r="AN56" s="705"/>
      <c r="AO56" s="661">
        <f t="shared" si="22"/>
        <v>1938</v>
      </c>
      <c r="AP56" s="662"/>
      <c r="AQ56" s="663"/>
      <c r="AR56" s="703">
        <f>ROUND(SUMIFS(Input[Operations
Uses],Input[Institution Name],$A56),0)
+ROUND(SUMIFS(Input[Scholarships
Uses],Input[Institution Name],$A56),0)
+ROUND(SUMIFS(Input[Capital
Uses],Input[Institution Name],$A56),0)
+ROUND(SUMIFS(Input[Other
Uses],Input[Institution Name],$A56),0)</f>
        <v>31187635</v>
      </c>
      <c r="AS56" s="704"/>
      <c r="AT56" s="705"/>
      <c r="AU56" s="661">
        <f t="shared" si="23"/>
        <v>3845</v>
      </c>
      <c r="AV56" s="662"/>
      <c r="AW56" s="663"/>
      <c r="AX56" s="703">
        <f t="shared" si="24"/>
        <v>158865907</v>
      </c>
      <c r="AY56" s="704"/>
      <c r="AZ56" s="705"/>
      <c r="BA56" s="661">
        <f t="shared" si="25"/>
        <v>19584</v>
      </c>
      <c r="BB56" s="662"/>
      <c r="BC56" s="663"/>
      <c r="BD56" s="146"/>
      <c r="BF56" s="234"/>
      <c r="BG56" s="234"/>
      <c r="BH56" s="234"/>
      <c r="BI56" s="234"/>
      <c r="BJ56" s="234"/>
      <c r="BK56" s="234"/>
    </row>
    <row r="57" spans="1:63" ht="27" customHeight="1" x14ac:dyDescent="0.55000000000000004">
      <c r="A57" s="732" t="s">
        <v>66</v>
      </c>
      <c r="B57" s="733"/>
      <c r="C57" s="733"/>
      <c r="D57" s="733"/>
      <c r="E57" s="733"/>
      <c r="F57" s="733"/>
      <c r="G57" s="733"/>
      <c r="H57" s="733"/>
      <c r="I57" s="724">
        <v>3632</v>
      </c>
      <c r="J57" s="725"/>
      <c r="K57" s="677">
        <f>IFERROR(VLOOKUP(A57,Input[],574,FALSE),"")</f>
        <v>61626.03</v>
      </c>
      <c r="L57" s="678"/>
      <c r="M57" s="679"/>
      <c r="N57" s="700">
        <f>ROUND(SUMIFS(Input[Instruction
Uses],Input[Institution Name],$A57),0)</f>
        <v>707615894</v>
      </c>
      <c r="O57" s="701"/>
      <c r="P57" s="702"/>
      <c r="Q57" s="672">
        <f t="shared" si="18"/>
        <v>11482</v>
      </c>
      <c r="R57" s="673"/>
      <c r="S57" s="674"/>
      <c r="T57" s="700">
        <f>ROUND(SUMIFS(Input[Research
Uses],Input[Institution Name],$A57),0)</f>
        <v>314081796</v>
      </c>
      <c r="U57" s="701"/>
      <c r="V57" s="702"/>
      <c r="W57" s="672">
        <f t="shared" si="19"/>
        <v>5097</v>
      </c>
      <c r="X57" s="673"/>
      <c r="Y57" s="674"/>
      <c r="Z57" s="700">
        <f>ROUND(SUMIFS(Input[Academic
Uses],Input[Institution Name],$A57),0)</f>
        <v>344337699</v>
      </c>
      <c r="AA57" s="701"/>
      <c r="AB57" s="702"/>
      <c r="AC57" s="672">
        <f t="shared" si="20"/>
        <v>5588</v>
      </c>
      <c r="AD57" s="673"/>
      <c r="AE57" s="674"/>
      <c r="AF57" s="700">
        <f>ROUND(SUMIFS(Input[Institutional
Uses],Input[Institution Name],$A57),0)</f>
        <v>129199353</v>
      </c>
      <c r="AG57" s="701"/>
      <c r="AH57" s="702"/>
      <c r="AI57" s="672">
        <f t="shared" si="21"/>
        <v>2097</v>
      </c>
      <c r="AJ57" s="673"/>
      <c r="AK57" s="674"/>
      <c r="AL57" s="700">
        <f>ROUND(SUMIFS(Input[Student
Uses],Input[Institution Name],$A57),0)</f>
        <v>97815136</v>
      </c>
      <c r="AM57" s="701"/>
      <c r="AN57" s="702"/>
      <c r="AO57" s="672">
        <f t="shared" si="22"/>
        <v>1587</v>
      </c>
      <c r="AP57" s="673"/>
      <c r="AQ57" s="674"/>
      <c r="AR57" s="700">
        <f>ROUND(SUMIFS(Input[Operations
Uses],Input[Institution Name],$A57),0)
+ROUND(SUMIFS(Input[Scholarships
Uses],Input[Institution Name],$A57),0)
+ROUND(SUMIFS(Input[Capital
Uses],Input[Institution Name],$A57),0)
+ROUND(SUMIFS(Input[Other
Uses],Input[Institution Name],$A57),0)</f>
        <v>426558532</v>
      </c>
      <c r="AS57" s="701"/>
      <c r="AT57" s="702"/>
      <c r="AU57" s="672">
        <f t="shared" si="23"/>
        <v>6922</v>
      </c>
      <c r="AV57" s="673"/>
      <c r="AW57" s="674"/>
      <c r="AX57" s="700">
        <f t="shared" si="24"/>
        <v>2019608410</v>
      </c>
      <c r="AY57" s="701"/>
      <c r="AZ57" s="702"/>
      <c r="BA57" s="672">
        <f t="shared" si="25"/>
        <v>32772</v>
      </c>
      <c r="BB57" s="673"/>
      <c r="BC57" s="674"/>
      <c r="BD57" s="146"/>
      <c r="BF57" s="234"/>
      <c r="BG57" s="234"/>
      <c r="BH57" s="234"/>
      <c r="BI57" s="234"/>
      <c r="BJ57" s="234"/>
      <c r="BK57" s="234"/>
    </row>
    <row r="58" spans="1:63" ht="27" customHeight="1" x14ac:dyDescent="0.55000000000000004">
      <c r="A58" s="722" t="s">
        <v>67</v>
      </c>
      <c r="B58" s="723"/>
      <c r="C58" s="723"/>
      <c r="D58" s="723"/>
      <c r="E58" s="723"/>
      <c r="F58" s="723"/>
      <c r="G58" s="723"/>
      <c r="H58" s="723"/>
      <c r="I58" s="717">
        <v>10298</v>
      </c>
      <c r="J58" s="718"/>
      <c r="K58" s="680">
        <f>IFERROR(VLOOKUP(A58,Input[],574,FALSE),"")</f>
        <v>1871.76</v>
      </c>
      <c r="L58" s="681"/>
      <c r="M58" s="682"/>
      <c r="N58" s="703">
        <f>ROUND(SUMIFS(Input[Instruction
Uses],Input[Institution Name],$A58),0)</f>
        <v>25920227</v>
      </c>
      <c r="O58" s="704"/>
      <c r="P58" s="705"/>
      <c r="Q58" s="661">
        <f t="shared" si="18"/>
        <v>13848</v>
      </c>
      <c r="R58" s="662"/>
      <c r="S58" s="663"/>
      <c r="T58" s="703">
        <f>ROUND(SUMIFS(Input[Research
Uses],Input[Institution Name],$A58),0)</f>
        <v>14240459</v>
      </c>
      <c r="U58" s="704"/>
      <c r="V58" s="705"/>
      <c r="W58" s="661">
        <f t="shared" si="19"/>
        <v>7608</v>
      </c>
      <c r="X58" s="662"/>
      <c r="Y58" s="663"/>
      <c r="Z58" s="703">
        <f>ROUND(SUMIFS(Input[Academic
Uses],Input[Institution Name],$A58),0)</f>
        <v>7282547</v>
      </c>
      <c r="AA58" s="704"/>
      <c r="AB58" s="705"/>
      <c r="AC58" s="661">
        <f t="shared" si="20"/>
        <v>3891</v>
      </c>
      <c r="AD58" s="662"/>
      <c r="AE58" s="663"/>
      <c r="AF58" s="703">
        <f>ROUND(SUMIFS(Input[Institutional
Uses],Input[Institution Name],$A58),0)</f>
        <v>7552985</v>
      </c>
      <c r="AG58" s="704"/>
      <c r="AH58" s="705"/>
      <c r="AI58" s="661">
        <f t="shared" si="21"/>
        <v>4035</v>
      </c>
      <c r="AJ58" s="662"/>
      <c r="AK58" s="663"/>
      <c r="AL58" s="703">
        <f>ROUND(SUMIFS(Input[Student
Uses],Input[Institution Name],$A58),0)</f>
        <v>3637491</v>
      </c>
      <c r="AM58" s="704"/>
      <c r="AN58" s="705"/>
      <c r="AO58" s="661">
        <f t="shared" si="22"/>
        <v>1943</v>
      </c>
      <c r="AP58" s="662"/>
      <c r="AQ58" s="663"/>
      <c r="AR58" s="703">
        <f>ROUND(SUMIFS(Input[Operations
Uses],Input[Institution Name],$A58),0)
+ROUND(SUMIFS(Input[Scholarships
Uses],Input[Institution Name],$A58),0)
+ROUND(SUMIFS(Input[Capital
Uses],Input[Institution Name],$A58),0)
+ROUND(SUMIFS(Input[Other
Uses],Input[Institution Name],$A58),0)</f>
        <v>10566907</v>
      </c>
      <c r="AS58" s="704"/>
      <c r="AT58" s="705"/>
      <c r="AU58" s="661">
        <f t="shared" si="23"/>
        <v>5645</v>
      </c>
      <c r="AV58" s="662"/>
      <c r="AW58" s="663"/>
      <c r="AX58" s="703">
        <f t="shared" si="24"/>
        <v>69200616</v>
      </c>
      <c r="AY58" s="704"/>
      <c r="AZ58" s="705"/>
      <c r="BA58" s="661">
        <f t="shared" si="25"/>
        <v>36971</v>
      </c>
      <c r="BB58" s="662"/>
      <c r="BC58" s="663"/>
      <c r="BD58" s="146"/>
      <c r="BF58" s="234"/>
      <c r="BG58" s="234"/>
      <c r="BH58" s="234"/>
      <c r="BI58" s="234"/>
      <c r="BJ58" s="234"/>
      <c r="BK58" s="234"/>
    </row>
    <row r="59" spans="1:63" ht="27" customHeight="1" x14ac:dyDescent="0.55000000000000004">
      <c r="A59" s="732" t="s">
        <v>68</v>
      </c>
      <c r="B59" s="733"/>
      <c r="C59" s="733"/>
      <c r="D59" s="733"/>
      <c r="E59" s="733"/>
      <c r="F59" s="733"/>
      <c r="G59" s="733"/>
      <c r="H59" s="733"/>
      <c r="I59" s="724">
        <v>3630</v>
      </c>
      <c r="J59" s="725"/>
      <c r="K59" s="677">
        <f>IFERROR(VLOOKUP(A59,Input[],574,FALSE),"")</f>
        <v>8505.59</v>
      </c>
      <c r="L59" s="678"/>
      <c r="M59" s="679"/>
      <c r="N59" s="700">
        <f>ROUND(SUMIFS(Input[Instruction
Uses],Input[Institution Name],$A59),0)</f>
        <v>54869097</v>
      </c>
      <c r="O59" s="701"/>
      <c r="P59" s="702"/>
      <c r="Q59" s="672">
        <f t="shared" si="18"/>
        <v>6451</v>
      </c>
      <c r="R59" s="673"/>
      <c r="S59" s="674"/>
      <c r="T59" s="700">
        <f>ROUND(SUMIFS(Input[Research
Uses],Input[Institution Name],$A59),0)</f>
        <v>27260494</v>
      </c>
      <c r="U59" s="701"/>
      <c r="V59" s="702"/>
      <c r="W59" s="672">
        <f t="shared" si="19"/>
        <v>3205</v>
      </c>
      <c r="X59" s="673"/>
      <c r="Y59" s="674"/>
      <c r="Z59" s="700">
        <f>ROUND(SUMIFS(Input[Academic
Uses],Input[Institution Name],$A59),0)</f>
        <v>33173361</v>
      </c>
      <c r="AA59" s="701"/>
      <c r="AB59" s="702"/>
      <c r="AC59" s="672">
        <f t="shared" si="20"/>
        <v>3900</v>
      </c>
      <c r="AD59" s="673"/>
      <c r="AE59" s="674"/>
      <c r="AF59" s="700">
        <f>ROUND(SUMIFS(Input[Institutional
Uses],Input[Institution Name],$A59),0)</f>
        <v>29441566</v>
      </c>
      <c r="AG59" s="701"/>
      <c r="AH59" s="702"/>
      <c r="AI59" s="672">
        <f t="shared" si="21"/>
        <v>3461</v>
      </c>
      <c r="AJ59" s="673"/>
      <c r="AK59" s="674"/>
      <c r="AL59" s="700">
        <f>ROUND(SUMIFS(Input[Student
Uses],Input[Institution Name],$A59),0)</f>
        <v>25230363</v>
      </c>
      <c r="AM59" s="701"/>
      <c r="AN59" s="702"/>
      <c r="AO59" s="672">
        <f t="shared" si="22"/>
        <v>2966</v>
      </c>
      <c r="AP59" s="673"/>
      <c r="AQ59" s="674"/>
      <c r="AR59" s="700">
        <f>ROUND(SUMIFS(Input[Operations
Uses],Input[Institution Name],$A59),0)
+ROUND(SUMIFS(Input[Scholarships
Uses],Input[Institution Name],$A59),0)
+ROUND(SUMIFS(Input[Capital
Uses],Input[Institution Name],$A59),0)
+ROUND(SUMIFS(Input[Other
Uses],Input[Institution Name],$A59),0)</f>
        <v>54653171</v>
      </c>
      <c r="AS59" s="701"/>
      <c r="AT59" s="702"/>
      <c r="AU59" s="672">
        <f t="shared" si="23"/>
        <v>6426</v>
      </c>
      <c r="AV59" s="673"/>
      <c r="AW59" s="674"/>
      <c r="AX59" s="700">
        <f t="shared" si="24"/>
        <v>224628052</v>
      </c>
      <c r="AY59" s="701"/>
      <c r="AZ59" s="702"/>
      <c r="BA59" s="672">
        <f t="shared" si="25"/>
        <v>26409</v>
      </c>
      <c r="BB59" s="673"/>
      <c r="BC59" s="674"/>
      <c r="BD59" s="146"/>
    </row>
    <row r="60" spans="1:63" ht="27" customHeight="1" x14ac:dyDescent="0.55000000000000004">
      <c r="A60" s="722" t="s">
        <v>69</v>
      </c>
      <c r="B60" s="723"/>
      <c r="C60" s="723"/>
      <c r="D60" s="723"/>
      <c r="E60" s="723"/>
      <c r="F60" s="723"/>
      <c r="G60" s="723"/>
      <c r="H60" s="723"/>
      <c r="I60" s="717">
        <v>3631</v>
      </c>
      <c r="J60" s="718"/>
      <c r="K60" s="680">
        <f>IFERROR(VLOOKUP(A60,Input[],574,FALSE),"")</f>
        <v>12684.8</v>
      </c>
      <c r="L60" s="681"/>
      <c r="M60" s="682"/>
      <c r="N60" s="703">
        <f>ROUND(SUMIFS(Input[Instruction
Uses],Input[Institution Name],$A60),0)</f>
        <v>59958215</v>
      </c>
      <c r="O60" s="704"/>
      <c r="P60" s="705"/>
      <c r="Q60" s="661">
        <f t="shared" si="18"/>
        <v>4727</v>
      </c>
      <c r="R60" s="662"/>
      <c r="S60" s="663"/>
      <c r="T60" s="703">
        <f>ROUND(SUMIFS(Input[Research
Uses],Input[Institution Name],$A60),0)</f>
        <v>21437574</v>
      </c>
      <c r="U60" s="704"/>
      <c r="V60" s="705"/>
      <c r="W60" s="661">
        <f t="shared" si="19"/>
        <v>1690</v>
      </c>
      <c r="X60" s="662"/>
      <c r="Y60" s="663"/>
      <c r="Z60" s="703">
        <f>ROUND(SUMIFS(Input[Academic
Uses],Input[Institution Name],$A60),0)</f>
        <v>32013444</v>
      </c>
      <c r="AA60" s="704"/>
      <c r="AB60" s="705"/>
      <c r="AC60" s="661">
        <f t="shared" si="20"/>
        <v>2524</v>
      </c>
      <c r="AD60" s="662"/>
      <c r="AE60" s="663"/>
      <c r="AF60" s="703">
        <f>ROUND(SUMIFS(Input[Institutional
Uses],Input[Institution Name],$A60),0)</f>
        <v>21666694</v>
      </c>
      <c r="AG60" s="704"/>
      <c r="AH60" s="705"/>
      <c r="AI60" s="661">
        <f t="shared" si="21"/>
        <v>1708</v>
      </c>
      <c r="AJ60" s="662"/>
      <c r="AK60" s="663"/>
      <c r="AL60" s="703">
        <f>ROUND(SUMIFS(Input[Student
Uses],Input[Institution Name],$A60),0)</f>
        <v>19982654</v>
      </c>
      <c r="AM60" s="704"/>
      <c r="AN60" s="705"/>
      <c r="AO60" s="661">
        <f t="shared" si="22"/>
        <v>1575</v>
      </c>
      <c r="AP60" s="662"/>
      <c r="AQ60" s="663"/>
      <c r="AR60" s="703">
        <f>ROUND(SUMIFS(Input[Operations
Uses],Input[Institution Name],$A60),0)
+ROUND(SUMIFS(Input[Scholarships
Uses],Input[Institution Name],$A60),0)
+ROUND(SUMIFS(Input[Capital
Uses],Input[Institution Name],$A60),0)
+ROUND(SUMIFS(Input[Other
Uses],Input[Institution Name],$A60),0)</f>
        <v>46946830</v>
      </c>
      <c r="AS60" s="704"/>
      <c r="AT60" s="705"/>
      <c r="AU60" s="661">
        <f t="shared" si="23"/>
        <v>3701</v>
      </c>
      <c r="AV60" s="662"/>
      <c r="AW60" s="663"/>
      <c r="AX60" s="703">
        <f t="shared" si="24"/>
        <v>202005411</v>
      </c>
      <c r="AY60" s="704"/>
      <c r="AZ60" s="705"/>
      <c r="BA60" s="661">
        <f t="shared" si="25"/>
        <v>15925</v>
      </c>
      <c r="BB60" s="662"/>
      <c r="BC60" s="663"/>
      <c r="BD60" s="146"/>
    </row>
    <row r="61" spans="1:63" ht="27" customHeight="1" x14ac:dyDescent="0.55000000000000004">
      <c r="A61" s="732" t="s">
        <v>70</v>
      </c>
      <c r="B61" s="733"/>
      <c r="C61" s="733"/>
      <c r="D61" s="733"/>
      <c r="E61" s="733"/>
      <c r="F61" s="733"/>
      <c r="G61" s="733"/>
      <c r="H61" s="733"/>
      <c r="I61" s="724">
        <v>11161</v>
      </c>
      <c r="J61" s="725"/>
      <c r="K61" s="677">
        <f>IFERROR(VLOOKUP(A61,Input[],574,FALSE),"")</f>
        <v>8942.9599999999991</v>
      </c>
      <c r="L61" s="678"/>
      <c r="M61" s="679"/>
      <c r="N61" s="700">
        <f>ROUND(SUMIFS(Input[Instruction
Uses],Input[Institution Name],$A61),0)</f>
        <v>68539324</v>
      </c>
      <c r="O61" s="701"/>
      <c r="P61" s="702"/>
      <c r="Q61" s="672">
        <f t="shared" si="18"/>
        <v>7664</v>
      </c>
      <c r="R61" s="673"/>
      <c r="S61" s="674"/>
      <c r="T61" s="700">
        <f>ROUND(SUMIFS(Input[Research
Uses],Input[Institution Name],$A61),0)</f>
        <v>39976043</v>
      </c>
      <c r="U61" s="701"/>
      <c r="V61" s="702"/>
      <c r="W61" s="672">
        <f t="shared" si="19"/>
        <v>4470</v>
      </c>
      <c r="X61" s="673"/>
      <c r="Y61" s="674"/>
      <c r="Z61" s="700">
        <f>ROUND(SUMIFS(Input[Academic
Uses],Input[Institution Name],$A61),0)</f>
        <v>29843851</v>
      </c>
      <c r="AA61" s="701"/>
      <c r="AB61" s="702"/>
      <c r="AC61" s="672">
        <f t="shared" si="20"/>
        <v>3337</v>
      </c>
      <c r="AD61" s="673"/>
      <c r="AE61" s="674"/>
      <c r="AF61" s="700">
        <f>ROUND(SUMIFS(Input[Institutional
Uses],Input[Institution Name],$A61),0)</f>
        <v>21072051</v>
      </c>
      <c r="AG61" s="701"/>
      <c r="AH61" s="702"/>
      <c r="AI61" s="672">
        <f t="shared" si="21"/>
        <v>2356</v>
      </c>
      <c r="AJ61" s="673"/>
      <c r="AK61" s="674"/>
      <c r="AL61" s="700">
        <f>ROUND(SUMIFS(Input[Student
Uses],Input[Institution Name],$A61),0)</f>
        <v>17054389</v>
      </c>
      <c r="AM61" s="701"/>
      <c r="AN61" s="702"/>
      <c r="AO61" s="672">
        <f t="shared" si="22"/>
        <v>1907</v>
      </c>
      <c r="AP61" s="673"/>
      <c r="AQ61" s="674"/>
      <c r="AR61" s="700">
        <f>ROUND(SUMIFS(Input[Operations
Uses],Input[Institution Name],$A61),0)
+ROUND(SUMIFS(Input[Scholarships
Uses],Input[Institution Name],$A61),0)
+ROUND(SUMIFS(Input[Capital
Uses],Input[Institution Name],$A61),0)
+ROUND(SUMIFS(Input[Other
Uses],Input[Institution Name],$A61),0)</f>
        <v>46697201</v>
      </c>
      <c r="AS61" s="701"/>
      <c r="AT61" s="702"/>
      <c r="AU61" s="672">
        <f t="shared" si="23"/>
        <v>5222</v>
      </c>
      <c r="AV61" s="673"/>
      <c r="AW61" s="674"/>
      <c r="AX61" s="700">
        <f t="shared" si="24"/>
        <v>223182859</v>
      </c>
      <c r="AY61" s="701"/>
      <c r="AZ61" s="702"/>
      <c r="BA61" s="672">
        <f t="shared" si="25"/>
        <v>24956</v>
      </c>
      <c r="BB61" s="673"/>
      <c r="BC61" s="674"/>
      <c r="BD61" s="146"/>
    </row>
    <row r="62" spans="1:63" ht="27" customHeight="1" x14ac:dyDescent="0.55000000000000004">
      <c r="A62" s="722" t="s">
        <v>71</v>
      </c>
      <c r="B62" s="723"/>
      <c r="C62" s="723"/>
      <c r="D62" s="723"/>
      <c r="E62" s="723"/>
      <c r="F62" s="723"/>
      <c r="G62" s="723"/>
      <c r="H62" s="723"/>
      <c r="I62" s="717">
        <v>3639</v>
      </c>
      <c r="J62" s="718"/>
      <c r="K62" s="680">
        <f>IFERROR(VLOOKUP(A62,Input[],574,FALSE),"")</f>
        <v>5361.74</v>
      </c>
      <c r="L62" s="681"/>
      <c r="M62" s="682"/>
      <c r="N62" s="703">
        <f>ROUND(SUMIFS(Input[Instruction
Uses],Input[Institution Name],$A62),0)</f>
        <v>43478591</v>
      </c>
      <c r="O62" s="704"/>
      <c r="P62" s="705"/>
      <c r="Q62" s="661">
        <f t="shared" si="18"/>
        <v>8109</v>
      </c>
      <c r="R62" s="662"/>
      <c r="S62" s="663"/>
      <c r="T62" s="703">
        <f>ROUND(SUMIFS(Input[Research
Uses],Input[Institution Name],$A62),0)</f>
        <v>25796470</v>
      </c>
      <c r="U62" s="704"/>
      <c r="V62" s="705"/>
      <c r="W62" s="661">
        <f t="shared" si="19"/>
        <v>4811</v>
      </c>
      <c r="X62" s="662"/>
      <c r="Y62" s="663"/>
      <c r="Z62" s="703">
        <f>ROUND(SUMIFS(Input[Academic
Uses],Input[Institution Name],$A62),0)</f>
        <v>18474005</v>
      </c>
      <c r="AA62" s="704"/>
      <c r="AB62" s="705"/>
      <c r="AC62" s="661">
        <f t="shared" si="20"/>
        <v>3446</v>
      </c>
      <c r="AD62" s="662"/>
      <c r="AE62" s="663"/>
      <c r="AF62" s="703">
        <f>ROUND(SUMIFS(Input[Institutional
Uses],Input[Institution Name],$A62),0)</f>
        <v>15158862</v>
      </c>
      <c r="AG62" s="704"/>
      <c r="AH62" s="705"/>
      <c r="AI62" s="661">
        <f t="shared" si="21"/>
        <v>2827</v>
      </c>
      <c r="AJ62" s="662"/>
      <c r="AK62" s="663"/>
      <c r="AL62" s="703">
        <f>ROUND(SUMIFS(Input[Student
Uses],Input[Institution Name],$A62),0)</f>
        <v>18300731</v>
      </c>
      <c r="AM62" s="704"/>
      <c r="AN62" s="705"/>
      <c r="AO62" s="661">
        <f t="shared" si="22"/>
        <v>3413</v>
      </c>
      <c r="AP62" s="662"/>
      <c r="AQ62" s="663"/>
      <c r="AR62" s="703">
        <f>ROUND(SUMIFS(Input[Operations
Uses],Input[Institution Name],$A62),0)
+ROUND(SUMIFS(Input[Scholarships
Uses],Input[Institution Name],$A62),0)
+ROUND(SUMIFS(Input[Capital
Uses],Input[Institution Name],$A62),0)
+ROUND(SUMIFS(Input[Other
Uses],Input[Institution Name],$A62),0)</f>
        <v>38897905</v>
      </c>
      <c r="AS62" s="704"/>
      <c r="AT62" s="705"/>
      <c r="AU62" s="661">
        <f t="shared" si="23"/>
        <v>7255</v>
      </c>
      <c r="AV62" s="662"/>
      <c r="AW62" s="663"/>
      <c r="AX62" s="703">
        <f t="shared" si="24"/>
        <v>160106564</v>
      </c>
      <c r="AY62" s="704"/>
      <c r="AZ62" s="705"/>
      <c r="BA62" s="661">
        <f t="shared" si="25"/>
        <v>29861</v>
      </c>
      <c r="BB62" s="662"/>
      <c r="BC62" s="663"/>
      <c r="BD62" s="146"/>
    </row>
    <row r="63" spans="1:63" ht="27" customHeight="1" x14ac:dyDescent="0.55000000000000004">
      <c r="A63" s="732" t="s">
        <v>72</v>
      </c>
      <c r="B63" s="733"/>
      <c r="C63" s="733"/>
      <c r="D63" s="733"/>
      <c r="E63" s="733"/>
      <c r="F63" s="733"/>
      <c r="G63" s="733"/>
      <c r="H63" s="733"/>
      <c r="I63" s="724">
        <v>9651</v>
      </c>
      <c r="J63" s="725"/>
      <c r="K63" s="677">
        <f>IFERROR(VLOOKUP(A63,Input[],574,FALSE),"")</f>
        <v>7118.52</v>
      </c>
      <c r="L63" s="678"/>
      <c r="M63" s="679"/>
      <c r="N63" s="700">
        <f>ROUND(SUMIFS(Input[Instruction
Uses],Input[Institution Name],$A63),0)</f>
        <v>38714784</v>
      </c>
      <c r="O63" s="701"/>
      <c r="P63" s="702"/>
      <c r="Q63" s="672">
        <f t="shared" si="18"/>
        <v>5439</v>
      </c>
      <c r="R63" s="673"/>
      <c r="S63" s="674"/>
      <c r="T63" s="700">
        <f>ROUND(SUMIFS(Input[Research
Uses],Input[Institution Name],$A63),0)</f>
        <v>7196744</v>
      </c>
      <c r="U63" s="701"/>
      <c r="V63" s="702"/>
      <c r="W63" s="672">
        <f t="shared" si="19"/>
        <v>1011</v>
      </c>
      <c r="X63" s="673"/>
      <c r="Y63" s="674"/>
      <c r="Z63" s="700">
        <f>ROUND(SUMIFS(Input[Academic
Uses],Input[Institution Name],$A63),0)</f>
        <v>25901671</v>
      </c>
      <c r="AA63" s="701"/>
      <c r="AB63" s="702"/>
      <c r="AC63" s="672">
        <f t="shared" si="20"/>
        <v>3639</v>
      </c>
      <c r="AD63" s="673"/>
      <c r="AE63" s="674"/>
      <c r="AF63" s="700">
        <f>ROUND(SUMIFS(Input[Institutional
Uses],Input[Institution Name],$A63),0)</f>
        <v>9420022</v>
      </c>
      <c r="AG63" s="701"/>
      <c r="AH63" s="702"/>
      <c r="AI63" s="672">
        <f t="shared" si="21"/>
        <v>1323</v>
      </c>
      <c r="AJ63" s="673"/>
      <c r="AK63" s="674"/>
      <c r="AL63" s="700">
        <f>ROUND(SUMIFS(Input[Student
Uses],Input[Institution Name],$A63),0)</f>
        <v>14664184</v>
      </c>
      <c r="AM63" s="701"/>
      <c r="AN63" s="702"/>
      <c r="AO63" s="672">
        <f t="shared" si="22"/>
        <v>2060</v>
      </c>
      <c r="AP63" s="673"/>
      <c r="AQ63" s="674"/>
      <c r="AR63" s="700">
        <f>ROUND(SUMIFS(Input[Operations
Uses],Input[Institution Name],$A63),0)
+ROUND(SUMIFS(Input[Scholarships
Uses],Input[Institution Name],$A63),0)
+ROUND(SUMIFS(Input[Capital
Uses],Input[Institution Name],$A63),0)
+ROUND(SUMIFS(Input[Other
Uses],Input[Institution Name],$A63),0)</f>
        <v>36888475</v>
      </c>
      <c r="AS63" s="701"/>
      <c r="AT63" s="702"/>
      <c r="AU63" s="672">
        <f t="shared" si="23"/>
        <v>5182</v>
      </c>
      <c r="AV63" s="673"/>
      <c r="AW63" s="674"/>
      <c r="AX63" s="700">
        <f t="shared" si="24"/>
        <v>132785880</v>
      </c>
      <c r="AY63" s="701"/>
      <c r="AZ63" s="702"/>
      <c r="BA63" s="672">
        <f t="shared" si="25"/>
        <v>18654</v>
      </c>
      <c r="BB63" s="673"/>
      <c r="BC63" s="674"/>
      <c r="BD63" s="146"/>
    </row>
    <row r="64" spans="1:63" ht="27" customHeight="1" x14ac:dyDescent="0.55000000000000004">
      <c r="A64" s="722" t="s">
        <v>73</v>
      </c>
      <c r="B64" s="723"/>
      <c r="C64" s="723"/>
      <c r="D64" s="723"/>
      <c r="E64" s="723"/>
      <c r="F64" s="723"/>
      <c r="G64" s="723"/>
      <c r="H64" s="723"/>
      <c r="I64" s="717">
        <v>3665</v>
      </c>
      <c r="J64" s="718"/>
      <c r="K64" s="680">
        <f>IFERROR(VLOOKUP(A64,Input[],574,FALSE),"")</f>
        <v>7276.21</v>
      </c>
      <c r="L64" s="681"/>
      <c r="M64" s="682"/>
      <c r="N64" s="703">
        <f>ROUND(SUMIFS(Input[Instruction
Uses],Input[Institution Name],$A64),0)</f>
        <v>46982374</v>
      </c>
      <c r="O64" s="704"/>
      <c r="P64" s="705"/>
      <c r="Q64" s="661">
        <f t="shared" si="18"/>
        <v>6457</v>
      </c>
      <c r="R64" s="662"/>
      <c r="S64" s="663"/>
      <c r="T64" s="703">
        <f>ROUND(SUMIFS(Input[Research
Uses],Input[Institution Name],$A64),0)</f>
        <v>10149079</v>
      </c>
      <c r="U64" s="704"/>
      <c r="V64" s="705"/>
      <c r="W64" s="661">
        <f t="shared" si="19"/>
        <v>1395</v>
      </c>
      <c r="X64" s="662"/>
      <c r="Y64" s="663"/>
      <c r="Z64" s="703">
        <f>ROUND(SUMIFS(Input[Academic
Uses],Input[Institution Name],$A64),0)</f>
        <v>21012132</v>
      </c>
      <c r="AA64" s="704"/>
      <c r="AB64" s="705"/>
      <c r="AC64" s="661">
        <f t="shared" si="20"/>
        <v>2888</v>
      </c>
      <c r="AD64" s="662"/>
      <c r="AE64" s="663"/>
      <c r="AF64" s="703">
        <f>ROUND(SUMIFS(Input[Institutional
Uses],Input[Institution Name],$A64),0)</f>
        <v>14132248</v>
      </c>
      <c r="AG64" s="704"/>
      <c r="AH64" s="705"/>
      <c r="AI64" s="661">
        <f t="shared" si="21"/>
        <v>1942</v>
      </c>
      <c r="AJ64" s="662"/>
      <c r="AK64" s="663"/>
      <c r="AL64" s="703">
        <f>ROUND(SUMIFS(Input[Student
Uses],Input[Institution Name],$A64),0)</f>
        <v>11542393</v>
      </c>
      <c r="AM64" s="704"/>
      <c r="AN64" s="705"/>
      <c r="AO64" s="661">
        <f t="shared" si="22"/>
        <v>1586</v>
      </c>
      <c r="AP64" s="662"/>
      <c r="AQ64" s="663"/>
      <c r="AR64" s="703">
        <f>ROUND(SUMIFS(Input[Operations
Uses],Input[Institution Name],$A64),0)
+ROUND(SUMIFS(Input[Scholarships
Uses],Input[Institution Name],$A64),0)
+ROUND(SUMIFS(Input[Capital
Uses],Input[Institution Name],$A64),0)
+ROUND(SUMIFS(Input[Other
Uses],Input[Institution Name],$A64),0)</f>
        <v>48594984</v>
      </c>
      <c r="AS64" s="704"/>
      <c r="AT64" s="705"/>
      <c r="AU64" s="661">
        <f t="shared" si="23"/>
        <v>6679</v>
      </c>
      <c r="AV64" s="662"/>
      <c r="AW64" s="663"/>
      <c r="AX64" s="703">
        <f t="shared" si="24"/>
        <v>152413210</v>
      </c>
      <c r="AY64" s="704"/>
      <c r="AZ64" s="705"/>
      <c r="BA64" s="661">
        <f t="shared" si="25"/>
        <v>20947</v>
      </c>
      <c r="BB64" s="662"/>
      <c r="BC64" s="663"/>
      <c r="BD64" s="146"/>
    </row>
    <row r="65" spans="1:56" ht="27" customHeight="1" x14ac:dyDescent="0.55000000000000004">
      <c r="A65" s="732" t="s">
        <v>1788</v>
      </c>
      <c r="B65" s="733"/>
      <c r="C65" s="733"/>
      <c r="D65" s="733"/>
      <c r="E65" s="733"/>
      <c r="F65" s="733"/>
      <c r="G65" s="733"/>
      <c r="H65" s="733"/>
      <c r="I65" s="724">
        <v>3565</v>
      </c>
      <c r="J65" s="725"/>
      <c r="K65" s="677">
        <f>IFERROR(VLOOKUP(A65,Input[],574,FALSE),"")</f>
        <v>9052.2199999999993</v>
      </c>
      <c r="L65" s="678"/>
      <c r="M65" s="679"/>
      <c r="N65" s="700">
        <f>ROUND(SUMIFS(Input[Instruction
Uses],Input[Institution Name],$A65),0)</f>
        <v>61206364</v>
      </c>
      <c r="O65" s="701"/>
      <c r="P65" s="702"/>
      <c r="Q65" s="672">
        <f t="shared" si="18"/>
        <v>6761</v>
      </c>
      <c r="R65" s="673"/>
      <c r="S65" s="674"/>
      <c r="T65" s="700">
        <f>ROUND(SUMIFS(Input[Research
Uses],Input[Institution Name],$A65),0)</f>
        <v>6227461</v>
      </c>
      <c r="U65" s="701"/>
      <c r="V65" s="702"/>
      <c r="W65" s="672">
        <f t="shared" si="19"/>
        <v>688</v>
      </c>
      <c r="X65" s="673"/>
      <c r="Y65" s="674"/>
      <c r="Z65" s="700">
        <f>ROUND(SUMIFS(Input[Academic
Uses],Input[Institution Name],$A65),0)</f>
        <v>18008062</v>
      </c>
      <c r="AA65" s="701"/>
      <c r="AB65" s="702"/>
      <c r="AC65" s="672">
        <f t="shared" si="20"/>
        <v>1989</v>
      </c>
      <c r="AD65" s="673"/>
      <c r="AE65" s="674"/>
      <c r="AF65" s="700">
        <f>ROUND(SUMIFS(Input[Institutional
Uses],Input[Institution Name],$A65),0)</f>
        <v>16572761</v>
      </c>
      <c r="AG65" s="701"/>
      <c r="AH65" s="702"/>
      <c r="AI65" s="672">
        <f t="shared" si="21"/>
        <v>1831</v>
      </c>
      <c r="AJ65" s="673"/>
      <c r="AK65" s="674"/>
      <c r="AL65" s="700">
        <f>ROUND(SUMIFS(Input[Student
Uses],Input[Institution Name],$A65),0)</f>
        <v>21739201</v>
      </c>
      <c r="AM65" s="701"/>
      <c r="AN65" s="702"/>
      <c r="AO65" s="672">
        <f t="shared" si="22"/>
        <v>2402</v>
      </c>
      <c r="AP65" s="673"/>
      <c r="AQ65" s="674"/>
      <c r="AR65" s="700">
        <f>ROUND(SUMIFS(Input[Operations
Uses],Input[Institution Name],$A65),0)
+ROUND(SUMIFS(Input[Scholarships
Uses],Input[Institution Name],$A65),0)
+ROUND(SUMIFS(Input[Capital
Uses],Input[Institution Name],$A65),0)
+ROUND(SUMIFS(Input[Other
Uses],Input[Institution Name],$A65),0)</f>
        <v>34142087</v>
      </c>
      <c r="AS65" s="701"/>
      <c r="AT65" s="702"/>
      <c r="AU65" s="672">
        <f t="shared" si="23"/>
        <v>3772</v>
      </c>
      <c r="AV65" s="673"/>
      <c r="AW65" s="674"/>
      <c r="AX65" s="700">
        <f t="shared" si="24"/>
        <v>157895936</v>
      </c>
      <c r="AY65" s="701"/>
      <c r="AZ65" s="702"/>
      <c r="BA65" s="672">
        <f t="shared" si="25"/>
        <v>17443</v>
      </c>
      <c r="BB65" s="673"/>
      <c r="BC65" s="674"/>
      <c r="BD65" s="146"/>
    </row>
    <row r="66" spans="1:56" ht="27" customHeight="1" x14ac:dyDescent="0.55000000000000004">
      <c r="A66" s="722" t="s">
        <v>75</v>
      </c>
      <c r="B66" s="723"/>
      <c r="C66" s="723"/>
      <c r="D66" s="723"/>
      <c r="E66" s="723"/>
      <c r="F66" s="723"/>
      <c r="G66" s="723"/>
      <c r="H66" s="723"/>
      <c r="I66" s="717">
        <v>29269</v>
      </c>
      <c r="J66" s="718"/>
      <c r="K66" s="680">
        <f>IFERROR(VLOOKUP(A66,Input[],574,FALSE),"")</f>
        <v>1615.92</v>
      </c>
      <c r="L66" s="681"/>
      <c r="M66" s="682"/>
      <c r="N66" s="703">
        <f>ROUND(SUMIFS(Input[Instruction
Uses],Input[Institution Name],$A66),0)</f>
        <v>22737650</v>
      </c>
      <c r="O66" s="704"/>
      <c r="P66" s="705"/>
      <c r="Q66" s="661">
        <f t="shared" si="18"/>
        <v>14071</v>
      </c>
      <c r="R66" s="662"/>
      <c r="S66" s="663"/>
      <c r="T66" s="703">
        <f>ROUND(SUMIFS(Input[Research
Uses],Input[Institution Name],$A66),0)</f>
        <v>57447</v>
      </c>
      <c r="U66" s="704"/>
      <c r="V66" s="705"/>
      <c r="W66" s="661">
        <f t="shared" si="19"/>
        <v>36</v>
      </c>
      <c r="X66" s="662"/>
      <c r="Y66" s="663"/>
      <c r="Z66" s="703">
        <f>ROUND(SUMIFS(Input[Academic
Uses],Input[Institution Name],$A66),0)</f>
        <v>4948126</v>
      </c>
      <c r="AA66" s="704"/>
      <c r="AB66" s="705"/>
      <c r="AC66" s="661">
        <f t="shared" si="20"/>
        <v>3062</v>
      </c>
      <c r="AD66" s="662"/>
      <c r="AE66" s="663"/>
      <c r="AF66" s="703">
        <f>ROUND(SUMIFS(Input[Institutional
Uses],Input[Institution Name],$A66),0)</f>
        <v>8669893</v>
      </c>
      <c r="AG66" s="704"/>
      <c r="AH66" s="705"/>
      <c r="AI66" s="661">
        <f t="shared" si="21"/>
        <v>5365</v>
      </c>
      <c r="AJ66" s="662"/>
      <c r="AK66" s="663"/>
      <c r="AL66" s="703">
        <f>ROUND(SUMIFS(Input[Student
Uses],Input[Institution Name],$A66),0)</f>
        <v>4570303</v>
      </c>
      <c r="AM66" s="704"/>
      <c r="AN66" s="705"/>
      <c r="AO66" s="661">
        <f t="shared" si="22"/>
        <v>2828</v>
      </c>
      <c r="AP66" s="662"/>
      <c r="AQ66" s="663"/>
      <c r="AR66" s="703">
        <f>ROUND(SUMIFS(Input[Operations
Uses],Input[Institution Name],$A66),0)
+ROUND(SUMIFS(Input[Scholarships
Uses],Input[Institution Name],$A66),0)
+ROUND(SUMIFS(Input[Capital
Uses],Input[Institution Name],$A66),0)
+ROUND(SUMIFS(Input[Other
Uses],Input[Institution Name],$A66),0)</f>
        <v>9086466</v>
      </c>
      <c r="AS66" s="704"/>
      <c r="AT66" s="705"/>
      <c r="AU66" s="661">
        <f t="shared" si="23"/>
        <v>5623</v>
      </c>
      <c r="AV66" s="662"/>
      <c r="AW66" s="663"/>
      <c r="AX66" s="703">
        <f t="shared" si="24"/>
        <v>50069885</v>
      </c>
      <c r="AY66" s="704"/>
      <c r="AZ66" s="705"/>
      <c r="BA66" s="661">
        <f t="shared" si="25"/>
        <v>30985</v>
      </c>
      <c r="BB66" s="662"/>
      <c r="BC66" s="663"/>
      <c r="BD66" s="146"/>
    </row>
    <row r="67" spans="1:56" ht="27" customHeight="1" x14ac:dyDescent="0.55000000000000004">
      <c r="A67" s="732" t="s">
        <v>76</v>
      </c>
      <c r="B67" s="733"/>
      <c r="C67" s="733"/>
      <c r="D67" s="733"/>
      <c r="E67" s="733"/>
      <c r="F67" s="733"/>
      <c r="G67" s="733"/>
      <c r="H67" s="733"/>
      <c r="I67" s="724">
        <v>42295</v>
      </c>
      <c r="J67" s="725"/>
      <c r="K67" s="677">
        <f>IFERROR(VLOOKUP(A67,Input[],574,FALSE),"")</f>
        <v>1689.82</v>
      </c>
      <c r="L67" s="678"/>
      <c r="M67" s="679"/>
      <c r="N67" s="700">
        <f>ROUND(SUMIFS(Input[Instruction
Uses],Input[Institution Name],$A67),0)</f>
        <v>12793436</v>
      </c>
      <c r="O67" s="701"/>
      <c r="P67" s="702"/>
      <c r="Q67" s="672">
        <f t="shared" si="18"/>
        <v>7571</v>
      </c>
      <c r="R67" s="673"/>
      <c r="S67" s="674"/>
      <c r="T67" s="700">
        <f>ROUND(SUMIFS(Input[Research
Uses],Input[Institution Name],$A67),0)</f>
        <v>2238513</v>
      </c>
      <c r="U67" s="701"/>
      <c r="V67" s="702"/>
      <c r="W67" s="672">
        <f t="shared" si="19"/>
        <v>1325</v>
      </c>
      <c r="X67" s="673"/>
      <c r="Y67" s="674"/>
      <c r="Z67" s="700">
        <f>ROUND(SUMIFS(Input[Academic
Uses],Input[Institution Name],$A67),0)</f>
        <v>7853380</v>
      </c>
      <c r="AA67" s="701"/>
      <c r="AB67" s="702"/>
      <c r="AC67" s="672">
        <f t="shared" si="20"/>
        <v>4647</v>
      </c>
      <c r="AD67" s="673"/>
      <c r="AE67" s="674"/>
      <c r="AF67" s="700">
        <f>ROUND(SUMIFS(Input[Institutional
Uses],Input[Institution Name],$A67),0)</f>
        <v>5243507</v>
      </c>
      <c r="AG67" s="701"/>
      <c r="AH67" s="702"/>
      <c r="AI67" s="672">
        <f t="shared" si="21"/>
        <v>3103</v>
      </c>
      <c r="AJ67" s="673"/>
      <c r="AK67" s="674"/>
      <c r="AL67" s="700">
        <f>ROUND(SUMIFS(Input[Student
Uses],Input[Institution Name],$A67),0)</f>
        <v>7563011</v>
      </c>
      <c r="AM67" s="701"/>
      <c r="AN67" s="702"/>
      <c r="AO67" s="672">
        <f t="shared" si="22"/>
        <v>4476</v>
      </c>
      <c r="AP67" s="673"/>
      <c r="AQ67" s="674"/>
      <c r="AR67" s="700">
        <f>ROUND(SUMIFS(Input[Operations
Uses],Input[Institution Name],$A67),0)
+ROUND(SUMIFS(Input[Scholarships
Uses],Input[Institution Name],$A67),0)
+ROUND(SUMIFS(Input[Capital
Uses],Input[Institution Name],$A67),0)
+ROUND(SUMIFS(Input[Other
Uses],Input[Institution Name],$A67),0)</f>
        <v>8079990</v>
      </c>
      <c r="AS67" s="701"/>
      <c r="AT67" s="702"/>
      <c r="AU67" s="672">
        <f t="shared" si="23"/>
        <v>4782</v>
      </c>
      <c r="AV67" s="673"/>
      <c r="AW67" s="674"/>
      <c r="AX67" s="700">
        <f t="shared" si="24"/>
        <v>43771837</v>
      </c>
      <c r="AY67" s="701"/>
      <c r="AZ67" s="702"/>
      <c r="BA67" s="672">
        <f t="shared" si="25"/>
        <v>25903</v>
      </c>
      <c r="BB67" s="673"/>
      <c r="BC67" s="674"/>
      <c r="BD67" s="146"/>
    </row>
    <row r="68" spans="1:56" ht="27" customHeight="1" x14ac:dyDescent="0.55000000000000004">
      <c r="A68" s="722" t="s">
        <v>77</v>
      </c>
      <c r="B68" s="723"/>
      <c r="C68" s="723"/>
      <c r="D68" s="723"/>
      <c r="E68" s="723"/>
      <c r="F68" s="723"/>
      <c r="G68" s="723"/>
      <c r="H68" s="723"/>
      <c r="I68" s="717">
        <v>42485</v>
      </c>
      <c r="J68" s="718"/>
      <c r="K68" s="680">
        <f>IFERROR(VLOOKUP(A68,Input[],574,FALSE),"")</f>
        <v>5196.08</v>
      </c>
      <c r="L68" s="681"/>
      <c r="M68" s="682"/>
      <c r="N68" s="703">
        <f>ROUND(SUMIFS(Input[Instruction
Uses],Input[Institution Name],$A68),0)</f>
        <v>31465788</v>
      </c>
      <c r="O68" s="704"/>
      <c r="P68" s="705"/>
      <c r="Q68" s="661">
        <f t="shared" si="18"/>
        <v>6056</v>
      </c>
      <c r="R68" s="662"/>
      <c r="S68" s="663"/>
      <c r="T68" s="703">
        <f>ROUND(SUMIFS(Input[Research
Uses],Input[Institution Name],$A68),0)</f>
        <v>4541693</v>
      </c>
      <c r="U68" s="704"/>
      <c r="V68" s="705"/>
      <c r="W68" s="661">
        <f t="shared" si="19"/>
        <v>874</v>
      </c>
      <c r="X68" s="662"/>
      <c r="Y68" s="663"/>
      <c r="Z68" s="703">
        <f>ROUND(SUMIFS(Input[Academic
Uses],Input[Institution Name],$A68),0)</f>
        <v>11539470</v>
      </c>
      <c r="AA68" s="704"/>
      <c r="AB68" s="705"/>
      <c r="AC68" s="661">
        <f t="shared" si="20"/>
        <v>2221</v>
      </c>
      <c r="AD68" s="662"/>
      <c r="AE68" s="663"/>
      <c r="AF68" s="703">
        <f>ROUND(SUMIFS(Input[Institutional
Uses],Input[Institution Name],$A68),0)</f>
        <v>11464325</v>
      </c>
      <c r="AG68" s="704"/>
      <c r="AH68" s="705"/>
      <c r="AI68" s="661">
        <f t="shared" si="21"/>
        <v>2206</v>
      </c>
      <c r="AJ68" s="662"/>
      <c r="AK68" s="663"/>
      <c r="AL68" s="703">
        <f>ROUND(SUMIFS(Input[Student
Uses],Input[Institution Name],$A68),0)</f>
        <v>22820664</v>
      </c>
      <c r="AM68" s="704"/>
      <c r="AN68" s="705"/>
      <c r="AO68" s="661">
        <f t="shared" si="22"/>
        <v>4392</v>
      </c>
      <c r="AP68" s="662"/>
      <c r="AQ68" s="663"/>
      <c r="AR68" s="703">
        <f>ROUND(SUMIFS(Input[Operations
Uses],Input[Institution Name],$A68),0)
+ROUND(SUMIFS(Input[Scholarships
Uses],Input[Institution Name],$A68),0)
+ROUND(SUMIFS(Input[Capital
Uses],Input[Institution Name],$A68),0)
+ROUND(SUMIFS(Input[Other
Uses],Input[Institution Name],$A68),0)</f>
        <v>23331320</v>
      </c>
      <c r="AS68" s="704"/>
      <c r="AT68" s="705"/>
      <c r="AU68" s="661">
        <f t="shared" si="23"/>
        <v>4490</v>
      </c>
      <c r="AV68" s="662"/>
      <c r="AW68" s="663"/>
      <c r="AX68" s="703">
        <f t="shared" si="24"/>
        <v>105163260</v>
      </c>
      <c r="AY68" s="704"/>
      <c r="AZ68" s="705"/>
      <c r="BA68" s="661">
        <f t="shared" si="25"/>
        <v>20239</v>
      </c>
      <c r="BB68" s="662"/>
      <c r="BC68" s="663"/>
      <c r="BD68" s="146"/>
    </row>
    <row r="69" spans="1:56" ht="27" customHeight="1" x14ac:dyDescent="0.55000000000000004">
      <c r="A69" s="732" t="s">
        <v>78</v>
      </c>
      <c r="B69" s="733"/>
      <c r="C69" s="733"/>
      <c r="D69" s="733"/>
      <c r="E69" s="733"/>
      <c r="F69" s="733"/>
      <c r="G69" s="733"/>
      <c r="H69" s="733"/>
      <c r="I69" s="724">
        <v>3652</v>
      </c>
      <c r="J69" s="725"/>
      <c r="K69" s="677">
        <f>IFERROR(VLOOKUP(A69,Input[],574,FALSE),"")</f>
        <v>39204.69</v>
      </c>
      <c r="L69" s="678"/>
      <c r="M69" s="679"/>
      <c r="N69" s="700">
        <f>ROUND(SUMIFS(Input[Instruction
Uses],Input[Institution Name],$A69),0)</f>
        <v>293357640</v>
      </c>
      <c r="O69" s="701"/>
      <c r="P69" s="702"/>
      <c r="Q69" s="672">
        <f t="shared" si="18"/>
        <v>7483</v>
      </c>
      <c r="R69" s="673"/>
      <c r="S69" s="674"/>
      <c r="T69" s="700">
        <f>ROUND(SUMIFS(Input[Research
Uses],Input[Institution Name],$A69),0)</f>
        <v>167452408</v>
      </c>
      <c r="U69" s="701"/>
      <c r="V69" s="702"/>
      <c r="W69" s="672">
        <f t="shared" si="19"/>
        <v>4271</v>
      </c>
      <c r="X69" s="673"/>
      <c r="Y69" s="674"/>
      <c r="Z69" s="700">
        <f>ROUND(SUMIFS(Input[Academic
Uses],Input[Institution Name],$A69),0)</f>
        <v>187548364</v>
      </c>
      <c r="AA69" s="701"/>
      <c r="AB69" s="702"/>
      <c r="AC69" s="672">
        <f t="shared" si="20"/>
        <v>4784</v>
      </c>
      <c r="AD69" s="673"/>
      <c r="AE69" s="674"/>
      <c r="AF69" s="700">
        <f>ROUND(SUMIFS(Input[Institutional
Uses],Input[Institution Name],$A69),0)</f>
        <v>79047359</v>
      </c>
      <c r="AG69" s="701"/>
      <c r="AH69" s="702"/>
      <c r="AI69" s="672">
        <f t="shared" si="21"/>
        <v>2016</v>
      </c>
      <c r="AJ69" s="673"/>
      <c r="AK69" s="674"/>
      <c r="AL69" s="700">
        <f>ROUND(SUMIFS(Input[Student
Uses],Input[Institution Name],$A69),0)</f>
        <v>35778110</v>
      </c>
      <c r="AM69" s="701"/>
      <c r="AN69" s="702"/>
      <c r="AO69" s="672">
        <f t="shared" si="22"/>
        <v>913</v>
      </c>
      <c r="AP69" s="673"/>
      <c r="AQ69" s="674"/>
      <c r="AR69" s="700">
        <f>ROUND(SUMIFS(Input[Operations
Uses],Input[Institution Name],$A69),0)
+ROUND(SUMIFS(Input[Scholarships
Uses],Input[Institution Name],$A69),0)
+ROUND(SUMIFS(Input[Capital
Uses],Input[Institution Name],$A69),0)
+ROUND(SUMIFS(Input[Other
Uses],Input[Institution Name],$A69),0)</f>
        <v>265114671</v>
      </c>
      <c r="AS69" s="701"/>
      <c r="AT69" s="702"/>
      <c r="AU69" s="672">
        <f t="shared" si="23"/>
        <v>6762</v>
      </c>
      <c r="AV69" s="673"/>
      <c r="AW69" s="674"/>
      <c r="AX69" s="700">
        <f t="shared" si="24"/>
        <v>1028298552</v>
      </c>
      <c r="AY69" s="701"/>
      <c r="AZ69" s="702"/>
      <c r="BA69" s="672">
        <f t="shared" si="25"/>
        <v>26229</v>
      </c>
      <c r="BB69" s="673"/>
      <c r="BC69" s="674"/>
      <c r="BD69" s="146"/>
    </row>
    <row r="70" spans="1:56" ht="27" customHeight="1" x14ac:dyDescent="0.55000000000000004">
      <c r="A70" s="722" t="s">
        <v>79</v>
      </c>
      <c r="B70" s="723"/>
      <c r="C70" s="723"/>
      <c r="D70" s="723"/>
      <c r="E70" s="723"/>
      <c r="F70" s="723"/>
      <c r="G70" s="723"/>
      <c r="H70" s="723"/>
      <c r="I70" s="717">
        <v>11711</v>
      </c>
      <c r="J70" s="718"/>
      <c r="K70" s="680">
        <f>IFERROR(VLOOKUP(A70,Input[],574,FALSE),"")</f>
        <v>5934.41</v>
      </c>
      <c r="L70" s="681"/>
      <c r="M70" s="682"/>
      <c r="N70" s="703">
        <f>ROUND(SUMIFS(Input[Instruction
Uses],Input[Institution Name],$A70),0)</f>
        <v>48709306</v>
      </c>
      <c r="O70" s="704"/>
      <c r="P70" s="705"/>
      <c r="Q70" s="661">
        <f t="shared" si="18"/>
        <v>8208</v>
      </c>
      <c r="R70" s="662"/>
      <c r="S70" s="663"/>
      <c r="T70" s="703">
        <f>ROUND(SUMIFS(Input[Research
Uses],Input[Institution Name],$A70),0)</f>
        <v>2962645</v>
      </c>
      <c r="U70" s="704"/>
      <c r="V70" s="705"/>
      <c r="W70" s="661">
        <f t="shared" si="19"/>
        <v>499</v>
      </c>
      <c r="X70" s="662"/>
      <c r="Y70" s="663"/>
      <c r="Z70" s="703">
        <f>ROUND(SUMIFS(Input[Academic
Uses],Input[Institution Name],$A70),0)</f>
        <v>29598451</v>
      </c>
      <c r="AA70" s="704"/>
      <c r="AB70" s="705"/>
      <c r="AC70" s="661">
        <f t="shared" si="20"/>
        <v>4988</v>
      </c>
      <c r="AD70" s="662"/>
      <c r="AE70" s="663"/>
      <c r="AF70" s="703">
        <f>ROUND(SUMIFS(Input[Institutional
Uses],Input[Institution Name],$A70),0)</f>
        <v>19239429</v>
      </c>
      <c r="AG70" s="704"/>
      <c r="AH70" s="705"/>
      <c r="AI70" s="661">
        <f t="shared" si="21"/>
        <v>3242</v>
      </c>
      <c r="AJ70" s="662"/>
      <c r="AK70" s="663"/>
      <c r="AL70" s="703">
        <f>ROUND(SUMIFS(Input[Student
Uses],Input[Institution Name],$A70),0)</f>
        <v>9402457</v>
      </c>
      <c r="AM70" s="704"/>
      <c r="AN70" s="705"/>
      <c r="AO70" s="661">
        <f t="shared" si="22"/>
        <v>1584</v>
      </c>
      <c r="AP70" s="662"/>
      <c r="AQ70" s="663"/>
      <c r="AR70" s="703">
        <f>ROUND(SUMIFS(Input[Operations
Uses],Input[Institution Name],$A70),0)
+ROUND(SUMIFS(Input[Scholarships
Uses],Input[Institution Name],$A70),0)
+ROUND(SUMIFS(Input[Capital
Uses],Input[Institution Name],$A70),0)
+ROUND(SUMIFS(Input[Other
Uses],Input[Institution Name],$A70),0)</f>
        <v>41475841</v>
      </c>
      <c r="AS70" s="704"/>
      <c r="AT70" s="705"/>
      <c r="AU70" s="661">
        <f t="shared" si="23"/>
        <v>6989</v>
      </c>
      <c r="AV70" s="662"/>
      <c r="AW70" s="663"/>
      <c r="AX70" s="703">
        <f t="shared" si="24"/>
        <v>151388129</v>
      </c>
      <c r="AY70" s="704"/>
      <c r="AZ70" s="705"/>
      <c r="BA70" s="661">
        <f t="shared" si="25"/>
        <v>25510</v>
      </c>
      <c r="BB70" s="662"/>
      <c r="BC70" s="663"/>
      <c r="BD70" s="146"/>
    </row>
    <row r="71" spans="1:56" ht="27" customHeight="1" x14ac:dyDescent="0.55000000000000004">
      <c r="A71" s="732" t="s">
        <v>80</v>
      </c>
      <c r="B71" s="733"/>
      <c r="C71" s="733"/>
      <c r="D71" s="733"/>
      <c r="E71" s="733"/>
      <c r="F71" s="733"/>
      <c r="G71" s="733"/>
      <c r="H71" s="733"/>
      <c r="I71" s="724">
        <v>12826</v>
      </c>
      <c r="J71" s="725"/>
      <c r="K71" s="677">
        <f>IFERROR(VLOOKUP(A71,Input[],574,FALSE),"")</f>
        <v>10302.99</v>
      </c>
      <c r="L71" s="678"/>
      <c r="M71" s="679"/>
      <c r="N71" s="700">
        <f>ROUND(SUMIFS(Input[Instruction
Uses],Input[Institution Name],$A71),0)</f>
        <v>57756840</v>
      </c>
      <c r="O71" s="701"/>
      <c r="P71" s="702"/>
      <c r="Q71" s="672">
        <f t="shared" si="18"/>
        <v>5606</v>
      </c>
      <c r="R71" s="673"/>
      <c r="S71" s="674"/>
      <c r="T71" s="700">
        <f>ROUND(SUMIFS(Input[Research
Uses],Input[Institution Name],$A71),0)</f>
        <v>3117455</v>
      </c>
      <c r="U71" s="701"/>
      <c r="V71" s="702"/>
      <c r="W71" s="672">
        <f t="shared" si="19"/>
        <v>303</v>
      </c>
      <c r="X71" s="673"/>
      <c r="Y71" s="674"/>
      <c r="Z71" s="700">
        <f>ROUND(SUMIFS(Input[Academic
Uses],Input[Institution Name],$A71),0)</f>
        <v>30238825</v>
      </c>
      <c r="AA71" s="701"/>
      <c r="AB71" s="702"/>
      <c r="AC71" s="672">
        <f t="shared" si="20"/>
        <v>2935</v>
      </c>
      <c r="AD71" s="673"/>
      <c r="AE71" s="674"/>
      <c r="AF71" s="700">
        <f>ROUND(SUMIFS(Input[Institutional
Uses],Input[Institution Name],$A71),0)</f>
        <v>32695843</v>
      </c>
      <c r="AG71" s="701"/>
      <c r="AH71" s="702"/>
      <c r="AI71" s="672">
        <f t="shared" si="21"/>
        <v>3173</v>
      </c>
      <c r="AJ71" s="673"/>
      <c r="AK71" s="674"/>
      <c r="AL71" s="700">
        <f>ROUND(SUMIFS(Input[Student
Uses],Input[Institution Name],$A71),0)</f>
        <v>8808312</v>
      </c>
      <c r="AM71" s="701"/>
      <c r="AN71" s="702"/>
      <c r="AO71" s="672">
        <f t="shared" si="22"/>
        <v>855</v>
      </c>
      <c r="AP71" s="673"/>
      <c r="AQ71" s="674"/>
      <c r="AR71" s="700">
        <f>ROUND(SUMIFS(Input[Operations
Uses],Input[Institution Name],$A71),0)
+ROUND(SUMIFS(Input[Scholarships
Uses],Input[Institution Name],$A71),0)
+ROUND(SUMIFS(Input[Capital
Uses],Input[Institution Name],$A71),0)
+ROUND(SUMIFS(Input[Other
Uses],Input[Institution Name],$A71),0)</f>
        <v>50499459</v>
      </c>
      <c r="AS71" s="701"/>
      <c r="AT71" s="702"/>
      <c r="AU71" s="672">
        <f t="shared" si="23"/>
        <v>4901</v>
      </c>
      <c r="AV71" s="673"/>
      <c r="AW71" s="674"/>
      <c r="AX71" s="700">
        <f t="shared" si="24"/>
        <v>183116734</v>
      </c>
      <c r="AY71" s="701"/>
      <c r="AZ71" s="702"/>
      <c r="BA71" s="672">
        <f t="shared" si="25"/>
        <v>17773</v>
      </c>
      <c r="BB71" s="673"/>
      <c r="BC71" s="674"/>
      <c r="BD71" s="146"/>
    </row>
    <row r="72" spans="1:56" ht="27" customHeight="1" x14ac:dyDescent="0.55000000000000004">
      <c r="A72" s="722" t="s">
        <v>81</v>
      </c>
      <c r="B72" s="723"/>
      <c r="C72" s="723"/>
      <c r="D72" s="723"/>
      <c r="E72" s="723"/>
      <c r="F72" s="723"/>
      <c r="G72" s="723"/>
      <c r="H72" s="723"/>
      <c r="I72" s="717">
        <v>13231</v>
      </c>
      <c r="J72" s="718"/>
      <c r="K72" s="680">
        <f>IFERROR(VLOOKUP(A72,Input[],574,FALSE),"")</f>
        <v>2826.05</v>
      </c>
      <c r="L72" s="681"/>
      <c r="M72" s="682"/>
      <c r="N72" s="703">
        <f>ROUND(SUMIFS(Input[Instruction
Uses],Input[Institution Name],$A72),0)</f>
        <v>20719081</v>
      </c>
      <c r="O72" s="704"/>
      <c r="P72" s="705"/>
      <c r="Q72" s="661">
        <f t="shared" si="18"/>
        <v>7331</v>
      </c>
      <c r="R72" s="662"/>
      <c r="S72" s="663"/>
      <c r="T72" s="703">
        <f>ROUND(SUMIFS(Input[Research
Uses],Input[Institution Name],$A72),0)</f>
        <v>810498</v>
      </c>
      <c r="U72" s="704"/>
      <c r="V72" s="705"/>
      <c r="W72" s="661">
        <f t="shared" si="19"/>
        <v>287</v>
      </c>
      <c r="X72" s="662"/>
      <c r="Y72" s="663"/>
      <c r="Z72" s="703">
        <f>ROUND(SUMIFS(Input[Academic
Uses],Input[Institution Name],$A72),0)</f>
        <v>8281135</v>
      </c>
      <c r="AA72" s="704"/>
      <c r="AB72" s="705"/>
      <c r="AC72" s="661">
        <f t="shared" si="20"/>
        <v>2930</v>
      </c>
      <c r="AD72" s="662"/>
      <c r="AE72" s="663"/>
      <c r="AF72" s="703">
        <f>ROUND(SUMIFS(Input[Institutional
Uses],Input[Institution Name],$A72),0)</f>
        <v>5364291</v>
      </c>
      <c r="AG72" s="704"/>
      <c r="AH72" s="705"/>
      <c r="AI72" s="661">
        <f t="shared" si="21"/>
        <v>1898</v>
      </c>
      <c r="AJ72" s="662"/>
      <c r="AK72" s="663"/>
      <c r="AL72" s="703">
        <f>ROUND(SUMIFS(Input[Student
Uses],Input[Institution Name],$A72),0)</f>
        <v>4786768</v>
      </c>
      <c r="AM72" s="704"/>
      <c r="AN72" s="705"/>
      <c r="AO72" s="661">
        <f t="shared" si="22"/>
        <v>1694</v>
      </c>
      <c r="AP72" s="662"/>
      <c r="AQ72" s="663"/>
      <c r="AR72" s="703">
        <f>ROUND(SUMIFS(Input[Operations
Uses],Input[Institution Name],$A72),0)
+ROUND(SUMIFS(Input[Scholarships
Uses],Input[Institution Name],$A72),0)
+ROUND(SUMIFS(Input[Capital
Uses],Input[Institution Name],$A72),0)
+ROUND(SUMIFS(Input[Other
Uses],Input[Institution Name],$A72),0)</f>
        <v>13005018</v>
      </c>
      <c r="AS72" s="704"/>
      <c r="AT72" s="705"/>
      <c r="AU72" s="661">
        <f t="shared" si="23"/>
        <v>4602</v>
      </c>
      <c r="AV72" s="662"/>
      <c r="AW72" s="663"/>
      <c r="AX72" s="703">
        <f t="shared" si="24"/>
        <v>52966791</v>
      </c>
      <c r="AY72" s="704"/>
      <c r="AZ72" s="705"/>
      <c r="BA72" s="661">
        <f t="shared" si="25"/>
        <v>18742</v>
      </c>
      <c r="BB72" s="662"/>
      <c r="BC72" s="663"/>
      <c r="BD72" s="146"/>
    </row>
    <row r="73" spans="1:56" ht="27" customHeight="1" x14ac:dyDescent="0.55000000000000004">
      <c r="A73" s="228" t="s">
        <v>1417</v>
      </c>
      <c r="B73" s="229"/>
      <c r="C73" s="229"/>
      <c r="D73" s="229"/>
      <c r="E73" s="229"/>
      <c r="F73" s="229"/>
      <c r="G73" s="229"/>
      <c r="H73" s="229"/>
      <c r="I73" s="724">
        <v>3581</v>
      </c>
      <c r="J73" s="725"/>
      <c r="K73" s="677">
        <f>IFERROR(VLOOKUP(A73,Input[],574,FALSE),"")</f>
        <v>13933.47</v>
      </c>
      <c r="L73" s="678"/>
      <c r="M73" s="679"/>
      <c r="N73" s="700">
        <f>ROUND(SUMIFS(Input[Instruction
Uses],Input[Institution Name],$A73),0)</f>
        <v>67929791</v>
      </c>
      <c r="O73" s="701"/>
      <c r="P73" s="702"/>
      <c r="Q73" s="672">
        <f t="shared" si="18"/>
        <v>4875</v>
      </c>
      <c r="R73" s="673"/>
      <c r="S73" s="674"/>
      <c r="T73" s="700">
        <f>ROUND(SUMIFS(Input[Research
Uses],Input[Institution Name],$A73),0)</f>
        <v>9335973</v>
      </c>
      <c r="U73" s="701"/>
      <c r="V73" s="702"/>
      <c r="W73" s="672">
        <f t="shared" si="19"/>
        <v>670</v>
      </c>
      <c r="X73" s="673"/>
      <c r="Y73" s="674"/>
      <c r="Z73" s="700">
        <f>ROUND(SUMIFS(Input[Academic
Uses],Input[Institution Name],$A73),0)</f>
        <v>51538299</v>
      </c>
      <c r="AA73" s="701"/>
      <c r="AB73" s="702"/>
      <c r="AC73" s="672">
        <f t="shared" si="20"/>
        <v>3699</v>
      </c>
      <c r="AD73" s="673"/>
      <c r="AE73" s="674"/>
      <c r="AF73" s="700">
        <f>ROUND(SUMIFS(Input[Institutional
Uses],Input[Institution Name],$A73),0)</f>
        <v>21019908</v>
      </c>
      <c r="AG73" s="701"/>
      <c r="AH73" s="702"/>
      <c r="AI73" s="672">
        <f t="shared" si="21"/>
        <v>1509</v>
      </c>
      <c r="AJ73" s="673"/>
      <c r="AK73" s="674"/>
      <c r="AL73" s="700">
        <f>ROUND(SUMIFS(Input[Student
Uses],Input[Institution Name],$A73),0)</f>
        <v>11391856</v>
      </c>
      <c r="AM73" s="701"/>
      <c r="AN73" s="702"/>
      <c r="AO73" s="672">
        <f t="shared" si="22"/>
        <v>818</v>
      </c>
      <c r="AP73" s="673"/>
      <c r="AQ73" s="674"/>
      <c r="AR73" s="700">
        <f>ROUND(SUMIFS(Input[Operations
Uses],Input[Institution Name],$A73),0)
+ROUND(SUMIFS(Input[Scholarships
Uses],Input[Institution Name],$A73),0)
+ROUND(SUMIFS(Input[Capital
Uses],Input[Institution Name],$A73),0)
+ROUND(SUMIFS(Input[Other
Uses],Input[Institution Name],$A73),0)</f>
        <v>50700275</v>
      </c>
      <c r="AS73" s="701"/>
      <c r="AT73" s="702"/>
      <c r="AU73" s="672">
        <f t="shared" si="23"/>
        <v>3639</v>
      </c>
      <c r="AV73" s="673"/>
      <c r="AW73" s="674"/>
      <c r="AX73" s="700">
        <f t="shared" si="24"/>
        <v>211916102</v>
      </c>
      <c r="AY73" s="701"/>
      <c r="AZ73" s="702"/>
      <c r="BA73" s="672">
        <f t="shared" si="25"/>
        <v>15209</v>
      </c>
      <c r="BB73" s="673"/>
      <c r="BC73" s="674"/>
      <c r="BD73" s="146"/>
    </row>
    <row r="74" spans="1:56" ht="27" customHeight="1" x14ac:dyDescent="0.55000000000000004">
      <c r="A74" s="722" t="s">
        <v>82</v>
      </c>
      <c r="B74" s="723"/>
      <c r="C74" s="723"/>
      <c r="D74" s="723"/>
      <c r="E74" s="723"/>
      <c r="F74" s="723"/>
      <c r="G74" s="723"/>
      <c r="H74" s="723"/>
      <c r="I74" s="717">
        <v>3606</v>
      </c>
      <c r="J74" s="718"/>
      <c r="K74" s="680">
        <f>IFERROR(VLOOKUP(A74,Input[],574,FALSE),"")</f>
        <v>17233.689999999999</v>
      </c>
      <c r="L74" s="681"/>
      <c r="M74" s="682"/>
      <c r="N74" s="703">
        <f>ROUND(SUMIFS(Input[Instruction
Uses],Input[Institution Name],$A74),0)</f>
        <v>112931543</v>
      </c>
      <c r="O74" s="704"/>
      <c r="P74" s="705"/>
      <c r="Q74" s="661">
        <f t="shared" si="18"/>
        <v>6553</v>
      </c>
      <c r="R74" s="662"/>
      <c r="S74" s="663"/>
      <c r="T74" s="703">
        <f>ROUND(SUMIFS(Input[Research
Uses],Input[Institution Name],$A74),0)</f>
        <v>14330646</v>
      </c>
      <c r="U74" s="704"/>
      <c r="V74" s="705"/>
      <c r="W74" s="661">
        <f t="shared" si="19"/>
        <v>832</v>
      </c>
      <c r="X74" s="662"/>
      <c r="Y74" s="663"/>
      <c r="Z74" s="703">
        <f>ROUND(SUMIFS(Input[Academic
Uses],Input[Institution Name],$A74),0)</f>
        <v>57002507</v>
      </c>
      <c r="AA74" s="704"/>
      <c r="AB74" s="705"/>
      <c r="AC74" s="661">
        <f t="shared" si="20"/>
        <v>3308</v>
      </c>
      <c r="AD74" s="662"/>
      <c r="AE74" s="663"/>
      <c r="AF74" s="703">
        <f>ROUND(SUMIFS(Input[Institutional
Uses],Input[Institution Name],$A74),0)</f>
        <v>30940313</v>
      </c>
      <c r="AG74" s="704"/>
      <c r="AH74" s="705"/>
      <c r="AI74" s="661">
        <f t="shared" si="21"/>
        <v>1795</v>
      </c>
      <c r="AJ74" s="662"/>
      <c r="AK74" s="663"/>
      <c r="AL74" s="703">
        <f>ROUND(SUMIFS(Input[Student
Uses],Input[Institution Name],$A74),0)</f>
        <v>32657652</v>
      </c>
      <c r="AM74" s="704"/>
      <c r="AN74" s="705"/>
      <c r="AO74" s="661">
        <f t="shared" si="22"/>
        <v>1895</v>
      </c>
      <c r="AP74" s="662"/>
      <c r="AQ74" s="663"/>
      <c r="AR74" s="703">
        <f>ROUND(SUMIFS(Input[Operations
Uses],Input[Institution Name],$A74),0)
+ROUND(SUMIFS(Input[Scholarships
Uses],Input[Institution Name],$A74),0)
+ROUND(SUMIFS(Input[Capital
Uses],Input[Institution Name],$A74),0)
+ROUND(SUMIFS(Input[Other
Uses],Input[Institution Name],$A74),0)</f>
        <v>67281284</v>
      </c>
      <c r="AS74" s="704"/>
      <c r="AT74" s="705"/>
      <c r="AU74" s="661">
        <f t="shared" si="23"/>
        <v>3904</v>
      </c>
      <c r="AV74" s="662"/>
      <c r="AW74" s="663"/>
      <c r="AX74" s="703">
        <f t="shared" si="24"/>
        <v>315143945</v>
      </c>
      <c r="AY74" s="704"/>
      <c r="AZ74" s="705"/>
      <c r="BA74" s="661">
        <f t="shared" si="25"/>
        <v>18287</v>
      </c>
      <c r="BB74" s="662"/>
      <c r="BC74" s="663"/>
      <c r="BD74" s="146"/>
    </row>
    <row r="75" spans="1:56" ht="27" customHeight="1" x14ac:dyDescent="0.55000000000000004">
      <c r="A75" s="228" t="s">
        <v>83</v>
      </c>
      <c r="B75" s="229"/>
      <c r="C75" s="229"/>
      <c r="D75" s="229"/>
      <c r="E75" s="229"/>
      <c r="F75" s="229"/>
      <c r="G75" s="229"/>
      <c r="H75" s="229"/>
      <c r="I75" s="724">
        <v>3615</v>
      </c>
      <c r="J75" s="725"/>
      <c r="K75" s="677">
        <f>IFERROR(VLOOKUP(A75,Input[],574,FALSE),"")</f>
        <v>32955.14</v>
      </c>
      <c r="L75" s="678"/>
      <c r="M75" s="679"/>
      <c r="N75" s="700">
        <f>ROUND(SUMIFS(Input[Instruction
Uses],Input[Institution Name],$A75),0)</f>
        <v>204387420</v>
      </c>
      <c r="O75" s="701"/>
      <c r="P75" s="702"/>
      <c r="Q75" s="672">
        <f t="shared" si="18"/>
        <v>6202</v>
      </c>
      <c r="R75" s="673"/>
      <c r="S75" s="674"/>
      <c r="T75" s="700">
        <f>ROUND(SUMIFS(Input[Research
Uses],Input[Institution Name],$A75),0)</f>
        <v>151103828</v>
      </c>
      <c r="U75" s="701"/>
      <c r="V75" s="702"/>
      <c r="W75" s="672">
        <f t="shared" si="19"/>
        <v>4585</v>
      </c>
      <c r="X75" s="673"/>
      <c r="Y75" s="674"/>
      <c r="Z75" s="700">
        <f>ROUND(SUMIFS(Input[Academic
Uses],Input[Institution Name],$A75),0)</f>
        <v>56998490</v>
      </c>
      <c r="AA75" s="701"/>
      <c r="AB75" s="702"/>
      <c r="AC75" s="672">
        <f t="shared" si="20"/>
        <v>1730</v>
      </c>
      <c r="AD75" s="673"/>
      <c r="AE75" s="674"/>
      <c r="AF75" s="700">
        <f>ROUND(SUMIFS(Input[Institutional
Uses],Input[Institution Name],$A75),0)</f>
        <v>44909116</v>
      </c>
      <c r="AG75" s="701"/>
      <c r="AH75" s="702"/>
      <c r="AI75" s="672">
        <f t="shared" si="21"/>
        <v>1363</v>
      </c>
      <c r="AJ75" s="673"/>
      <c r="AK75" s="674"/>
      <c r="AL75" s="700">
        <f>ROUND(SUMIFS(Input[Student
Uses],Input[Institution Name],$A75),0)</f>
        <v>25413748</v>
      </c>
      <c r="AM75" s="701"/>
      <c r="AN75" s="702"/>
      <c r="AO75" s="672">
        <f t="shared" si="22"/>
        <v>771</v>
      </c>
      <c r="AP75" s="673"/>
      <c r="AQ75" s="674"/>
      <c r="AR75" s="700">
        <f>ROUND(SUMIFS(Input[Operations
Uses],Input[Institution Name],$A75),0)
+ROUND(SUMIFS(Input[Scholarships
Uses],Input[Institution Name],$A75),0)
+ROUND(SUMIFS(Input[Capital
Uses],Input[Institution Name],$A75),0)
+ROUND(SUMIFS(Input[Other
Uses],Input[Institution Name],$A75),0)</f>
        <v>135554058</v>
      </c>
      <c r="AS75" s="701"/>
      <c r="AT75" s="702"/>
      <c r="AU75" s="672">
        <f t="shared" si="23"/>
        <v>4113</v>
      </c>
      <c r="AV75" s="673"/>
      <c r="AW75" s="674"/>
      <c r="AX75" s="700">
        <f t="shared" si="24"/>
        <v>618366660</v>
      </c>
      <c r="AY75" s="701"/>
      <c r="AZ75" s="702"/>
      <c r="BA75" s="672">
        <f t="shared" si="25"/>
        <v>18764</v>
      </c>
      <c r="BB75" s="673"/>
      <c r="BC75" s="674"/>
      <c r="BD75" s="146"/>
    </row>
    <row r="76" spans="1:56" ht="27" customHeight="1" x14ac:dyDescent="0.55000000000000004">
      <c r="A76" s="722" t="s">
        <v>84</v>
      </c>
      <c r="B76" s="723"/>
      <c r="C76" s="723"/>
      <c r="D76" s="723"/>
      <c r="E76" s="723"/>
      <c r="F76" s="723"/>
      <c r="G76" s="723"/>
      <c r="H76" s="723"/>
      <c r="I76" s="717">
        <v>3625</v>
      </c>
      <c r="J76" s="718"/>
      <c r="K76" s="680">
        <f>IFERROR(VLOOKUP(A76,Input[],574,FALSE),"")</f>
        <v>1133.98</v>
      </c>
      <c r="L76" s="681"/>
      <c r="M76" s="682"/>
      <c r="N76" s="703">
        <f>ROUND(SUMIFS(Input[Instruction
Uses],Input[Institution Name],$A76),0)</f>
        <v>12250893</v>
      </c>
      <c r="O76" s="704"/>
      <c r="P76" s="705"/>
      <c r="Q76" s="661">
        <f t="shared" si="18"/>
        <v>10803</v>
      </c>
      <c r="R76" s="662"/>
      <c r="S76" s="663"/>
      <c r="T76" s="703">
        <f>ROUND(SUMIFS(Input[Research
Uses],Input[Institution Name],$A76),0)</f>
        <v>5639597</v>
      </c>
      <c r="U76" s="704"/>
      <c r="V76" s="705"/>
      <c r="W76" s="661">
        <f t="shared" si="19"/>
        <v>4973</v>
      </c>
      <c r="X76" s="662"/>
      <c r="Y76" s="663"/>
      <c r="Z76" s="703">
        <f>ROUND(SUMIFS(Input[Academic
Uses],Input[Institution Name],$A76),0)</f>
        <v>5315053</v>
      </c>
      <c r="AA76" s="704"/>
      <c r="AB76" s="705"/>
      <c r="AC76" s="661">
        <f t="shared" si="20"/>
        <v>4687</v>
      </c>
      <c r="AD76" s="662"/>
      <c r="AE76" s="663"/>
      <c r="AF76" s="703">
        <f>ROUND(SUMIFS(Input[Institutional
Uses],Input[Institution Name],$A76),0)</f>
        <v>10964432</v>
      </c>
      <c r="AG76" s="704"/>
      <c r="AH76" s="705"/>
      <c r="AI76" s="661">
        <f t="shared" si="21"/>
        <v>9669</v>
      </c>
      <c r="AJ76" s="662"/>
      <c r="AK76" s="663"/>
      <c r="AL76" s="703">
        <f>ROUND(SUMIFS(Input[Student
Uses],Input[Institution Name],$A76),0)</f>
        <v>5486411</v>
      </c>
      <c r="AM76" s="704"/>
      <c r="AN76" s="705"/>
      <c r="AO76" s="661">
        <f t="shared" si="22"/>
        <v>4838</v>
      </c>
      <c r="AP76" s="662"/>
      <c r="AQ76" s="663"/>
      <c r="AR76" s="703">
        <f>ROUND(SUMIFS(Input[Operations
Uses],Input[Institution Name],$A76),0)
+ROUND(SUMIFS(Input[Scholarships
Uses],Input[Institution Name],$A76),0)
+ROUND(SUMIFS(Input[Capital
Uses],Input[Institution Name],$A76),0)
+ROUND(SUMIFS(Input[Other
Uses],Input[Institution Name],$A76),0)</f>
        <v>17220197</v>
      </c>
      <c r="AS76" s="704"/>
      <c r="AT76" s="705"/>
      <c r="AU76" s="661">
        <f t="shared" si="23"/>
        <v>15186</v>
      </c>
      <c r="AV76" s="662"/>
      <c r="AW76" s="663"/>
      <c r="AX76" s="703">
        <f t="shared" si="24"/>
        <v>56876583</v>
      </c>
      <c r="AY76" s="704"/>
      <c r="AZ76" s="705"/>
      <c r="BA76" s="661">
        <f t="shared" si="25"/>
        <v>50157</v>
      </c>
      <c r="BB76" s="662"/>
      <c r="BC76" s="663"/>
      <c r="BD76" s="146"/>
    </row>
    <row r="77" spans="1:56" ht="27" customHeight="1" x14ac:dyDescent="0.55000000000000004">
      <c r="A77" s="732" t="s">
        <v>85</v>
      </c>
      <c r="B77" s="733"/>
      <c r="C77" s="733"/>
      <c r="D77" s="733"/>
      <c r="E77" s="733"/>
      <c r="F77" s="733"/>
      <c r="G77" s="733"/>
      <c r="H77" s="733"/>
      <c r="I77" s="724">
        <v>3644</v>
      </c>
      <c r="J77" s="725"/>
      <c r="K77" s="677">
        <f>IFERROR(VLOOKUP(A77,Input[],574,FALSE),"")</f>
        <v>38275.120000000003</v>
      </c>
      <c r="L77" s="678"/>
      <c r="M77" s="679"/>
      <c r="N77" s="700">
        <f>ROUND(SUMIFS(Input[Instruction
Uses],Input[Institution Name],$A77),0)</f>
        <v>257341569</v>
      </c>
      <c r="O77" s="701"/>
      <c r="P77" s="702"/>
      <c r="Q77" s="672">
        <f t="shared" si="18"/>
        <v>6723</v>
      </c>
      <c r="R77" s="673"/>
      <c r="S77" s="674"/>
      <c r="T77" s="700">
        <f>ROUND(SUMIFS(Input[Research
Uses],Input[Institution Name],$A77),0)</f>
        <v>205743604</v>
      </c>
      <c r="U77" s="701"/>
      <c r="V77" s="702"/>
      <c r="W77" s="672">
        <f t="shared" si="19"/>
        <v>5375</v>
      </c>
      <c r="X77" s="673"/>
      <c r="Y77" s="674"/>
      <c r="Z77" s="700">
        <f>ROUND(SUMIFS(Input[Academic
Uses],Input[Institution Name],$A77),0)</f>
        <v>130718624</v>
      </c>
      <c r="AA77" s="701"/>
      <c r="AB77" s="702"/>
      <c r="AC77" s="672">
        <f t="shared" si="20"/>
        <v>3415</v>
      </c>
      <c r="AD77" s="673"/>
      <c r="AE77" s="674"/>
      <c r="AF77" s="700">
        <f>ROUND(SUMIFS(Input[Institutional
Uses],Input[Institution Name],$A77),0)</f>
        <v>68511986</v>
      </c>
      <c r="AG77" s="701"/>
      <c r="AH77" s="702"/>
      <c r="AI77" s="672">
        <f t="shared" si="21"/>
        <v>1790</v>
      </c>
      <c r="AJ77" s="673"/>
      <c r="AK77" s="674"/>
      <c r="AL77" s="700">
        <f>ROUND(SUMIFS(Input[Student
Uses],Input[Institution Name],$A77),0)</f>
        <v>72384823</v>
      </c>
      <c r="AM77" s="701"/>
      <c r="AN77" s="702"/>
      <c r="AO77" s="672">
        <f t="shared" si="22"/>
        <v>1891</v>
      </c>
      <c r="AP77" s="673"/>
      <c r="AQ77" s="674"/>
      <c r="AR77" s="700">
        <f>ROUND(SUMIFS(Input[Operations
Uses],Input[Institution Name],$A77),0)
+ROUND(SUMIFS(Input[Scholarships
Uses],Input[Institution Name],$A77),0)
+ROUND(SUMIFS(Input[Capital
Uses],Input[Institution Name],$A77),0)
+ROUND(SUMIFS(Input[Other
Uses],Input[Institution Name],$A77),0)</f>
        <v>187872806</v>
      </c>
      <c r="AS77" s="701"/>
      <c r="AT77" s="702"/>
      <c r="AU77" s="672">
        <f t="shared" si="23"/>
        <v>4908</v>
      </c>
      <c r="AV77" s="673"/>
      <c r="AW77" s="674"/>
      <c r="AX77" s="700">
        <f t="shared" si="24"/>
        <v>922573412</v>
      </c>
      <c r="AY77" s="701"/>
      <c r="AZ77" s="702"/>
      <c r="BA77" s="672">
        <f t="shared" si="25"/>
        <v>24104</v>
      </c>
      <c r="BB77" s="673"/>
      <c r="BC77" s="674"/>
      <c r="BD77" s="146"/>
    </row>
    <row r="78" spans="1:56" ht="27" customHeight="1" x14ac:dyDescent="0.55000000000000004">
      <c r="A78" s="722" t="s">
        <v>86</v>
      </c>
      <c r="B78" s="723"/>
      <c r="C78" s="723"/>
      <c r="D78" s="723"/>
      <c r="E78" s="723"/>
      <c r="F78" s="723"/>
      <c r="G78" s="723"/>
      <c r="H78" s="723"/>
      <c r="I78" s="717">
        <v>3541</v>
      </c>
      <c r="J78" s="718"/>
      <c r="K78" s="680">
        <f>IFERROR(VLOOKUP(A78,Input[],574,FALSE),"")</f>
        <v>7610.39</v>
      </c>
      <c r="L78" s="681"/>
      <c r="M78" s="682"/>
      <c r="N78" s="703">
        <f>ROUND(SUMIFS(Input[Instruction
Uses],Input[Institution Name],$A78),0)</f>
        <v>53627297</v>
      </c>
      <c r="O78" s="704"/>
      <c r="P78" s="705"/>
      <c r="Q78" s="661">
        <f t="shared" si="18"/>
        <v>7047</v>
      </c>
      <c r="R78" s="662"/>
      <c r="S78" s="663"/>
      <c r="T78" s="703">
        <f>ROUND(SUMIFS(Input[Research
Uses],Input[Institution Name],$A78),0)</f>
        <v>968468</v>
      </c>
      <c r="U78" s="704"/>
      <c r="V78" s="705"/>
      <c r="W78" s="661">
        <f t="shared" si="19"/>
        <v>127</v>
      </c>
      <c r="X78" s="662"/>
      <c r="Y78" s="663"/>
      <c r="Z78" s="703">
        <f>ROUND(SUMIFS(Input[Academic
Uses],Input[Institution Name],$A78),0)</f>
        <v>7982210</v>
      </c>
      <c r="AA78" s="704"/>
      <c r="AB78" s="705"/>
      <c r="AC78" s="661">
        <f t="shared" si="20"/>
        <v>1049</v>
      </c>
      <c r="AD78" s="662"/>
      <c r="AE78" s="663"/>
      <c r="AF78" s="703">
        <f>ROUND(SUMIFS(Input[Institutional
Uses],Input[Institution Name],$A78),0)</f>
        <v>19831079</v>
      </c>
      <c r="AG78" s="704"/>
      <c r="AH78" s="705"/>
      <c r="AI78" s="661">
        <f t="shared" si="21"/>
        <v>2606</v>
      </c>
      <c r="AJ78" s="662"/>
      <c r="AK78" s="663"/>
      <c r="AL78" s="703">
        <f>ROUND(SUMIFS(Input[Student
Uses],Input[Institution Name],$A78),0)</f>
        <v>10922427</v>
      </c>
      <c r="AM78" s="704"/>
      <c r="AN78" s="705"/>
      <c r="AO78" s="661">
        <f t="shared" si="22"/>
        <v>1435</v>
      </c>
      <c r="AP78" s="662"/>
      <c r="AQ78" s="663"/>
      <c r="AR78" s="703">
        <f>ROUND(SUMIFS(Input[Operations
Uses],Input[Institution Name],$A78),0)
+ROUND(SUMIFS(Input[Scholarships
Uses],Input[Institution Name],$A78),0)
+ROUND(SUMIFS(Input[Capital
Uses],Input[Institution Name],$A78),0)
+ROUND(SUMIFS(Input[Other
Uses],Input[Institution Name],$A78),0)</f>
        <v>25845715</v>
      </c>
      <c r="AS78" s="704"/>
      <c r="AT78" s="705"/>
      <c r="AU78" s="661">
        <f t="shared" si="23"/>
        <v>3396</v>
      </c>
      <c r="AV78" s="662"/>
      <c r="AW78" s="663"/>
      <c r="AX78" s="703">
        <f t="shared" si="24"/>
        <v>119177196</v>
      </c>
      <c r="AY78" s="704"/>
      <c r="AZ78" s="705"/>
      <c r="BA78" s="661">
        <f t="shared" si="25"/>
        <v>15660</v>
      </c>
      <c r="BB78" s="662"/>
      <c r="BC78" s="663"/>
      <c r="BD78" s="146"/>
    </row>
    <row r="79" spans="1:56" ht="27" customHeight="1" x14ac:dyDescent="0.55000000000000004">
      <c r="A79" s="732" t="s">
        <v>87</v>
      </c>
      <c r="B79" s="733"/>
      <c r="C79" s="733"/>
      <c r="D79" s="733"/>
      <c r="E79" s="733"/>
      <c r="F79" s="733"/>
      <c r="G79" s="733"/>
      <c r="H79" s="733"/>
      <c r="I79" s="724">
        <v>3594</v>
      </c>
      <c r="J79" s="725"/>
      <c r="K79" s="677">
        <f>IFERROR(VLOOKUP(A79,Input[],574,FALSE),"")</f>
        <v>38769.89</v>
      </c>
      <c r="L79" s="678"/>
      <c r="M79" s="679"/>
      <c r="N79" s="700">
        <f>ROUND(SUMIFS(Input[Instruction
Uses],Input[Institution Name],$A79),0)</f>
        <v>213629748</v>
      </c>
      <c r="O79" s="701"/>
      <c r="P79" s="702"/>
      <c r="Q79" s="672">
        <f t="shared" si="18"/>
        <v>5510</v>
      </c>
      <c r="R79" s="673"/>
      <c r="S79" s="674"/>
      <c r="T79" s="700">
        <f>ROUND(SUMIFS(Input[Research
Uses],Input[Institution Name],$A79),0)</f>
        <v>98465142</v>
      </c>
      <c r="U79" s="701"/>
      <c r="V79" s="702"/>
      <c r="W79" s="672">
        <f t="shared" si="19"/>
        <v>2540</v>
      </c>
      <c r="X79" s="673"/>
      <c r="Y79" s="674"/>
      <c r="Z79" s="700">
        <f>ROUND(SUMIFS(Input[Academic
Uses],Input[Institution Name],$A79),0)</f>
        <v>75804564</v>
      </c>
      <c r="AA79" s="701"/>
      <c r="AB79" s="702"/>
      <c r="AC79" s="672">
        <f t="shared" si="20"/>
        <v>1955</v>
      </c>
      <c r="AD79" s="673"/>
      <c r="AE79" s="674"/>
      <c r="AF79" s="700">
        <f>ROUND(SUMIFS(Input[Institutional
Uses],Input[Institution Name],$A79),0)</f>
        <v>62993020</v>
      </c>
      <c r="AG79" s="701"/>
      <c r="AH79" s="702"/>
      <c r="AI79" s="672">
        <f t="shared" si="21"/>
        <v>1625</v>
      </c>
      <c r="AJ79" s="673"/>
      <c r="AK79" s="674"/>
      <c r="AL79" s="700">
        <f>ROUND(SUMIFS(Input[Student
Uses],Input[Institution Name],$A79),0)</f>
        <v>107270952</v>
      </c>
      <c r="AM79" s="701"/>
      <c r="AN79" s="702"/>
      <c r="AO79" s="672">
        <f t="shared" si="22"/>
        <v>2767</v>
      </c>
      <c r="AP79" s="673"/>
      <c r="AQ79" s="674"/>
      <c r="AR79" s="700">
        <f>ROUND(SUMIFS(Input[Operations
Uses],Input[Institution Name],$A79),0)
+ROUND(SUMIFS(Input[Scholarships
Uses],Input[Institution Name],$A79),0)
+ROUND(SUMIFS(Input[Capital
Uses],Input[Institution Name],$A79),0)
+ROUND(SUMIFS(Input[Other
Uses],Input[Institution Name],$A79),0)</f>
        <v>245526808</v>
      </c>
      <c r="AS79" s="701"/>
      <c r="AT79" s="702"/>
      <c r="AU79" s="672">
        <f t="shared" si="23"/>
        <v>6333</v>
      </c>
      <c r="AV79" s="673"/>
      <c r="AW79" s="674"/>
      <c r="AX79" s="700">
        <f t="shared" si="24"/>
        <v>803690234</v>
      </c>
      <c r="AY79" s="701"/>
      <c r="AZ79" s="702"/>
      <c r="BA79" s="672">
        <f t="shared" si="25"/>
        <v>20730</v>
      </c>
      <c r="BB79" s="673"/>
      <c r="BC79" s="674"/>
      <c r="BD79" s="146"/>
    </row>
    <row r="80" spans="1:56" ht="27" customHeight="1" x14ac:dyDescent="0.55000000000000004">
      <c r="A80" s="722" t="s">
        <v>88</v>
      </c>
      <c r="B80" s="723"/>
      <c r="C80" s="723"/>
      <c r="D80" s="723"/>
      <c r="E80" s="723"/>
      <c r="F80" s="723"/>
      <c r="G80" s="723"/>
      <c r="H80" s="723"/>
      <c r="I80" s="717">
        <v>42421</v>
      </c>
      <c r="J80" s="718"/>
      <c r="K80" s="680">
        <f>IFERROR(VLOOKUP(A80,Input[],574,FALSE),"")</f>
        <v>3136.08</v>
      </c>
      <c r="L80" s="681"/>
      <c r="M80" s="682"/>
      <c r="N80" s="703">
        <f>ROUND(SUMIFS(Input[Instruction
Uses],Input[Institution Name],$A80),0)</f>
        <v>20171497</v>
      </c>
      <c r="O80" s="704"/>
      <c r="P80" s="705"/>
      <c r="Q80" s="661">
        <f t="shared" si="18"/>
        <v>6432</v>
      </c>
      <c r="R80" s="662"/>
      <c r="S80" s="663"/>
      <c r="T80" s="703">
        <f>ROUND(SUMIFS(Input[Research
Uses],Input[Institution Name],$A80),0)</f>
        <v>1012912</v>
      </c>
      <c r="U80" s="704"/>
      <c r="V80" s="705"/>
      <c r="W80" s="661">
        <f t="shared" si="19"/>
        <v>323</v>
      </c>
      <c r="X80" s="662"/>
      <c r="Y80" s="663"/>
      <c r="Z80" s="703">
        <f>ROUND(SUMIFS(Input[Academic
Uses],Input[Institution Name],$A80),0)</f>
        <v>6298207</v>
      </c>
      <c r="AA80" s="704"/>
      <c r="AB80" s="705"/>
      <c r="AC80" s="661">
        <f t="shared" si="20"/>
        <v>2008</v>
      </c>
      <c r="AD80" s="662"/>
      <c r="AE80" s="663"/>
      <c r="AF80" s="703">
        <f>ROUND(SUMIFS(Input[Institutional
Uses],Input[Institution Name],$A80),0)</f>
        <v>8852672</v>
      </c>
      <c r="AG80" s="704"/>
      <c r="AH80" s="705"/>
      <c r="AI80" s="661">
        <f t="shared" si="21"/>
        <v>2823</v>
      </c>
      <c r="AJ80" s="662"/>
      <c r="AK80" s="663"/>
      <c r="AL80" s="703">
        <f>ROUND(SUMIFS(Input[Student
Uses],Input[Institution Name],$A80),0)</f>
        <v>11380060</v>
      </c>
      <c r="AM80" s="704"/>
      <c r="AN80" s="705"/>
      <c r="AO80" s="661">
        <f t="shared" si="22"/>
        <v>3629</v>
      </c>
      <c r="AP80" s="662"/>
      <c r="AQ80" s="663"/>
      <c r="AR80" s="703">
        <f>ROUND(SUMIFS(Input[Operations
Uses],Input[Institution Name],$A80),0)
+ROUND(SUMIFS(Input[Scholarships
Uses],Input[Institution Name],$A80),0)
+ROUND(SUMIFS(Input[Capital
Uses],Input[Institution Name],$A80),0)
+ROUND(SUMIFS(Input[Other
Uses],Input[Institution Name],$A80),0)</f>
        <v>25787099</v>
      </c>
      <c r="AS80" s="704"/>
      <c r="AT80" s="705"/>
      <c r="AU80" s="661">
        <f t="shared" si="23"/>
        <v>8223</v>
      </c>
      <c r="AV80" s="662"/>
      <c r="AW80" s="663"/>
      <c r="AX80" s="703">
        <f t="shared" si="24"/>
        <v>73502447</v>
      </c>
      <c r="AY80" s="704"/>
      <c r="AZ80" s="705"/>
      <c r="BA80" s="661">
        <f t="shared" si="25"/>
        <v>23438</v>
      </c>
      <c r="BB80" s="662"/>
      <c r="BC80" s="663"/>
      <c r="BD80" s="146"/>
    </row>
    <row r="81" spans="1:56" ht="27" customHeight="1" x14ac:dyDescent="0.55000000000000004">
      <c r="A81" s="732" t="s">
        <v>89</v>
      </c>
      <c r="B81" s="733"/>
      <c r="C81" s="733"/>
      <c r="D81" s="733"/>
      <c r="E81" s="733"/>
      <c r="F81" s="733"/>
      <c r="G81" s="733"/>
      <c r="H81" s="733"/>
      <c r="I81" s="724">
        <v>3592</v>
      </c>
      <c r="J81" s="725"/>
      <c r="K81" s="677">
        <f>IFERROR(VLOOKUP(A81,Input[],574,FALSE),"")</f>
        <v>3977.6</v>
      </c>
      <c r="L81" s="678"/>
      <c r="M81" s="679"/>
      <c r="N81" s="700">
        <f>ROUND(SUMIFS(Input[Instruction
Uses],Input[Institution Name],$A81),0)</f>
        <v>33702168</v>
      </c>
      <c r="O81" s="701"/>
      <c r="P81" s="702"/>
      <c r="Q81" s="672">
        <f t="shared" si="18"/>
        <v>8473</v>
      </c>
      <c r="R81" s="673"/>
      <c r="S81" s="674"/>
      <c r="T81" s="700">
        <f>ROUND(SUMIFS(Input[Research
Uses],Input[Institution Name],$A81),0)</f>
        <v>887029</v>
      </c>
      <c r="U81" s="701"/>
      <c r="V81" s="702"/>
      <c r="W81" s="672">
        <f t="shared" si="19"/>
        <v>223</v>
      </c>
      <c r="X81" s="673"/>
      <c r="Y81" s="674"/>
      <c r="Z81" s="700">
        <f>ROUND(SUMIFS(Input[Academic
Uses],Input[Institution Name],$A81),0)</f>
        <v>7277182</v>
      </c>
      <c r="AA81" s="701"/>
      <c r="AB81" s="702"/>
      <c r="AC81" s="672">
        <f t="shared" si="20"/>
        <v>1830</v>
      </c>
      <c r="AD81" s="673"/>
      <c r="AE81" s="674"/>
      <c r="AF81" s="700">
        <f>ROUND(SUMIFS(Input[Institutional
Uses],Input[Institution Name],$A81),0)</f>
        <v>7553964</v>
      </c>
      <c r="AG81" s="701"/>
      <c r="AH81" s="702"/>
      <c r="AI81" s="672">
        <f t="shared" si="21"/>
        <v>1899</v>
      </c>
      <c r="AJ81" s="673"/>
      <c r="AK81" s="674"/>
      <c r="AL81" s="700">
        <f>ROUND(SUMIFS(Input[Student
Uses],Input[Institution Name],$A81),0)</f>
        <v>13872757</v>
      </c>
      <c r="AM81" s="701"/>
      <c r="AN81" s="702"/>
      <c r="AO81" s="672">
        <f t="shared" si="22"/>
        <v>3488</v>
      </c>
      <c r="AP81" s="673"/>
      <c r="AQ81" s="674"/>
      <c r="AR81" s="700">
        <f>ROUND(SUMIFS(Input[Operations
Uses],Input[Institution Name],$A81),0)
+ROUND(SUMIFS(Input[Scholarships
Uses],Input[Institution Name],$A81),0)
+ROUND(SUMIFS(Input[Capital
Uses],Input[Institution Name],$A81),0)
+ROUND(SUMIFS(Input[Other
Uses],Input[Institution Name],$A81),0)</f>
        <v>21661454</v>
      </c>
      <c r="AS81" s="701"/>
      <c r="AT81" s="702"/>
      <c r="AU81" s="672">
        <f t="shared" si="23"/>
        <v>5446</v>
      </c>
      <c r="AV81" s="673"/>
      <c r="AW81" s="674"/>
      <c r="AX81" s="700">
        <f t="shared" si="24"/>
        <v>84954554</v>
      </c>
      <c r="AY81" s="701"/>
      <c r="AZ81" s="702"/>
      <c r="BA81" s="672">
        <f t="shared" si="25"/>
        <v>21358</v>
      </c>
      <c r="BB81" s="673"/>
      <c r="BC81" s="674"/>
      <c r="BD81" s="146"/>
    </row>
    <row r="82" spans="1:56" ht="27" customHeight="1" x14ac:dyDescent="0.55000000000000004">
      <c r="A82" s="722" t="s">
        <v>90</v>
      </c>
      <c r="B82" s="723"/>
      <c r="C82" s="723"/>
      <c r="D82" s="723"/>
      <c r="E82" s="723"/>
      <c r="F82" s="723"/>
      <c r="G82" s="723"/>
      <c r="H82" s="723"/>
      <c r="I82" s="717">
        <v>3624</v>
      </c>
      <c r="J82" s="718"/>
      <c r="K82" s="680">
        <f>IFERROR(VLOOKUP(A82,Input[],574,FALSE),"")</f>
        <v>8897.17</v>
      </c>
      <c r="L82" s="681"/>
      <c r="M82" s="682"/>
      <c r="N82" s="703">
        <f>ROUND(SUMIFS(Input[Instruction
Uses],Input[Institution Name],$A82),0)</f>
        <v>71494113</v>
      </c>
      <c r="O82" s="704"/>
      <c r="P82" s="705"/>
      <c r="Q82" s="661">
        <f t="shared" si="18"/>
        <v>8036</v>
      </c>
      <c r="R82" s="662"/>
      <c r="S82" s="663"/>
      <c r="T82" s="703">
        <f>ROUND(SUMIFS(Input[Research
Uses],Input[Institution Name],$A82),0)</f>
        <v>4182936</v>
      </c>
      <c r="U82" s="704"/>
      <c r="V82" s="705"/>
      <c r="W82" s="661">
        <f t="shared" si="19"/>
        <v>470</v>
      </c>
      <c r="X82" s="662"/>
      <c r="Y82" s="663"/>
      <c r="Z82" s="703">
        <f>ROUND(SUMIFS(Input[Academic
Uses],Input[Institution Name],$A82),0)</f>
        <v>21228969</v>
      </c>
      <c r="AA82" s="704"/>
      <c r="AB82" s="705"/>
      <c r="AC82" s="661">
        <f t="shared" si="20"/>
        <v>2386</v>
      </c>
      <c r="AD82" s="662"/>
      <c r="AE82" s="663"/>
      <c r="AF82" s="703">
        <f>ROUND(SUMIFS(Input[Institutional
Uses],Input[Institution Name],$A82),0)</f>
        <v>35911901</v>
      </c>
      <c r="AG82" s="704"/>
      <c r="AH82" s="705"/>
      <c r="AI82" s="661">
        <f t="shared" si="21"/>
        <v>4036</v>
      </c>
      <c r="AJ82" s="662"/>
      <c r="AK82" s="663"/>
      <c r="AL82" s="703">
        <f>ROUND(SUMIFS(Input[Student
Uses],Input[Institution Name],$A82),0)</f>
        <v>12176041</v>
      </c>
      <c r="AM82" s="704"/>
      <c r="AN82" s="705"/>
      <c r="AO82" s="661">
        <f t="shared" si="22"/>
        <v>1369</v>
      </c>
      <c r="AP82" s="662"/>
      <c r="AQ82" s="663"/>
      <c r="AR82" s="703">
        <f>ROUND(SUMIFS(Input[Operations
Uses],Input[Institution Name],$A82),0)
+ROUND(SUMIFS(Input[Scholarships
Uses],Input[Institution Name],$A82),0)
+ROUND(SUMIFS(Input[Capital
Uses],Input[Institution Name],$A82),0)
+ROUND(SUMIFS(Input[Other
Uses],Input[Institution Name],$A82),0)</f>
        <v>21282992</v>
      </c>
      <c r="AS82" s="704"/>
      <c r="AT82" s="705"/>
      <c r="AU82" s="661">
        <f t="shared" si="23"/>
        <v>2392</v>
      </c>
      <c r="AV82" s="662"/>
      <c r="AW82" s="663"/>
      <c r="AX82" s="703">
        <f t="shared" si="24"/>
        <v>166276952</v>
      </c>
      <c r="AY82" s="704"/>
      <c r="AZ82" s="705"/>
      <c r="BA82" s="661">
        <f t="shared" si="25"/>
        <v>18689</v>
      </c>
      <c r="BB82" s="662"/>
      <c r="BC82" s="663"/>
      <c r="BD82" s="146"/>
    </row>
    <row r="83" spans="1:56" ht="27" customHeight="1" x14ac:dyDescent="0.55000000000000004">
      <c r="A83" s="732" t="s">
        <v>91</v>
      </c>
      <c r="B83" s="733"/>
      <c r="C83" s="733"/>
      <c r="D83" s="733"/>
      <c r="E83" s="733"/>
      <c r="F83" s="733"/>
      <c r="G83" s="733"/>
      <c r="H83" s="733"/>
      <c r="I83" s="724">
        <v>3642</v>
      </c>
      <c r="J83" s="725"/>
      <c r="K83" s="677">
        <f>IFERROR(VLOOKUP(A83,Input[],574,FALSE),"")</f>
        <v>7631.23</v>
      </c>
      <c r="L83" s="678"/>
      <c r="M83" s="679"/>
      <c r="N83" s="700">
        <f>ROUND(SUMIFS(Input[Instruction
Uses],Input[Institution Name],$A83),0)</f>
        <v>55626554</v>
      </c>
      <c r="O83" s="701"/>
      <c r="P83" s="702"/>
      <c r="Q83" s="672">
        <f t="shared" si="18"/>
        <v>7289</v>
      </c>
      <c r="R83" s="673"/>
      <c r="S83" s="674"/>
      <c r="T83" s="700">
        <f>ROUND(SUMIFS(Input[Research
Uses],Input[Institution Name],$A83),0)</f>
        <v>4952692</v>
      </c>
      <c r="U83" s="701"/>
      <c r="V83" s="702"/>
      <c r="W83" s="672">
        <f t="shared" si="19"/>
        <v>649</v>
      </c>
      <c r="X83" s="673"/>
      <c r="Y83" s="674"/>
      <c r="Z83" s="700">
        <f>ROUND(SUMIFS(Input[Academic
Uses],Input[Institution Name],$A83),0)</f>
        <v>8732930</v>
      </c>
      <c r="AA83" s="701"/>
      <c r="AB83" s="702"/>
      <c r="AC83" s="672">
        <f t="shared" si="20"/>
        <v>1144</v>
      </c>
      <c r="AD83" s="673"/>
      <c r="AE83" s="674"/>
      <c r="AF83" s="700">
        <f>ROUND(SUMIFS(Input[Institutional
Uses],Input[Institution Name],$A83),0)</f>
        <v>42649252</v>
      </c>
      <c r="AG83" s="701"/>
      <c r="AH83" s="702"/>
      <c r="AI83" s="672">
        <f t="shared" si="21"/>
        <v>5589</v>
      </c>
      <c r="AJ83" s="673"/>
      <c r="AK83" s="674"/>
      <c r="AL83" s="700">
        <f>ROUND(SUMIFS(Input[Student
Uses],Input[Institution Name],$A83),0)</f>
        <v>10518435</v>
      </c>
      <c r="AM83" s="701"/>
      <c r="AN83" s="702"/>
      <c r="AO83" s="672">
        <f t="shared" si="22"/>
        <v>1378</v>
      </c>
      <c r="AP83" s="673"/>
      <c r="AQ83" s="674"/>
      <c r="AR83" s="700">
        <f>ROUND(SUMIFS(Input[Operations
Uses],Input[Institution Name],$A83),0)
+ROUND(SUMIFS(Input[Scholarships
Uses],Input[Institution Name],$A83),0)
+ROUND(SUMIFS(Input[Capital
Uses],Input[Institution Name],$A83),0)
+ROUND(SUMIFS(Input[Other
Uses],Input[Institution Name],$A83),0)</f>
        <v>38216747</v>
      </c>
      <c r="AS83" s="701"/>
      <c r="AT83" s="702"/>
      <c r="AU83" s="672">
        <f t="shared" si="23"/>
        <v>5008</v>
      </c>
      <c r="AV83" s="673"/>
      <c r="AW83" s="674"/>
      <c r="AX83" s="700">
        <f t="shared" si="24"/>
        <v>160696610</v>
      </c>
      <c r="AY83" s="701"/>
      <c r="AZ83" s="702"/>
      <c r="BA83" s="672">
        <f t="shared" si="25"/>
        <v>21058</v>
      </c>
      <c r="BB83" s="673"/>
      <c r="BC83" s="674"/>
      <c r="BD83" s="146"/>
    </row>
    <row r="84" spans="1:56" ht="27" customHeight="1" x14ac:dyDescent="0.55000000000000004">
      <c r="A84" s="722" t="s">
        <v>92</v>
      </c>
      <c r="B84" s="723"/>
      <c r="C84" s="723"/>
      <c r="D84" s="723"/>
      <c r="E84" s="723"/>
      <c r="F84" s="723"/>
      <c r="G84" s="723"/>
      <c r="H84" s="723"/>
      <c r="I84" s="717">
        <v>3646</v>
      </c>
      <c r="J84" s="718"/>
      <c r="K84" s="669">
        <f>IFERROR(VLOOKUP(A84,Input[],574,FALSE),"")</f>
        <v>12346.25</v>
      </c>
      <c r="L84" s="670"/>
      <c r="M84" s="671"/>
      <c r="N84" s="712">
        <f>ROUND(SUMIFS(Input[Instruction
Uses],Input[Institution Name],$A84),0)</f>
        <v>90473125</v>
      </c>
      <c r="O84" s="713"/>
      <c r="P84" s="714"/>
      <c r="Q84" s="664">
        <f t="shared" si="18"/>
        <v>7328</v>
      </c>
      <c r="R84" s="665"/>
      <c r="S84" s="666"/>
      <c r="T84" s="712">
        <f>ROUND(SUMIFS(Input[Research
Uses],Input[Institution Name],$A84),0)</f>
        <v>6533590</v>
      </c>
      <c r="U84" s="713"/>
      <c r="V84" s="714"/>
      <c r="W84" s="664">
        <f t="shared" si="19"/>
        <v>529</v>
      </c>
      <c r="X84" s="665"/>
      <c r="Y84" s="666"/>
      <c r="Z84" s="712">
        <f>ROUND(SUMIFS(Input[Academic
Uses],Input[Institution Name],$A84),0)</f>
        <v>29326205</v>
      </c>
      <c r="AA84" s="713"/>
      <c r="AB84" s="714"/>
      <c r="AC84" s="664">
        <f t="shared" si="20"/>
        <v>2375</v>
      </c>
      <c r="AD84" s="665"/>
      <c r="AE84" s="666"/>
      <c r="AF84" s="712">
        <f>ROUND(SUMIFS(Input[Institutional
Uses],Input[Institution Name],$A84),0)</f>
        <v>40411366</v>
      </c>
      <c r="AG84" s="713"/>
      <c r="AH84" s="714"/>
      <c r="AI84" s="664">
        <f t="shared" si="21"/>
        <v>3273</v>
      </c>
      <c r="AJ84" s="665"/>
      <c r="AK84" s="666"/>
      <c r="AL84" s="712">
        <f>ROUND(SUMIFS(Input[Student
Uses],Input[Institution Name],$A84),0)</f>
        <v>16204505</v>
      </c>
      <c r="AM84" s="713"/>
      <c r="AN84" s="714"/>
      <c r="AO84" s="664">
        <f t="shared" si="22"/>
        <v>1313</v>
      </c>
      <c r="AP84" s="665"/>
      <c r="AQ84" s="666"/>
      <c r="AR84" s="712">
        <f>ROUND(SUMIFS(Input[Operations
Uses],Input[Institution Name],$A84),0)
+ROUND(SUMIFS(Input[Scholarships
Uses],Input[Institution Name],$A84),0)
+ROUND(SUMIFS(Input[Capital
Uses],Input[Institution Name],$A84),0)
+ROUND(SUMIFS(Input[Other
Uses],Input[Institution Name],$A84),0)</f>
        <v>41075814</v>
      </c>
      <c r="AS84" s="713"/>
      <c r="AT84" s="714"/>
      <c r="AU84" s="664">
        <f t="shared" si="23"/>
        <v>3327</v>
      </c>
      <c r="AV84" s="665"/>
      <c r="AW84" s="666"/>
      <c r="AX84" s="712">
        <f t="shared" si="24"/>
        <v>224024605</v>
      </c>
      <c r="AY84" s="713"/>
      <c r="AZ84" s="714"/>
      <c r="BA84" s="664">
        <f t="shared" si="25"/>
        <v>18145</v>
      </c>
      <c r="BB84" s="665"/>
      <c r="BC84" s="666"/>
      <c r="BD84" s="146"/>
    </row>
    <row r="85" spans="1:56" ht="27" customHeight="1" x14ac:dyDescent="0.55000000000000004">
      <c r="A85" s="730"/>
      <c r="B85" s="731"/>
      <c r="C85" s="731"/>
      <c r="D85" s="731"/>
      <c r="E85" s="731"/>
      <c r="F85" s="731"/>
      <c r="G85" s="731"/>
      <c r="H85" s="731"/>
      <c r="I85" s="689">
        <f>COUNT($I$49:$I$84)</f>
        <v>36</v>
      </c>
      <c r="J85" s="690"/>
      <c r="K85" s="691">
        <f>SUM(K49:M84)</f>
        <v>570938.39999999991</v>
      </c>
      <c r="L85" s="691"/>
      <c r="M85" s="691"/>
      <c r="N85" s="685">
        <f>SUM(N49:P84)</f>
        <v>4578473922</v>
      </c>
      <c r="O85" s="686"/>
      <c r="P85" s="686"/>
      <c r="Q85" s="686">
        <f>N85/$K$85</f>
        <v>8019.2082403285549</v>
      </c>
      <c r="R85" s="686"/>
      <c r="S85" s="687"/>
      <c r="T85" s="685">
        <f>SUM(T49:V84)</f>
        <v>2564629227</v>
      </c>
      <c r="U85" s="686"/>
      <c r="V85" s="686"/>
      <c r="W85" s="686">
        <f>T85/$K$85</f>
        <v>4491.9543456877318</v>
      </c>
      <c r="X85" s="686"/>
      <c r="Y85" s="687"/>
      <c r="Z85" s="685">
        <f>SUM(Z49:AB84)</f>
        <v>2140844837</v>
      </c>
      <c r="AA85" s="686"/>
      <c r="AB85" s="686"/>
      <c r="AC85" s="686">
        <f>Z85/$K$85</f>
        <v>3749.6949530807533</v>
      </c>
      <c r="AD85" s="686"/>
      <c r="AE85" s="687"/>
      <c r="AF85" s="685">
        <f>SUM(AF49:AH84)</f>
        <v>1323261260</v>
      </c>
      <c r="AG85" s="686"/>
      <c r="AH85" s="686"/>
      <c r="AI85" s="686">
        <f>AF85/$K$85</f>
        <v>2317.6953240489697</v>
      </c>
      <c r="AJ85" s="686"/>
      <c r="AK85" s="687"/>
      <c r="AL85" s="685">
        <f>SUM(AL49:AN84)</f>
        <v>934581675</v>
      </c>
      <c r="AM85" s="686"/>
      <c r="AN85" s="686"/>
      <c r="AO85" s="686">
        <f>AL85/$K$85</f>
        <v>1636.9220830128086</v>
      </c>
      <c r="AP85" s="686"/>
      <c r="AQ85" s="687"/>
      <c r="AR85" s="685">
        <f>SUM(AR49:AT84)</f>
        <v>3346433040</v>
      </c>
      <c r="AS85" s="686"/>
      <c r="AT85" s="686"/>
      <c r="AU85" s="686">
        <f>AR85/$K$85</f>
        <v>5861.2856308141136</v>
      </c>
      <c r="AV85" s="686"/>
      <c r="AW85" s="687"/>
      <c r="AX85" s="685">
        <f>SUM(AX49:AZ84)</f>
        <v>14888223961</v>
      </c>
      <c r="AY85" s="686"/>
      <c r="AZ85" s="686"/>
      <c r="BA85" s="686">
        <f>AX85/$K$85</f>
        <v>26076.760576972931</v>
      </c>
      <c r="BB85" s="686"/>
      <c r="BC85" s="687"/>
      <c r="BD85" s="146"/>
    </row>
    <row r="86" spans="1:56" ht="27" customHeight="1" x14ac:dyDescent="0.55000000000000004">
      <c r="A86" s="715" t="s">
        <v>1908</v>
      </c>
      <c r="B86" s="715"/>
      <c r="C86" s="715"/>
      <c r="D86" s="715"/>
      <c r="E86" s="715"/>
      <c r="F86" s="715"/>
      <c r="G86" s="715"/>
      <c r="H86" s="715"/>
      <c r="I86" s="715"/>
      <c r="J86" s="715"/>
      <c r="K86" s="715"/>
      <c r="L86" s="715"/>
      <c r="M86" s="715"/>
      <c r="N86" s="715"/>
      <c r="O86" s="715"/>
      <c r="P86" s="715"/>
      <c r="Q86" s="715"/>
      <c r="R86" s="715"/>
      <c r="S86" s="715"/>
      <c r="T86" s="715"/>
      <c r="U86" s="715"/>
      <c r="V86" s="715"/>
      <c r="W86" s="715"/>
      <c r="X86" s="715"/>
      <c r="Y86" s="715"/>
      <c r="Z86" s="715"/>
      <c r="AA86" s="715"/>
      <c r="AB86" s="715"/>
      <c r="AC86" s="715"/>
      <c r="AD86" s="715"/>
      <c r="AE86" s="715"/>
      <c r="AF86" s="715"/>
      <c r="AG86" s="715"/>
      <c r="AH86" s="715"/>
      <c r="AI86" s="715"/>
      <c r="AJ86" s="715"/>
      <c r="AK86" s="715"/>
      <c r="AL86" s="715"/>
      <c r="AM86" s="715"/>
      <c r="AN86" s="715"/>
      <c r="AO86" s="715"/>
      <c r="AP86" s="715"/>
      <c r="AQ86" s="715"/>
      <c r="AR86" s="715"/>
      <c r="AS86" s="715"/>
      <c r="AT86" s="715"/>
      <c r="AU86" s="715"/>
      <c r="AV86" s="715"/>
      <c r="AW86" s="715"/>
      <c r="AX86" s="715"/>
      <c r="AY86" s="715"/>
      <c r="AZ86" s="715"/>
      <c r="BA86" s="715"/>
      <c r="BB86" s="715"/>
      <c r="BC86" s="715"/>
      <c r="BD86" s="146"/>
    </row>
    <row r="87" spans="1:56" ht="27" customHeight="1" x14ac:dyDescent="0.55000000000000004">
      <c r="A87" s="715" t="s">
        <v>1919</v>
      </c>
      <c r="B87" s="715"/>
      <c r="C87" s="715"/>
      <c r="D87" s="715"/>
      <c r="E87" s="715"/>
      <c r="F87" s="715"/>
      <c r="G87" s="715"/>
      <c r="H87" s="715"/>
      <c r="I87" s="715"/>
      <c r="J87" s="715"/>
      <c r="K87" s="715"/>
      <c r="L87" s="715"/>
      <c r="M87" s="715"/>
      <c r="N87" s="715"/>
      <c r="O87" s="715"/>
      <c r="P87" s="715"/>
      <c r="Q87" s="715"/>
      <c r="R87" s="715"/>
      <c r="S87" s="715"/>
      <c r="T87" s="715"/>
      <c r="U87" s="715"/>
      <c r="V87" s="715"/>
      <c r="W87" s="715"/>
      <c r="X87" s="715"/>
      <c r="Y87" s="715"/>
      <c r="Z87" s="715"/>
      <c r="AA87" s="715"/>
      <c r="AB87" s="715"/>
      <c r="AC87" s="715"/>
      <c r="AD87" s="715"/>
      <c r="AE87" s="715"/>
      <c r="AF87" s="715"/>
      <c r="AG87" s="715"/>
      <c r="AH87" s="715"/>
      <c r="AI87" s="715"/>
      <c r="AJ87" s="715"/>
      <c r="AK87" s="715"/>
      <c r="AL87" s="715"/>
      <c r="AM87" s="715"/>
      <c r="AN87" s="715"/>
      <c r="AO87" s="715"/>
      <c r="AP87" s="715"/>
      <c r="AQ87" s="715"/>
      <c r="AR87" s="715"/>
      <c r="AS87" s="715"/>
      <c r="AT87" s="715"/>
      <c r="AU87" s="715"/>
      <c r="AV87" s="715"/>
      <c r="AW87" s="715"/>
      <c r="AX87" s="715"/>
      <c r="AY87" s="715"/>
      <c r="AZ87" s="715"/>
      <c r="BA87" s="715"/>
      <c r="BB87" s="715"/>
      <c r="BC87" s="715"/>
      <c r="BD87" s="146"/>
    </row>
    <row r="88" spans="1:56" ht="27" customHeight="1" x14ac:dyDescent="0.55000000000000004">
      <c r="A88" s="146"/>
      <c r="B88" s="146"/>
      <c r="C88" s="146"/>
      <c r="D88" s="146"/>
      <c r="E88" s="146"/>
      <c r="F88" s="146"/>
      <c r="G88" s="146"/>
      <c r="H88" s="146"/>
      <c r="I88" s="146"/>
      <c r="J88" s="146"/>
      <c r="K88" s="146"/>
      <c r="L88" s="146"/>
      <c r="M88" s="146"/>
      <c r="N88" s="146"/>
      <c r="O88" s="146"/>
      <c r="P88" s="146"/>
      <c r="Q88" s="146"/>
      <c r="R88" s="146"/>
      <c r="S88" s="146"/>
      <c r="T88" s="146"/>
      <c r="U88" s="146"/>
      <c r="V88" s="146"/>
      <c r="W88" s="146"/>
      <c r="X88" s="146"/>
      <c r="Y88" s="146"/>
      <c r="Z88" s="146"/>
      <c r="AA88" s="146"/>
      <c r="AB88" s="146"/>
      <c r="AC88" s="146"/>
      <c r="AD88" s="146"/>
      <c r="AE88" s="146"/>
      <c r="AF88" s="146"/>
      <c r="AG88" s="146"/>
      <c r="AH88" s="146"/>
      <c r="AI88" s="146"/>
      <c r="AJ88" s="146"/>
      <c r="AK88" s="146"/>
      <c r="AL88" s="146"/>
      <c r="AM88" s="146"/>
      <c r="AN88" s="146"/>
      <c r="AO88" s="146"/>
      <c r="AP88" s="146"/>
      <c r="AQ88" s="146"/>
      <c r="AR88" s="146"/>
      <c r="AS88" s="146"/>
      <c r="AT88" s="146"/>
      <c r="AU88" s="146"/>
      <c r="AV88" s="146"/>
      <c r="AW88" s="146"/>
      <c r="AX88" s="146"/>
      <c r="AY88" s="146"/>
      <c r="AZ88" s="146"/>
      <c r="BA88" s="146"/>
      <c r="BB88" s="146"/>
      <c r="BC88" s="146"/>
      <c r="BD88" s="146"/>
    </row>
  </sheetData>
  <sheetProtection algorithmName="SHA-512" hashValue="qvSufH+P6mtXLhz2jTD2ciIwTOMIiZBoMNuJ8qm3LIQ/fxi8p5JCmYvtcEjcW0o7MsKxSz3kAZC1l7RjGg1QUA==" saltValue="IWgm8lYSU9iyXsxvFT67Ew==" spinCount="100000" sheet="1" objects="1" scenarios="1" formatColumns="0" formatRows="0"/>
  <mergeCells count="1136">
    <mergeCell ref="A63:H63"/>
    <mergeCell ref="A64:H64"/>
    <mergeCell ref="A65:H65"/>
    <mergeCell ref="A66:H66"/>
    <mergeCell ref="A67:H67"/>
    <mergeCell ref="A68:H68"/>
    <mergeCell ref="A69:H69"/>
    <mergeCell ref="A70:H70"/>
    <mergeCell ref="A71:H71"/>
    <mergeCell ref="A81:H81"/>
    <mergeCell ref="A82:H82"/>
    <mergeCell ref="A83:H83"/>
    <mergeCell ref="A84:H84"/>
    <mergeCell ref="A72:H72"/>
    <mergeCell ref="A74:H74"/>
    <mergeCell ref="A76:H76"/>
    <mergeCell ref="A77:H77"/>
    <mergeCell ref="A78:H78"/>
    <mergeCell ref="A79:H79"/>
    <mergeCell ref="A80:H80"/>
    <mergeCell ref="A5:BC5"/>
    <mergeCell ref="I15:J15"/>
    <mergeCell ref="I16:J16"/>
    <mergeCell ref="I17:J17"/>
    <mergeCell ref="I18:J18"/>
    <mergeCell ref="A59:H59"/>
    <mergeCell ref="A60:H60"/>
    <mergeCell ref="A61:H61"/>
    <mergeCell ref="A62:H62"/>
    <mergeCell ref="I19:J19"/>
    <mergeCell ref="I20:J20"/>
    <mergeCell ref="I21:J21"/>
    <mergeCell ref="I22:J22"/>
    <mergeCell ref="I23:J23"/>
    <mergeCell ref="K9:M9"/>
    <mergeCell ref="K10:M10"/>
    <mergeCell ref="K11:M11"/>
    <mergeCell ref="K12:M12"/>
    <mergeCell ref="K13:M13"/>
    <mergeCell ref="I9:J9"/>
    <mergeCell ref="I10:J10"/>
    <mergeCell ref="I11:J11"/>
    <mergeCell ref="I12:J12"/>
    <mergeCell ref="I13:J13"/>
    <mergeCell ref="AX10:AZ10"/>
    <mergeCell ref="BA10:BC10"/>
    <mergeCell ref="Q9:S9"/>
    <mergeCell ref="Z9:AB9"/>
    <mergeCell ref="AC9:AE9"/>
    <mergeCell ref="AR9:AT9"/>
    <mergeCell ref="Q11:S11"/>
    <mergeCell ref="Z11:AB11"/>
    <mergeCell ref="AC11:AE11"/>
    <mergeCell ref="AR11:AT11"/>
    <mergeCell ref="W11:Y11"/>
    <mergeCell ref="T12:V12"/>
    <mergeCell ref="I14:J14"/>
    <mergeCell ref="N20:P20"/>
    <mergeCell ref="K20:M20"/>
    <mergeCell ref="K21:M21"/>
    <mergeCell ref="K22:M22"/>
    <mergeCell ref="N9:P9"/>
    <mergeCell ref="N10:P10"/>
    <mergeCell ref="N11:P11"/>
    <mergeCell ref="N12:P12"/>
    <mergeCell ref="N13:P13"/>
    <mergeCell ref="N14:P14"/>
    <mergeCell ref="K14:M14"/>
    <mergeCell ref="K15:M15"/>
    <mergeCell ref="K16:M16"/>
    <mergeCell ref="K17:M17"/>
    <mergeCell ref="K18:M18"/>
    <mergeCell ref="K19:M19"/>
    <mergeCell ref="AL17:AN17"/>
    <mergeCell ref="AO17:AQ17"/>
    <mergeCell ref="T22:V22"/>
    <mergeCell ref="W22:Y22"/>
    <mergeCell ref="AI19:AK19"/>
    <mergeCell ref="AF20:AH20"/>
    <mergeCell ref="AI20:AK20"/>
    <mergeCell ref="AF21:AH21"/>
    <mergeCell ref="AI21:AK21"/>
    <mergeCell ref="AF22:AH22"/>
    <mergeCell ref="AI22:AK22"/>
    <mergeCell ref="BA13:BC13"/>
    <mergeCell ref="Q14:S14"/>
    <mergeCell ref="Z14:AB14"/>
    <mergeCell ref="AC14:AE14"/>
    <mergeCell ref="AR14:AT14"/>
    <mergeCell ref="AU14:AW14"/>
    <mergeCell ref="AX14:AZ14"/>
    <mergeCell ref="BA14:BC14"/>
    <mergeCell ref="Q13:S13"/>
    <mergeCell ref="Z13:AB13"/>
    <mergeCell ref="AC13:AE13"/>
    <mergeCell ref="AR13:AT13"/>
    <mergeCell ref="AU13:AW13"/>
    <mergeCell ref="AX13:AZ13"/>
    <mergeCell ref="AR12:AT12"/>
    <mergeCell ref="AU12:AW12"/>
    <mergeCell ref="AX12:AZ12"/>
    <mergeCell ref="BA12:BC12"/>
    <mergeCell ref="AI14:AK14"/>
    <mergeCell ref="BA15:BC15"/>
    <mergeCell ref="Q16:S16"/>
    <mergeCell ref="Z16:AB16"/>
    <mergeCell ref="AC16:AE16"/>
    <mergeCell ref="AR16:AT16"/>
    <mergeCell ref="AU16:AW16"/>
    <mergeCell ref="AX16:AZ16"/>
    <mergeCell ref="BA16:BC16"/>
    <mergeCell ref="Q15:S15"/>
    <mergeCell ref="Z15:AB15"/>
    <mergeCell ref="AC15:AE15"/>
    <mergeCell ref="AR15:AT15"/>
    <mergeCell ref="AU15:AW15"/>
    <mergeCell ref="AX15:AZ15"/>
    <mergeCell ref="AO15:AQ15"/>
    <mergeCell ref="AL16:AN16"/>
    <mergeCell ref="AO16:AQ16"/>
    <mergeCell ref="T16:V16"/>
    <mergeCell ref="W16:Y16"/>
    <mergeCell ref="AF15:AH15"/>
    <mergeCell ref="AI15:AK15"/>
    <mergeCell ref="AF16:AH16"/>
    <mergeCell ref="AI16:AK16"/>
    <mergeCell ref="AU20:AW20"/>
    <mergeCell ref="AX20:AZ20"/>
    <mergeCell ref="BA20:BC20"/>
    <mergeCell ref="Q19:S19"/>
    <mergeCell ref="Z19:AB19"/>
    <mergeCell ref="AC19:AE19"/>
    <mergeCell ref="AR19:AT19"/>
    <mergeCell ref="AU19:AW19"/>
    <mergeCell ref="AX19:AZ19"/>
    <mergeCell ref="T19:V19"/>
    <mergeCell ref="W19:Y19"/>
    <mergeCell ref="T20:V20"/>
    <mergeCell ref="W20:Y20"/>
    <mergeCell ref="T21:V21"/>
    <mergeCell ref="W21:Y21"/>
    <mergeCell ref="AF19:AH19"/>
    <mergeCell ref="BA17:BC17"/>
    <mergeCell ref="Q18:S18"/>
    <mergeCell ref="Z18:AB18"/>
    <mergeCell ref="AC18:AE18"/>
    <mergeCell ref="AR18:AT18"/>
    <mergeCell ref="AU18:AW18"/>
    <mergeCell ref="AX18:AZ18"/>
    <mergeCell ref="BA18:BC18"/>
    <mergeCell ref="Q17:S17"/>
    <mergeCell ref="Z17:AB17"/>
    <mergeCell ref="AC17:AE17"/>
    <mergeCell ref="AR17:AT17"/>
    <mergeCell ref="AU17:AW17"/>
    <mergeCell ref="AX17:AZ17"/>
    <mergeCell ref="T17:V17"/>
    <mergeCell ref="W17:Y17"/>
    <mergeCell ref="AX23:AZ23"/>
    <mergeCell ref="BA23:BC23"/>
    <mergeCell ref="A23:H23"/>
    <mergeCell ref="N7:S7"/>
    <mergeCell ref="N8:P8"/>
    <mergeCell ref="Q8:S8"/>
    <mergeCell ref="Z7:AE7"/>
    <mergeCell ref="AR7:AW7"/>
    <mergeCell ref="N23:P23"/>
    <mergeCell ref="Q23:S23"/>
    <mergeCell ref="Z23:AB23"/>
    <mergeCell ref="AC23:AE23"/>
    <mergeCell ref="AR23:AT23"/>
    <mergeCell ref="AU23:AW23"/>
    <mergeCell ref="BA21:BC21"/>
    <mergeCell ref="Q22:S22"/>
    <mergeCell ref="Z22:AB22"/>
    <mergeCell ref="AC22:AE22"/>
    <mergeCell ref="AR22:AT22"/>
    <mergeCell ref="AU22:AW22"/>
    <mergeCell ref="AX22:AZ22"/>
    <mergeCell ref="BA22:BC22"/>
    <mergeCell ref="Q21:S21"/>
    <mergeCell ref="Z21:AB21"/>
    <mergeCell ref="AR21:AT21"/>
    <mergeCell ref="AU21:AW21"/>
    <mergeCell ref="AX21:AZ21"/>
    <mergeCell ref="BA19:BC19"/>
    <mergeCell ref="Q20:S20"/>
    <mergeCell ref="Z20:AB20"/>
    <mergeCell ref="AC20:AE20"/>
    <mergeCell ref="AR20:AT20"/>
    <mergeCell ref="I7:J8"/>
    <mergeCell ref="K7:M8"/>
    <mergeCell ref="A7:H8"/>
    <mergeCell ref="A9:H9"/>
    <mergeCell ref="A10:H10"/>
    <mergeCell ref="A11:H11"/>
    <mergeCell ref="AX7:BC7"/>
    <mergeCell ref="Z8:AB8"/>
    <mergeCell ref="AC8:AE8"/>
    <mergeCell ref="AR8:AT8"/>
    <mergeCell ref="AU8:AW8"/>
    <mergeCell ref="AX8:AZ8"/>
    <mergeCell ref="BA8:BC8"/>
    <mergeCell ref="AU11:AW11"/>
    <mergeCell ref="AX11:AZ11"/>
    <mergeCell ref="BA11:BC11"/>
    <mergeCell ref="T7:Y7"/>
    <mergeCell ref="T8:V8"/>
    <mergeCell ref="W8:Y8"/>
    <mergeCell ref="T9:V9"/>
    <mergeCell ref="W9:Y9"/>
    <mergeCell ref="T10:V10"/>
    <mergeCell ref="W10:Y10"/>
    <mergeCell ref="T11:V11"/>
    <mergeCell ref="AU9:AW9"/>
    <mergeCell ref="AX9:AZ9"/>
    <mergeCell ref="BA9:BC9"/>
    <mergeCell ref="Q10:S10"/>
    <mergeCell ref="Z10:AB10"/>
    <mergeCell ref="AC10:AE10"/>
    <mergeCell ref="AR10:AT10"/>
    <mergeCell ref="AU10:AW10"/>
    <mergeCell ref="A18:H18"/>
    <mergeCell ref="A19:H19"/>
    <mergeCell ref="A20:H20"/>
    <mergeCell ref="A21:H21"/>
    <mergeCell ref="A22:H22"/>
    <mergeCell ref="A30:H31"/>
    <mergeCell ref="A12:H12"/>
    <mergeCell ref="A13:H13"/>
    <mergeCell ref="A14:H14"/>
    <mergeCell ref="A15:H15"/>
    <mergeCell ref="A16:H16"/>
    <mergeCell ref="A17:H17"/>
    <mergeCell ref="AC21:AE21"/>
    <mergeCell ref="Q12:S12"/>
    <mergeCell ref="Z12:AB12"/>
    <mergeCell ref="AC12:AE12"/>
    <mergeCell ref="N21:P21"/>
    <mergeCell ref="N22:P22"/>
    <mergeCell ref="N15:P15"/>
    <mergeCell ref="N16:P16"/>
    <mergeCell ref="N17:P17"/>
    <mergeCell ref="N18:P18"/>
    <mergeCell ref="N19:P19"/>
    <mergeCell ref="T18:V18"/>
    <mergeCell ref="W18:Y18"/>
    <mergeCell ref="K23:M23"/>
    <mergeCell ref="T13:V13"/>
    <mergeCell ref="W13:Y13"/>
    <mergeCell ref="T14:V14"/>
    <mergeCell ref="W14:Y14"/>
    <mergeCell ref="T15:V15"/>
    <mergeCell ref="W15:Y15"/>
    <mergeCell ref="A33:H33"/>
    <mergeCell ref="I33:J33"/>
    <mergeCell ref="K33:M33"/>
    <mergeCell ref="N33:P33"/>
    <mergeCell ref="Q33:S33"/>
    <mergeCell ref="AR31:AT31"/>
    <mergeCell ref="AU31:AW31"/>
    <mergeCell ref="AX31:AZ31"/>
    <mergeCell ref="BA31:BC31"/>
    <mergeCell ref="A32:H32"/>
    <mergeCell ref="I32:J32"/>
    <mergeCell ref="K32:M32"/>
    <mergeCell ref="N32:P32"/>
    <mergeCell ref="Q32:S32"/>
    <mergeCell ref="Z32:AB32"/>
    <mergeCell ref="I30:J31"/>
    <mergeCell ref="K30:M31"/>
    <mergeCell ref="N30:S30"/>
    <mergeCell ref="Z30:AE30"/>
    <mergeCell ref="AR30:AW30"/>
    <mergeCell ref="AX30:BC30"/>
    <mergeCell ref="N31:P31"/>
    <mergeCell ref="Q31:S31"/>
    <mergeCell ref="Z31:AB31"/>
    <mergeCell ref="AC31:AE31"/>
    <mergeCell ref="AO31:AQ31"/>
    <mergeCell ref="N34:P34"/>
    <mergeCell ref="Q34:S34"/>
    <mergeCell ref="Z33:AB33"/>
    <mergeCell ref="AC33:AE33"/>
    <mergeCell ref="AR33:AT33"/>
    <mergeCell ref="AU33:AW33"/>
    <mergeCell ref="AX33:AZ33"/>
    <mergeCell ref="BA33:BC33"/>
    <mergeCell ref="AC32:AE32"/>
    <mergeCell ref="AR32:AT32"/>
    <mergeCell ref="AU32:AW32"/>
    <mergeCell ref="AX32:AZ32"/>
    <mergeCell ref="BA32:BC32"/>
    <mergeCell ref="AF32:AH32"/>
    <mergeCell ref="AI32:AK32"/>
    <mergeCell ref="AF33:AH33"/>
    <mergeCell ref="AI33:AK33"/>
    <mergeCell ref="T33:V33"/>
    <mergeCell ref="T34:V34"/>
    <mergeCell ref="AO32:AQ32"/>
    <mergeCell ref="AO33:AQ33"/>
    <mergeCell ref="AO34:AQ34"/>
    <mergeCell ref="AL32:AN32"/>
    <mergeCell ref="AL33:AN33"/>
    <mergeCell ref="AL34:AN34"/>
    <mergeCell ref="Q37:S37"/>
    <mergeCell ref="A36:H36"/>
    <mergeCell ref="I36:J36"/>
    <mergeCell ref="K36:M36"/>
    <mergeCell ref="N36:P36"/>
    <mergeCell ref="Q36:S36"/>
    <mergeCell ref="Z35:AB35"/>
    <mergeCell ref="AC35:AE35"/>
    <mergeCell ref="AR35:AT35"/>
    <mergeCell ref="AU35:AW35"/>
    <mergeCell ref="AX35:AZ35"/>
    <mergeCell ref="BA35:BC35"/>
    <mergeCell ref="AC34:AE34"/>
    <mergeCell ref="AR34:AT34"/>
    <mergeCell ref="AU34:AW34"/>
    <mergeCell ref="AX34:AZ34"/>
    <mergeCell ref="BA34:BC34"/>
    <mergeCell ref="Z34:AB34"/>
    <mergeCell ref="AF34:AH34"/>
    <mergeCell ref="AI34:AK34"/>
    <mergeCell ref="AF35:AH35"/>
    <mergeCell ref="AI35:AK35"/>
    <mergeCell ref="AL35:AN35"/>
    <mergeCell ref="AO35:AQ35"/>
    <mergeCell ref="A35:H35"/>
    <mergeCell ref="I35:J35"/>
    <mergeCell ref="K35:M35"/>
    <mergeCell ref="N35:P35"/>
    <mergeCell ref="Q35:S35"/>
    <mergeCell ref="A34:H34"/>
    <mergeCell ref="I34:J34"/>
    <mergeCell ref="K34:M34"/>
    <mergeCell ref="K39:M39"/>
    <mergeCell ref="N39:P39"/>
    <mergeCell ref="Q39:S39"/>
    <mergeCell ref="A38:H38"/>
    <mergeCell ref="I38:J38"/>
    <mergeCell ref="K38:M38"/>
    <mergeCell ref="N38:P38"/>
    <mergeCell ref="Q38:S38"/>
    <mergeCell ref="Z37:AB37"/>
    <mergeCell ref="AC37:AE37"/>
    <mergeCell ref="AR37:AT37"/>
    <mergeCell ref="AU37:AW37"/>
    <mergeCell ref="AX37:AZ37"/>
    <mergeCell ref="BA37:BC37"/>
    <mergeCell ref="AC36:AE36"/>
    <mergeCell ref="AR36:AT36"/>
    <mergeCell ref="AU36:AW36"/>
    <mergeCell ref="AX36:AZ36"/>
    <mergeCell ref="BA36:BC36"/>
    <mergeCell ref="Z36:AB36"/>
    <mergeCell ref="AF36:AH36"/>
    <mergeCell ref="AI36:AK36"/>
    <mergeCell ref="AF37:AH37"/>
    <mergeCell ref="AI37:AK37"/>
    <mergeCell ref="AL36:AN36"/>
    <mergeCell ref="AL37:AN37"/>
    <mergeCell ref="AO36:AQ36"/>
    <mergeCell ref="AO37:AQ37"/>
    <mergeCell ref="A37:H37"/>
    <mergeCell ref="I37:J37"/>
    <mergeCell ref="K37:M37"/>
    <mergeCell ref="N37:P37"/>
    <mergeCell ref="A41:H41"/>
    <mergeCell ref="I41:J41"/>
    <mergeCell ref="K41:M41"/>
    <mergeCell ref="N41:P41"/>
    <mergeCell ref="Q41:S41"/>
    <mergeCell ref="A40:H40"/>
    <mergeCell ref="I40:J40"/>
    <mergeCell ref="K40:M40"/>
    <mergeCell ref="N40:P40"/>
    <mergeCell ref="Q40:S40"/>
    <mergeCell ref="Z39:AB39"/>
    <mergeCell ref="AC39:AE39"/>
    <mergeCell ref="AR39:AT39"/>
    <mergeCell ref="AU39:AW39"/>
    <mergeCell ref="AX39:AZ39"/>
    <mergeCell ref="BA39:BC39"/>
    <mergeCell ref="AC38:AE38"/>
    <mergeCell ref="AR38:AT38"/>
    <mergeCell ref="AU38:AW38"/>
    <mergeCell ref="AX38:AZ38"/>
    <mergeCell ref="BA38:BC38"/>
    <mergeCell ref="Z38:AB38"/>
    <mergeCell ref="AF38:AH38"/>
    <mergeCell ref="AI38:AK38"/>
    <mergeCell ref="AF39:AH39"/>
    <mergeCell ref="AI39:AK39"/>
    <mergeCell ref="AL38:AN38"/>
    <mergeCell ref="AL39:AN39"/>
    <mergeCell ref="AO38:AQ38"/>
    <mergeCell ref="AO39:AQ39"/>
    <mergeCell ref="A39:H39"/>
    <mergeCell ref="I39:J39"/>
    <mergeCell ref="Z41:AB41"/>
    <mergeCell ref="AC41:AE41"/>
    <mergeCell ref="AR41:AT41"/>
    <mergeCell ref="AU41:AW41"/>
    <mergeCell ref="AX41:AZ41"/>
    <mergeCell ref="BA41:BC41"/>
    <mergeCell ref="AC40:AE40"/>
    <mergeCell ref="AR40:AT40"/>
    <mergeCell ref="AU40:AW40"/>
    <mergeCell ref="AX40:AZ40"/>
    <mergeCell ref="BA40:BC40"/>
    <mergeCell ref="Z40:AB40"/>
    <mergeCell ref="AF40:AH40"/>
    <mergeCell ref="AI40:AK40"/>
    <mergeCell ref="AL40:AN40"/>
    <mergeCell ref="AO40:AQ40"/>
    <mergeCell ref="AL41:AN41"/>
    <mergeCell ref="AO41:AQ41"/>
    <mergeCell ref="K50:M50"/>
    <mergeCell ref="N50:P50"/>
    <mergeCell ref="Q50:S50"/>
    <mergeCell ref="Z50:AB50"/>
    <mergeCell ref="AC50:AE50"/>
    <mergeCell ref="W49:Y49"/>
    <mergeCell ref="W50:Y50"/>
    <mergeCell ref="T50:V50"/>
    <mergeCell ref="AX47:BC47"/>
    <mergeCell ref="AX48:AZ48"/>
    <mergeCell ref="BA48:BC48"/>
    <mergeCell ref="AX49:AZ49"/>
    <mergeCell ref="BA49:BC49"/>
    <mergeCell ref="AR48:AT48"/>
    <mergeCell ref="AU48:AW48"/>
    <mergeCell ref="AR47:AW47"/>
    <mergeCell ref="A49:H49"/>
    <mergeCell ref="I49:J49"/>
    <mergeCell ref="K49:M49"/>
    <mergeCell ref="N49:P49"/>
    <mergeCell ref="Q49:S49"/>
    <mergeCell ref="Z49:AB49"/>
    <mergeCell ref="AC49:AE49"/>
    <mergeCell ref="A47:H48"/>
    <mergeCell ref="I47:J48"/>
    <mergeCell ref="K47:M48"/>
    <mergeCell ref="N47:S47"/>
    <mergeCell ref="Z47:AE47"/>
    <mergeCell ref="N48:P48"/>
    <mergeCell ref="Q48:S48"/>
    <mergeCell ref="Z48:AB48"/>
    <mergeCell ref="AC48:AE48"/>
    <mergeCell ref="I55:J55"/>
    <mergeCell ref="K55:M55"/>
    <mergeCell ref="N55:P55"/>
    <mergeCell ref="Q55:S55"/>
    <mergeCell ref="Z55:AB55"/>
    <mergeCell ref="AC55:AE55"/>
    <mergeCell ref="AR55:AT55"/>
    <mergeCell ref="AU55:AW55"/>
    <mergeCell ref="AX51:AZ51"/>
    <mergeCell ref="BA51:BC51"/>
    <mergeCell ref="AR50:AT50"/>
    <mergeCell ref="AU50:AW50"/>
    <mergeCell ref="AX50:AZ50"/>
    <mergeCell ref="BA50:BC50"/>
    <mergeCell ref="A52:H52"/>
    <mergeCell ref="I52:J52"/>
    <mergeCell ref="K52:M52"/>
    <mergeCell ref="N52:P52"/>
    <mergeCell ref="Q52:S52"/>
    <mergeCell ref="Z52:AB52"/>
    <mergeCell ref="AC52:AE52"/>
    <mergeCell ref="AR52:AT52"/>
    <mergeCell ref="AU52:AW52"/>
    <mergeCell ref="A51:H51"/>
    <mergeCell ref="I51:J51"/>
    <mergeCell ref="K51:M51"/>
    <mergeCell ref="N51:P51"/>
    <mergeCell ref="Q51:S51"/>
    <mergeCell ref="Z51:AB51"/>
    <mergeCell ref="AC51:AE51"/>
    <mergeCell ref="AR51:AT51"/>
    <mergeCell ref="AU51:AW51"/>
    <mergeCell ref="AX55:AZ55"/>
    <mergeCell ref="BA55:BC55"/>
    <mergeCell ref="Q54:S54"/>
    <mergeCell ref="AX52:AZ52"/>
    <mergeCell ref="BA52:BC52"/>
    <mergeCell ref="A53:H53"/>
    <mergeCell ref="I53:J53"/>
    <mergeCell ref="K53:M53"/>
    <mergeCell ref="N53:P53"/>
    <mergeCell ref="Q53:S53"/>
    <mergeCell ref="Z53:AB53"/>
    <mergeCell ref="AC53:AE53"/>
    <mergeCell ref="A54:H54"/>
    <mergeCell ref="I54:J54"/>
    <mergeCell ref="K54:M54"/>
    <mergeCell ref="N54:P54"/>
    <mergeCell ref="A56:H56"/>
    <mergeCell ref="I56:J56"/>
    <mergeCell ref="K56:M56"/>
    <mergeCell ref="N56:P56"/>
    <mergeCell ref="Q56:S56"/>
    <mergeCell ref="Z54:AB54"/>
    <mergeCell ref="AC54:AE54"/>
    <mergeCell ref="AR54:AT54"/>
    <mergeCell ref="AU54:AW54"/>
    <mergeCell ref="AX54:AZ54"/>
    <mergeCell ref="BA54:BC54"/>
    <mergeCell ref="AR53:AT53"/>
    <mergeCell ref="AU53:AW53"/>
    <mergeCell ref="AX53:AZ53"/>
    <mergeCell ref="BA53:BC53"/>
    <mergeCell ref="A55:H55"/>
    <mergeCell ref="A58:H58"/>
    <mergeCell ref="I58:J58"/>
    <mergeCell ref="K58:M58"/>
    <mergeCell ref="N58:P58"/>
    <mergeCell ref="Q58:S58"/>
    <mergeCell ref="Z58:AB58"/>
    <mergeCell ref="AC57:AE57"/>
    <mergeCell ref="AR57:AT57"/>
    <mergeCell ref="AU57:AW57"/>
    <mergeCell ref="A57:H57"/>
    <mergeCell ref="I57:J57"/>
    <mergeCell ref="K57:M57"/>
    <mergeCell ref="N57:P57"/>
    <mergeCell ref="Q57:S57"/>
    <mergeCell ref="Z57:AB57"/>
    <mergeCell ref="AC58:AE58"/>
    <mergeCell ref="AR58:AT58"/>
    <mergeCell ref="AU58:AW58"/>
    <mergeCell ref="Q59:S59"/>
    <mergeCell ref="Z59:AB59"/>
    <mergeCell ref="AC59:AE59"/>
    <mergeCell ref="W60:Y60"/>
    <mergeCell ref="T60:V60"/>
    <mergeCell ref="AX58:AZ58"/>
    <mergeCell ref="BA58:BC58"/>
    <mergeCell ref="AX57:AZ57"/>
    <mergeCell ref="BA57:BC57"/>
    <mergeCell ref="AC56:AE56"/>
    <mergeCell ref="AR56:AT56"/>
    <mergeCell ref="AU56:AW56"/>
    <mergeCell ref="AX56:AZ56"/>
    <mergeCell ref="BA56:BC56"/>
    <mergeCell ref="AL57:AN57"/>
    <mergeCell ref="AO57:AQ57"/>
    <mergeCell ref="AL58:AN58"/>
    <mergeCell ref="AO58:AQ58"/>
    <mergeCell ref="Z56:AB56"/>
    <mergeCell ref="I61:J61"/>
    <mergeCell ref="K61:M61"/>
    <mergeCell ref="N61:P61"/>
    <mergeCell ref="Q61:S61"/>
    <mergeCell ref="Z61:AB61"/>
    <mergeCell ref="AC61:AE61"/>
    <mergeCell ref="AR62:AT62"/>
    <mergeCell ref="AU62:AW62"/>
    <mergeCell ref="AX62:AZ62"/>
    <mergeCell ref="W61:Y61"/>
    <mergeCell ref="T61:V61"/>
    <mergeCell ref="AR59:AT59"/>
    <mergeCell ref="AU59:AW59"/>
    <mergeCell ref="AR60:AT60"/>
    <mergeCell ref="AU60:AW60"/>
    <mergeCell ref="AX60:AZ60"/>
    <mergeCell ref="BA60:BC60"/>
    <mergeCell ref="AX59:AZ59"/>
    <mergeCell ref="BA59:BC59"/>
    <mergeCell ref="AR61:AT61"/>
    <mergeCell ref="AU61:AW61"/>
    <mergeCell ref="AX61:AZ61"/>
    <mergeCell ref="BA61:BC61"/>
    <mergeCell ref="I60:J60"/>
    <mergeCell ref="K60:M60"/>
    <mergeCell ref="N60:P60"/>
    <mergeCell ref="Q60:S60"/>
    <mergeCell ref="Z60:AB60"/>
    <mergeCell ref="AC60:AE60"/>
    <mergeCell ref="I59:J59"/>
    <mergeCell ref="K59:M59"/>
    <mergeCell ref="N59:P59"/>
    <mergeCell ref="BA62:BC62"/>
    <mergeCell ref="I62:J62"/>
    <mergeCell ref="K62:M62"/>
    <mergeCell ref="N62:P62"/>
    <mergeCell ref="Q62:S62"/>
    <mergeCell ref="Z62:AB62"/>
    <mergeCell ref="AC62:AE62"/>
    <mergeCell ref="AR63:AT63"/>
    <mergeCell ref="AU63:AW63"/>
    <mergeCell ref="AX63:AZ63"/>
    <mergeCell ref="BA63:BC63"/>
    <mergeCell ref="I63:J63"/>
    <mergeCell ref="K63:M63"/>
    <mergeCell ref="N63:P63"/>
    <mergeCell ref="Q63:S63"/>
    <mergeCell ref="Z63:AB63"/>
    <mergeCell ref="AC63:AE63"/>
    <mergeCell ref="W62:Y62"/>
    <mergeCell ref="T62:V62"/>
    <mergeCell ref="T63:V63"/>
    <mergeCell ref="AR65:AT65"/>
    <mergeCell ref="AU65:AW65"/>
    <mergeCell ref="AX65:AZ65"/>
    <mergeCell ref="BA65:BC65"/>
    <mergeCell ref="I65:J65"/>
    <mergeCell ref="K65:M65"/>
    <mergeCell ref="N65:P65"/>
    <mergeCell ref="Q65:S65"/>
    <mergeCell ref="Z65:AB65"/>
    <mergeCell ref="AC65:AE65"/>
    <mergeCell ref="W65:Y65"/>
    <mergeCell ref="T65:V65"/>
    <mergeCell ref="AL65:AN65"/>
    <mergeCell ref="AO65:AQ65"/>
    <mergeCell ref="AF65:AH65"/>
    <mergeCell ref="AF66:AH66"/>
    <mergeCell ref="AR64:AT64"/>
    <mergeCell ref="AU64:AW64"/>
    <mergeCell ref="AX64:AZ64"/>
    <mergeCell ref="BA64:BC64"/>
    <mergeCell ref="I64:J64"/>
    <mergeCell ref="K64:M64"/>
    <mergeCell ref="N64:P64"/>
    <mergeCell ref="Q64:S64"/>
    <mergeCell ref="Z64:AB64"/>
    <mergeCell ref="AC64:AE64"/>
    <mergeCell ref="W64:Y64"/>
    <mergeCell ref="T64:V64"/>
    <mergeCell ref="AL64:AN64"/>
    <mergeCell ref="AO64:AQ64"/>
    <mergeCell ref="AR67:AT67"/>
    <mergeCell ref="AU67:AW67"/>
    <mergeCell ref="AX67:AZ67"/>
    <mergeCell ref="BA67:BC67"/>
    <mergeCell ref="I67:J67"/>
    <mergeCell ref="K67:M67"/>
    <mergeCell ref="N67:P67"/>
    <mergeCell ref="Q67:S67"/>
    <mergeCell ref="Z67:AB67"/>
    <mergeCell ref="AC67:AE67"/>
    <mergeCell ref="W67:Y67"/>
    <mergeCell ref="T67:V67"/>
    <mergeCell ref="AL67:AN67"/>
    <mergeCell ref="AO67:AQ67"/>
    <mergeCell ref="AF67:AH67"/>
    <mergeCell ref="AF68:AH68"/>
    <mergeCell ref="AR66:AT66"/>
    <mergeCell ref="AU66:AW66"/>
    <mergeCell ref="AX66:AZ66"/>
    <mergeCell ref="BA66:BC66"/>
    <mergeCell ref="I66:J66"/>
    <mergeCell ref="K66:M66"/>
    <mergeCell ref="N66:P66"/>
    <mergeCell ref="Q66:S66"/>
    <mergeCell ref="Z66:AB66"/>
    <mergeCell ref="AC66:AE66"/>
    <mergeCell ref="W66:Y66"/>
    <mergeCell ref="T66:V66"/>
    <mergeCell ref="AL66:AN66"/>
    <mergeCell ref="AO66:AQ66"/>
    <mergeCell ref="AR69:AT69"/>
    <mergeCell ref="AU69:AW69"/>
    <mergeCell ref="AX69:AZ69"/>
    <mergeCell ref="BA69:BC69"/>
    <mergeCell ref="I69:J69"/>
    <mergeCell ref="K69:M69"/>
    <mergeCell ref="N69:P69"/>
    <mergeCell ref="Q69:S69"/>
    <mergeCell ref="Z69:AB69"/>
    <mergeCell ref="AC69:AE69"/>
    <mergeCell ref="W69:Y69"/>
    <mergeCell ref="T69:V69"/>
    <mergeCell ref="AL69:AN69"/>
    <mergeCell ref="AO69:AQ69"/>
    <mergeCell ref="AF69:AH69"/>
    <mergeCell ref="AR68:AT68"/>
    <mergeCell ref="AU68:AW68"/>
    <mergeCell ref="AX68:AZ68"/>
    <mergeCell ref="BA68:BC68"/>
    <mergeCell ref="I68:J68"/>
    <mergeCell ref="K68:M68"/>
    <mergeCell ref="N68:P68"/>
    <mergeCell ref="Q68:S68"/>
    <mergeCell ref="Z68:AB68"/>
    <mergeCell ref="AC68:AE68"/>
    <mergeCell ref="W68:Y68"/>
    <mergeCell ref="T68:V68"/>
    <mergeCell ref="AL68:AN68"/>
    <mergeCell ref="AO68:AQ68"/>
    <mergeCell ref="AR71:AT71"/>
    <mergeCell ref="AU71:AW71"/>
    <mergeCell ref="AX71:AZ71"/>
    <mergeCell ref="BA71:BC71"/>
    <mergeCell ref="I71:J71"/>
    <mergeCell ref="K71:M71"/>
    <mergeCell ref="N71:P71"/>
    <mergeCell ref="Q71:S71"/>
    <mergeCell ref="Z71:AB71"/>
    <mergeCell ref="AC71:AE71"/>
    <mergeCell ref="W71:Y71"/>
    <mergeCell ref="T71:V71"/>
    <mergeCell ref="AF71:AH71"/>
    <mergeCell ref="AL71:AN71"/>
    <mergeCell ref="AO71:AQ71"/>
    <mergeCell ref="AR70:AT70"/>
    <mergeCell ref="AU70:AW70"/>
    <mergeCell ref="AX70:AZ70"/>
    <mergeCell ref="BA70:BC70"/>
    <mergeCell ref="I70:J70"/>
    <mergeCell ref="K70:M70"/>
    <mergeCell ref="N70:P70"/>
    <mergeCell ref="Q70:S70"/>
    <mergeCell ref="Z70:AB70"/>
    <mergeCell ref="AC70:AE70"/>
    <mergeCell ref="W70:Y70"/>
    <mergeCell ref="T70:V70"/>
    <mergeCell ref="AF70:AH70"/>
    <mergeCell ref="AL70:AN70"/>
    <mergeCell ref="AO70:AQ70"/>
    <mergeCell ref="BA73:BC73"/>
    <mergeCell ref="I73:J73"/>
    <mergeCell ref="K73:M73"/>
    <mergeCell ref="N73:P73"/>
    <mergeCell ref="Q73:S73"/>
    <mergeCell ref="Z73:AB73"/>
    <mergeCell ref="AC73:AE73"/>
    <mergeCell ref="W73:Y73"/>
    <mergeCell ref="T73:V73"/>
    <mergeCell ref="AF73:AH73"/>
    <mergeCell ref="AI73:AK73"/>
    <mergeCell ref="AL73:AN73"/>
    <mergeCell ref="AO73:AQ73"/>
    <mergeCell ref="AR72:AT72"/>
    <mergeCell ref="AU72:AW72"/>
    <mergeCell ref="AX72:AZ72"/>
    <mergeCell ref="BA72:BC72"/>
    <mergeCell ref="I72:J72"/>
    <mergeCell ref="K72:M72"/>
    <mergeCell ref="N72:P72"/>
    <mergeCell ref="Q72:S72"/>
    <mergeCell ref="Z72:AB72"/>
    <mergeCell ref="AC72:AE72"/>
    <mergeCell ref="W72:Y72"/>
    <mergeCell ref="T72:V72"/>
    <mergeCell ref="AF72:AH72"/>
    <mergeCell ref="AL72:AN72"/>
    <mergeCell ref="AO72:AQ72"/>
    <mergeCell ref="I75:J75"/>
    <mergeCell ref="K75:M75"/>
    <mergeCell ref="N75:P75"/>
    <mergeCell ref="Q75:S75"/>
    <mergeCell ref="Z75:AB75"/>
    <mergeCell ref="AC75:AE75"/>
    <mergeCell ref="W75:Y75"/>
    <mergeCell ref="T75:V75"/>
    <mergeCell ref="AF75:AH75"/>
    <mergeCell ref="AI75:AK75"/>
    <mergeCell ref="AL75:AN75"/>
    <mergeCell ref="AO75:AQ75"/>
    <mergeCell ref="AR74:AT74"/>
    <mergeCell ref="AU74:AW74"/>
    <mergeCell ref="AX74:AZ74"/>
    <mergeCell ref="BA74:BC74"/>
    <mergeCell ref="I74:J74"/>
    <mergeCell ref="K74:M74"/>
    <mergeCell ref="N74:P74"/>
    <mergeCell ref="Q74:S74"/>
    <mergeCell ref="Z74:AB74"/>
    <mergeCell ref="AC74:AE74"/>
    <mergeCell ref="W74:Y74"/>
    <mergeCell ref="T74:V74"/>
    <mergeCell ref="AF74:AH74"/>
    <mergeCell ref="AI74:AK74"/>
    <mergeCell ref="AL74:AN74"/>
    <mergeCell ref="AO74:AQ74"/>
    <mergeCell ref="I77:J77"/>
    <mergeCell ref="K77:M77"/>
    <mergeCell ref="N77:P77"/>
    <mergeCell ref="Q77:S77"/>
    <mergeCell ref="Z77:AB77"/>
    <mergeCell ref="AC77:AE77"/>
    <mergeCell ref="W77:Y77"/>
    <mergeCell ref="T77:V77"/>
    <mergeCell ref="AF77:AH77"/>
    <mergeCell ref="AI77:AK77"/>
    <mergeCell ref="AL77:AN77"/>
    <mergeCell ref="AO77:AQ77"/>
    <mergeCell ref="AU76:AW76"/>
    <mergeCell ref="AX76:AZ76"/>
    <mergeCell ref="BA76:BC76"/>
    <mergeCell ref="I76:J76"/>
    <mergeCell ref="K76:M76"/>
    <mergeCell ref="N76:P76"/>
    <mergeCell ref="Q76:S76"/>
    <mergeCell ref="Z76:AB76"/>
    <mergeCell ref="AC76:AE76"/>
    <mergeCell ref="W76:Y76"/>
    <mergeCell ref="T76:V76"/>
    <mergeCell ref="AF76:AH76"/>
    <mergeCell ref="AI76:AK76"/>
    <mergeCell ref="AL76:AN76"/>
    <mergeCell ref="AO76:AQ76"/>
    <mergeCell ref="I79:J79"/>
    <mergeCell ref="K79:M79"/>
    <mergeCell ref="N79:P79"/>
    <mergeCell ref="Q79:S79"/>
    <mergeCell ref="Z79:AB79"/>
    <mergeCell ref="AC79:AE79"/>
    <mergeCell ref="W79:Y79"/>
    <mergeCell ref="T79:V79"/>
    <mergeCell ref="AF79:AH79"/>
    <mergeCell ref="AI79:AK79"/>
    <mergeCell ref="AL79:AN79"/>
    <mergeCell ref="AO79:AQ79"/>
    <mergeCell ref="I78:J78"/>
    <mergeCell ref="K78:M78"/>
    <mergeCell ref="N78:P78"/>
    <mergeCell ref="Q78:S78"/>
    <mergeCell ref="Z78:AB78"/>
    <mergeCell ref="AC78:AE78"/>
    <mergeCell ref="W78:Y78"/>
    <mergeCell ref="T78:V78"/>
    <mergeCell ref="AF78:AH78"/>
    <mergeCell ref="AI78:AK78"/>
    <mergeCell ref="AL78:AN78"/>
    <mergeCell ref="AO78:AQ78"/>
    <mergeCell ref="T81:V81"/>
    <mergeCell ref="T82:V82"/>
    <mergeCell ref="T83:V83"/>
    <mergeCell ref="AF81:AH81"/>
    <mergeCell ref="AF82:AH82"/>
    <mergeCell ref="AF83:AH83"/>
    <mergeCell ref="AI81:AK81"/>
    <mergeCell ref="AI82:AK82"/>
    <mergeCell ref="AI83:AK83"/>
    <mergeCell ref="N83:P83"/>
    <mergeCell ref="Q83:S83"/>
    <mergeCell ref="Z83:AB83"/>
    <mergeCell ref="I80:J80"/>
    <mergeCell ref="K80:M80"/>
    <mergeCell ref="N80:P80"/>
    <mergeCell ref="Q80:S80"/>
    <mergeCell ref="Z80:AB80"/>
    <mergeCell ref="AC80:AE80"/>
    <mergeCell ref="W80:Y80"/>
    <mergeCell ref="T80:V80"/>
    <mergeCell ref="AF80:AH80"/>
    <mergeCell ref="AI80:AK80"/>
    <mergeCell ref="T52:V52"/>
    <mergeCell ref="T53:V53"/>
    <mergeCell ref="T54:V54"/>
    <mergeCell ref="T55:V55"/>
    <mergeCell ref="T56:V56"/>
    <mergeCell ref="T57:V57"/>
    <mergeCell ref="T58:V58"/>
    <mergeCell ref="T59:V59"/>
    <mergeCell ref="A86:BC86"/>
    <mergeCell ref="A2:BC2"/>
    <mergeCell ref="A1:BC1"/>
    <mergeCell ref="A3:BC3"/>
    <mergeCell ref="A28:BC28"/>
    <mergeCell ref="A45:BC45"/>
    <mergeCell ref="AC85:AE85"/>
    <mergeCell ref="AR85:AT85"/>
    <mergeCell ref="AU85:AW85"/>
    <mergeCell ref="AX85:AZ85"/>
    <mergeCell ref="BA85:BC85"/>
    <mergeCell ref="A85:H85"/>
    <mergeCell ref="I85:J85"/>
    <mergeCell ref="K85:M85"/>
    <mergeCell ref="N85:P85"/>
    <mergeCell ref="Q85:S85"/>
    <mergeCell ref="Z85:AB85"/>
    <mergeCell ref="AR84:AT84"/>
    <mergeCell ref="AR83:AT83"/>
    <mergeCell ref="AU83:AW83"/>
    <mergeCell ref="AX83:AZ83"/>
    <mergeCell ref="T48:V48"/>
    <mergeCell ref="W48:Y48"/>
    <mergeCell ref="T32:V32"/>
    <mergeCell ref="Q84:S84"/>
    <mergeCell ref="Z84:AB84"/>
    <mergeCell ref="AC84:AE84"/>
    <mergeCell ref="BA82:BC82"/>
    <mergeCell ref="I82:J82"/>
    <mergeCell ref="K82:M82"/>
    <mergeCell ref="N82:P82"/>
    <mergeCell ref="Q82:S82"/>
    <mergeCell ref="Z82:AB82"/>
    <mergeCell ref="AC82:AE82"/>
    <mergeCell ref="I83:J83"/>
    <mergeCell ref="K83:M83"/>
    <mergeCell ref="AF53:AH53"/>
    <mergeCell ref="AF54:AH54"/>
    <mergeCell ref="AF55:AH55"/>
    <mergeCell ref="AF56:AH56"/>
    <mergeCell ref="AF57:AH57"/>
    <mergeCell ref="AR82:AT82"/>
    <mergeCell ref="AU82:AW82"/>
    <mergeCell ref="AX82:AZ82"/>
    <mergeCell ref="AC83:AE83"/>
    <mergeCell ref="AR81:AT81"/>
    <mergeCell ref="AU81:AW81"/>
    <mergeCell ref="I81:J81"/>
    <mergeCell ref="K81:M81"/>
    <mergeCell ref="N81:P81"/>
    <mergeCell ref="Q81:S81"/>
    <mergeCell ref="Z81:AB81"/>
    <mergeCell ref="AC81:AE81"/>
    <mergeCell ref="W81:Y81"/>
    <mergeCell ref="W82:Y82"/>
    <mergeCell ref="W83:Y83"/>
    <mergeCell ref="AF7:AK7"/>
    <mergeCell ref="AF8:AH8"/>
    <mergeCell ref="AI8:AK8"/>
    <mergeCell ref="AF9:AH9"/>
    <mergeCell ref="AI9:AK9"/>
    <mergeCell ref="AF10:AH10"/>
    <mergeCell ref="AI10:AK10"/>
    <mergeCell ref="AF11:AH11"/>
    <mergeCell ref="AI11:AK11"/>
    <mergeCell ref="W84:Y84"/>
    <mergeCell ref="W85:Y85"/>
    <mergeCell ref="W32:Y32"/>
    <mergeCell ref="W33:Y33"/>
    <mergeCell ref="W34:Y34"/>
    <mergeCell ref="W35:Y35"/>
    <mergeCell ref="W36:Y36"/>
    <mergeCell ref="W37:Y37"/>
    <mergeCell ref="W38:Y38"/>
    <mergeCell ref="W39:Y39"/>
    <mergeCell ref="W40:Y40"/>
    <mergeCell ref="W41:Y41"/>
    <mergeCell ref="W51:Y51"/>
    <mergeCell ref="W52:Y52"/>
    <mergeCell ref="W53:Y53"/>
    <mergeCell ref="W54:Y54"/>
    <mergeCell ref="W55:Y55"/>
    <mergeCell ref="W56:Y56"/>
    <mergeCell ref="W57:Y57"/>
    <mergeCell ref="W58:Y58"/>
    <mergeCell ref="W59:Y59"/>
    <mergeCell ref="W12:Y12"/>
    <mergeCell ref="W63:Y63"/>
    <mergeCell ref="AF17:AH17"/>
    <mergeCell ref="AI17:AK17"/>
    <mergeCell ref="AF18:AH18"/>
    <mergeCell ref="AI18:AK18"/>
    <mergeCell ref="T51:V51"/>
    <mergeCell ref="AF30:AK30"/>
    <mergeCell ref="AF31:AH31"/>
    <mergeCell ref="AI31:AK31"/>
    <mergeCell ref="T41:V41"/>
    <mergeCell ref="AF41:AH41"/>
    <mergeCell ref="AI41:AK41"/>
    <mergeCell ref="T49:V49"/>
    <mergeCell ref="AF49:AH49"/>
    <mergeCell ref="AI49:AK49"/>
    <mergeCell ref="T23:V23"/>
    <mergeCell ref="W23:Y23"/>
    <mergeCell ref="T30:Y30"/>
    <mergeCell ref="T31:V31"/>
    <mergeCell ref="W31:Y31"/>
    <mergeCell ref="T47:Y47"/>
    <mergeCell ref="T35:V35"/>
    <mergeCell ref="T36:V36"/>
    <mergeCell ref="T37:V37"/>
    <mergeCell ref="T38:V38"/>
    <mergeCell ref="T39:V39"/>
    <mergeCell ref="T40:V40"/>
    <mergeCell ref="A24:BC24"/>
    <mergeCell ref="A42:BC42"/>
    <mergeCell ref="AR49:AT49"/>
    <mergeCell ref="AU49:AW49"/>
    <mergeCell ref="A50:H50"/>
    <mergeCell ref="I50:J50"/>
    <mergeCell ref="AL7:AQ7"/>
    <mergeCell ref="AL8:AN8"/>
    <mergeCell ref="AO8:AQ8"/>
    <mergeCell ref="AL9:AN9"/>
    <mergeCell ref="AO9:AQ9"/>
    <mergeCell ref="AL10:AN10"/>
    <mergeCell ref="AO10:AQ10"/>
    <mergeCell ref="AL11:AN11"/>
    <mergeCell ref="AO11:AQ11"/>
    <mergeCell ref="AL12:AN12"/>
    <mergeCell ref="AO12:AQ12"/>
    <mergeCell ref="AL13:AN13"/>
    <mergeCell ref="AO13:AQ13"/>
    <mergeCell ref="AL14:AN14"/>
    <mergeCell ref="AO14:AQ14"/>
    <mergeCell ref="AL15:AN15"/>
    <mergeCell ref="AO18:AQ18"/>
    <mergeCell ref="AO19:AQ19"/>
    <mergeCell ref="AO20:AQ20"/>
    <mergeCell ref="AO21:AQ21"/>
    <mergeCell ref="AF23:AH23"/>
    <mergeCell ref="AI23:AK23"/>
    <mergeCell ref="AF12:AH12"/>
    <mergeCell ref="AI12:AK12"/>
    <mergeCell ref="AF13:AH13"/>
    <mergeCell ref="AI13:AK13"/>
    <mergeCell ref="AF14:AH14"/>
    <mergeCell ref="AF84:AH84"/>
    <mergeCell ref="AI50:AK50"/>
    <mergeCell ref="AI51:AK51"/>
    <mergeCell ref="AI52:AK52"/>
    <mergeCell ref="AI53:AK53"/>
    <mergeCell ref="AI54:AK54"/>
    <mergeCell ref="AI55:AK55"/>
    <mergeCell ref="AI56:AK56"/>
    <mergeCell ref="AI57:AK57"/>
    <mergeCell ref="AI58:AK58"/>
    <mergeCell ref="AI59:AK59"/>
    <mergeCell ref="AI60:AK60"/>
    <mergeCell ref="AI61:AK61"/>
    <mergeCell ref="AI62:AK62"/>
    <mergeCell ref="AI63:AK63"/>
    <mergeCell ref="AI64:AK64"/>
    <mergeCell ref="AL18:AN18"/>
    <mergeCell ref="AL19:AN19"/>
    <mergeCell ref="AL20:AN20"/>
    <mergeCell ref="AL21:AN21"/>
    <mergeCell ref="AL22:AN22"/>
    <mergeCell ref="AL31:AN31"/>
    <mergeCell ref="AO22:AQ22"/>
    <mergeCell ref="AI84:AK84"/>
    <mergeCell ref="AF47:AK47"/>
    <mergeCell ref="AF48:AH48"/>
    <mergeCell ref="AI48:AK48"/>
    <mergeCell ref="A25:BC25"/>
    <mergeCell ref="A43:BC43"/>
    <mergeCell ref="A87:BC87"/>
    <mergeCell ref="AI65:AK65"/>
    <mergeCell ref="AI66:AK66"/>
    <mergeCell ref="AI67:AK67"/>
    <mergeCell ref="AI68:AK68"/>
    <mergeCell ref="AI69:AK69"/>
    <mergeCell ref="AI70:AK70"/>
    <mergeCell ref="AI71:AK71"/>
    <mergeCell ref="AI72:AK72"/>
    <mergeCell ref="T84:V84"/>
    <mergeCell ref="T85:V85"/>
    <mergeCell ref="AF85:AH85"/>
    <mergeCell ref="AI85:AK85"/>
    <mergeCell ref="AF50:AH50"/>
    <mergeCell ref="AF51:AH51"/>
    <mergeCell ref="AF52:AH52"/>
    <mergeCell ref="AL49:AN49"/>
    <mergeCell ref="AO49:AQ49"/>
    <mergeCell ref="AU84:AW84"/>
    <mergeCell ref="AX84:AZ84"/>
    <mergeCell ref="BA84:BC84"/>
    <mergeCell ref="BA83:BC83"/>
    <mergeCell ref="I84:J84"/>
    <mergeCell ref="K84:M84"/>
    <mergeCell ref="N84:P84"/>
    <mergeCell ref="AL84:AN84"/>
    <mergeCell ref="AO84:AQ84"/>
    <mergeCell ref="AL85:AN85"/>
    <mergeCell ref="AO85:AQ85"/>
    <mergeCell ref="AL59:AN59"/>
    <mergeCell ref="AO59:AQ59"/>
    <mergeCell ref="AL60:AN60"/>
    <mergeCell ref="AO60:AQ60"/>
    <mergeCell ref="AL61:AN61"/>
    <mergeCell ref="AO61:AQ61"/>
    <mergeCell ref="AL62:AN62"/>
    <mergeCell ref="AO62:AQ62"/>
    <mergeCell ref="AL63:AN63"/>
    <mergeCell ref="AO63:AQ63"/>
    <mergeCell ref="AL81:AN81"/>
    <mergeCell ref="AF58:AH58"/>
    <mergeCell ref="AF59:AH59"/>
    <mergeCell ref="AF60:AH60"/>
    <mergeCell ref="AF61:AH61"/>
    <mergeCell ref="AF62:AH62"/>
    <mergeCell ref="AF63:AH63"/>
    <mergeCell ref="AF64:AH64"/>
    <mergeCell ref="AL80:AN80"/>
    <mergeCell ref="AO80:AQ80"/>
    <mergeCell ref="AL47:AQ47"/>
    <mergeCell ref="AL50:AN50"/>
    <mergeCell ref="AO50:AQ50"/>
    <mergeCell ref="AL51:AN51"/>
    <mergeCell ref="AO51:AQ51"/>
    <mergeCell ref="AL23:AN23"/>
    <mergeCell ref="AO23:AQ23"/>
    <mergeCell ref="AL30:AQ30"/>
    <mergeCell ref="AO81:AQ81"/>
    <mergeCell ref="AL52:AN52"/>
    <mergeCell ref="AO52:AQ52"/>
    <mergeCell ref="AL53:AN53"/>
    <mergeCell ref="AO53:AQ53"/>
    <mergeCell ref="AL82:AN82"/>
    <mergeCell ref="AO82:AQ82"/>
    <mergeCell ref="AL83:AN83"/>
    <mergeCell ref="AO83:AQ83"/>
    <mergeCell ref="AL48:AN48"/>
    <mergeCell ref="AO48:AQ48"/>
    <mergeCell ref="AX81:AZ81"/>
    <mergeCell ref="BA81:BC81"/>
    <mergeCell ref="AR80:AT80"/>
    <mergeCell ref="AU80:AW80"/>
    <mergeCell ref="AX80:AZ80"/>
    <mergeCell ref="BA80:BC80"/>
    <mergeCell ref="AR78:AT78"/>
    <mergeCell ref="AU78:AW78"/>
    <mergeCell ref="AX78:AZ78"/>
    <mergeCell ref="BA78:BC78"/>
    <mergeCell ref="AR76:AT76"/>
    <mergeCell ref="AL54:AN54"/>
    <mergeCell ref="AO54:AQ54"/>
    <mergeCell ref="AL55:AN55"/>
    <mergeCell ref="AO55:AQ55"/>
    <mergeCell ref="AL56:AN56"/>
    <mergeCell ref="AO56:AQ56"/>
    <mergeCell ref="AR79:AT79"/>
    <mergeCell ref="AU79:AW79"/>
    <mergeCell ref="AX79:AZ79"/>
    <mergeCell ref="BA79:BC79"/>
    <mergeCell ref="AR77:AT77"/>
    <mergeCell ref="AU77:AW77"/>
    <mergeCell ref="AX77:AZ77"/>
    <mergeCell ref="BA77:BC77"/>
    <mergeCell ref="AR75:AT75"/>
    <mergeCell ref="AU75:AW75"/>
    <mergeCell ref="AX75:AZ75"/>
    <mergeCell ref="BA75:BC75"/>
    <mergeCell ref="AR73:AT73"/>
    <mergeCell ref="AU73:AW73"/>
    <mergeCell ref="AX73:AZ73"/>
  </mergeCells>
  <printOptions horizontalCentered="1"/>
  <pageMargins left="0.5" right="0.5" top="0.5" bottom="0.5" header="0.5" footer="0.25"/>
  <pageSetup scale="48" fitToHeight="0" orientation="landscape" r:id="rId1"/>
  <headerFooter>
    <oddFooter>&amp;C&amp;10&amp;K01+000Page &amp;P or &amp;N&amp;R&amp;10&amp;K01+000Printed on: &amp;D</oddFooter>
  </headerFooter>
  <rowBreaks count="2" manualBreakCount="2">
    <brk id="26" max="16383" man="1"/>
    <brk id="43" max="16383"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5D08B-448A-4048-82FB-25FA0BBAF412}">
  <sheetPr codeName="Sheet09">
    <tabColor theme="4" tint="0.89999084444715716"/>
  </sheetPr>
  <dimension ref="A1:AN81"/>
  <sheetViews>
    <sheetView zoomScale="70" zoomScaleNormal="70" workbookViewId="0">
      <pane xSplit="9" ySplit="1" topLeftCell="J2" activePane="bottomRight" state="frozen"/>
      <selection pane="topRight" activeCell="I1" sqref="I1"/>
      <selection pane="bottomLeft" activeCell="A2" sqref="A2"/>
      <selection pane="bottomRight" sqref="A1:I1"/>
    </sheetView>
  </sheetViews>
  <sheetFormatPr defaultRowHeight="19.2" x14ac:dyDescent="0.55000000000000004"/>
  <cols>
    <col min="1" max="39" width="5.58203125" customWidth="1"/>
  </cols>
  <sheetData>
    <row r="1" spans="1:40" s="40" customFormat="1" ht="34.950000000000003" customHeight="1" thickBot="1" x14ac:dyDescent="0.75">
      <c r="A1" s="768" t="s">
        <v>31</v>
      </c>
      <c r="B1" s="769"/>
      <c r="C1" s="769"/>
      <c r="D1" s="769"/>
      <c r="E1" s="769"/>
      <c r="F1" s="769"/>
      <c r="G1" s="769"/>
      <c r="H1" s="769"/>
      <c r="I1" s="769"/>
      <c r="J1" s="769" t="s">
        <v>691</v>
      </c>
      <c r="K1" s="769"/>
      <c r="L1" s="769"/>
      <c r="M1" s="769"/>
      <c r="N1" s="769"/>
      <c r="O1" s="769" t="s">
        <v>692</v>
      </c>
      <c r="P1" s="769"/>
      <c r="Q1" s="769"/>
      <c r="R1" s="769"/>
      <c r="S1" s="769" t="s">
        <v>693</v>
      </c>
      <c r="T1" s="769"/>
      <c r="U1" s="769"/>
      <c r="V1" s="769"/>
      <c r="W1" s="769"/>
      <c r="X1" s="769"/>
      <c r="Y1" s="769" t="s">
        <v>844</v>
      </c>
      <c r="Z1" s="769"/>
      <c r="AA1" s="769"/>
      <c r="AB1" s="769"/>
      <c r="AC1" s="769"/>
      <c r="AD1" s="769" t="s">
        <v>845</v>
      </c>
      <c r="AE1" s="769"/>
      <c r="AF1" s="769"/>
      <c r="AG1" s="769"/>
      <c r="AH1" s="769" t="s">
        <v>846</v>
      </c>
      <c r="AI1" s="769"/>
      <c r="AJ1" s="769"/>
      <c r="AK1" s="769"/>
      <c r="AL1" s="769"/>
      <c r="AM1" s="770"/>
      <c r="AN1" s="204"/>
    </row>
    <row r="2" spans="1:40" s="203" customFormat="1" ht="27" customHeight="1" x14ac:dyDescent="0.55000000000000004">
      <c r="A2" s="765" t="s">
        <v>86</v>
      </c>
      <c r="B2" s="758"/>
      <c r="C2" s="758"/>
      <c r="D2" s="758"/>
      <c r="E2" s="758"/>
      <c r="F2" s="758"/>
      <c r="G2" s="758"/>
      <c r="H2" s="758"/>
      <c r="I2" s="758"/>
      <c r="J2" s="766" t="str">
        <f>IF(ISBLANK(VLOOKUP('Contact Information'!$A2,Input[],568,FALSE)),"",VLOOKUP('Contact Information'!$A2,Input[],568,FALSE))</f>
        <v>Gina Councilman</v>
      </c>
      <c r="K2" s="766"/>
      <c r="L2" s="766"/>
      <c r="M2" s="766"/>
      <c r="N2" s="766"/>
      <c r="O2" s="767">
        <f>IF(ISBLANK(VLOOKUP('Contact Information'!$A2,Input[],569,FALSE)),"",VLOOKUP('Contact Information'!$A2,Input[],569,FALSE))</f>
        <v>3259422014</v>
      </c>
      <c r="P2" s="767"/>
      <c r="Q2" s="767"/>
      <c r="R2" s="767"/>
      <c r="S2" s="758" t="str">
        <f>IF(ISBLANK(VLOOKUP('Contact Information'!$A2,Input[],570,FALSE)),"",VLOOKUP('Contact Information'!$A2,Input[],570,FALSE))</f>
        <v>gina.councilman@angelo.edu</v>
      </c>
      <c r="T2" s="758"/>
      <c r="U2" s="758"/>
      <c r="V2" s="758"/>
      <c r="W2" s="758"/>
      <c r="X2" s="758"/>
      <c r="Y2" s="758" t="str">
        <f>IF(ISBLANK(VLOOKUP('Contact Information'!$A2,Input[],571,FALSE)),"",VLOOKUP('Contact Information'!$A2,Input[],571,FALSE))</f>
        <v>Jackie Baxter</v>
      </c>
      <c r="Z2" s="758"/>
      <c r="AA2" s="758"/>
      <c r="AB2" s="758"/>
      <c r="AC2" s="758"/>
      <c r="AD2" s="767">
        <f>IF(ISBLANK(VLOOKUP('Contact Information'!$A2,Input[],572,FALSE)),"",VLOOKUP('Contact Information'!$A2,Input[],572,FALSE))</f>
        <v>3259422014</v>
      </c>
      <c r="AE2" s="767"/>
      <c r="AF2" s="767"/>
      <c r="AG2" s="767"/>
      <c r="AH2" s="758" t="str">
        <f>IF(ISBLANK(VLOOKUP('Contact Information'!$A2,Input[],573,FALSE)),"",VLOOKUP('Contact Information'!$A2,Input[],573,FALSE))</f>
        <v>jackie.baxter@angelo.edu</v>
      </c>
      <c r="AI2" s="758"/>
      <c r="AJ2" s="758"/>
      <c r="AK2" s="758"/>
      <c r="AL2" s="758"/>
      <c r="AM2" s="759"/>
      <c r="AN2" s="154"/>
    </row>
    <row r="3" spans="1:40" s="203" customFormat="1" ht="27" customHeight="1" x14ac:dyDescent="0.55000000000000004">
      <c r="A3" s="760" t="s">
        <v>1788</v>
      </c>
      <c r="B3" s="761"/>
      <c r="C3" s="761"/>
      <c r="D3" s="761"/>
      <c r="E3" s="761"/>
      <c r="F3" s="761"/>
      <c r="G3" s="761"/>
      <c r="H3" s="761"/>
      <c r="I3" s="761"/>
      <c r="J3" s="762" t="str">
        <f>IF(ISBLANK(VLOOKUP('Contact Information'!$A3,Input[],568,FALSE)),"",VLOOKUP('Contact Information'!$A3,Input[],568,FALSE))</f>
        <v>Nancy Hranicky</v>
      </c>
      <c r="K3" s="762"/>
      <c r="L3" s="762"/>
      <c r="M3" s="762"/>
      <c r="N3" s="762"/>
      <c r="O3" s="763">
        <f>IF(ISBLANK(VLOOKUP('Contact Information'!$A3,Input[],569,FALSE)),"",VLOOKUP('Contact Information'!$A3,Input[],569,FALSE))</f>
        <v>9798459761</v>
      </c>
      <c r="P3" s="763"/>
      <c r="Q3" s="763"/>
      <c r="R3" s="763"/>
      <c r="S3" s="761" t="str">
        <f>IF(ISBLANK(VLOOKUP('Contact Information'!$A3,Input[],570,FALSE)),"",VLOOKUP('Contact Information'!$A3,Input[],570,FALSE))</f>
        <v>nhranicky@tamus.edu</v>
      </c>
      <c r="T3" s="761"/>
      <c r="U3" s="761"/>
      <c r="V3" s="761"/>
      <c r="W3" s="761"/>
      <c r="X3" s="761"/>
      <c r="Y3" s="761" t="str">
        <f>IF(ISBLANK(VLOOKUP('Contact Information'!$A3,Input[],571,FALSE)),"",VLOOKUP('Contact Information'!$A3,Input[],571,FALSE))</f>
        <v>Tammy Cooper</v>
      </c>
      <c r="Z3" s="761"/>
      <c r="AA3" s="761"/>
      <c r="AB3" s="761"/>
      <c r="AC3" s="761"/>
      <c r="AD3" s="763">
        <f>IF(ISBLANK(VLOOKUP('Contact Information'!$A3,Input[],572,FALSE)),"",VLOOKUP('Contact Information'!$A3,Input[],572,FALSE))</f>
        <v>9034686019</v>
      </c>
      <c r="AE3" s="763"/>
      <c r="AF3" s="763"/>
      <c r="AG3" s="763"/>
      <c r="AH3" s="761" t="str">
        <f>IF(ISBLANK(VLOOKUP('Contact Information'!$A3,Input[],573,FALSE)),"",VLOOKUP('Contact Information'!$A3,Input[],573,FALSE))</f>
        <v>tammy.cooper@tamuc.edu</v>
      </c>
      <c r="AI3" s="761"/>
      <c r="AJ3" s="761"/>
      <c r="AK3" s="761"/>
      <c r="AL3" s="761"/>
      <c r="AM3" s="764"/>
      <c r="AN3" s="154"/>
    </row>
    <row r="4" spans="1:40" s="203" customFormat="1" ht="27" customHeight="1" x14ac:dyDescent="0.55000000000000004">
      <c r="A4" s="765" t="s">
        <v>49</v>
      </c>
      <c r="B4" s="758"/>
      <c r="C4" s="758"/>
      <c r="D4" s="758"/>
      <c r="E4" s="758"/>
      <c r="F4" s="758"/>
      <c r="G4" s="758"/>
      <c r="H4" s="758"/>
      <c r="I4" s="758"/>
      <c r="J4" s="766" t="str">
        <f>IF(ISBLANK(VLOOKUP('Contact Information'!$A4,Input[],568,FALSE)),"",VLOOKUP('Contact Information'!$A4,Input[],568,FALSE))</f>
        <v>Alicia Placette</v>
      </c>
      <c r="K4" s="766"/>
      <c r="L4" s="766"/>
      <c r="M4" s="766"/>
      <c r="N4" s="766"/>
      <c r="O4" s="767">
        <f>IF(ISBLANK(VLOOKUP('Contact Information'!$A4,Input[],569,FALSE)),"",VLOOKUP('Contact Information'!$A4,Input[],569,FALSE))</f>
        <v>4092475134</v>
      </c>
      <c r="P4" s="767"/>
      <c r="Q4" s="767"/>
      <c r="R4" s="767"/>
      <c r="S4" s="758" t="str">
        <f>IF(ISBLANK(VLOOKUP('Contact Information'!$A4,Input[],570,FALSE)),"",VLOOKUP('Contact Information'!$A4,Input[],570,FALSE))</f>
        <v>aaplacette@lit.edu</v>
      </c>
      <c r="T4" s="758"/>
      <c r="U4" s="758"/>
      <c r="V4" s="758"/>
      <c r="W4" s="758"/>
      <c r="X4" s="758"/>
      <c r="Y4" s="758" t="str">
        <f>IF(ISBLANK(VLOOKUP('Contact Information'!$A4,Input[],571,FALSE)),"",VLOOKUP('Contact Information'!$A4,Input[],571,FALSE))</f>
        <v>Amanda Retherford</v>
      </c>
      <c r="Z4" s="758"/>
      <c r="AA4" s="758"/>
      <c r="AB4" s="758"/>
      <c r="AC4" s="758"/>
      <c r="AD4" s="767">
        <f>IF(ISBLANK(VLOOKUP('Contact Information'!$A4,Input[],572,FALSE)),"",VLOOKUP('Contact Information'!$A4,Input[],572,FALSE))</f>
        <v>4098392065</v>
      </c>
      <c r="AE4" s="767"/>
      <c r="AF4" s="767"/>
      <c r="AG4" s="767"/>
      <c r="AH4" s="758" t="str">
        <f>IF(ISBLANK(VLOOKUP('Contact Information'!$A4,Input[],573,FALSE)),"",VLOOKUP('Contact Information'!$A4,Input[],573,FALSE))</f>
        <v>amretherford@lit.edu</v>
      </c>
      <c r="AI4" s="758"/>
      <c r="AJ4" s="758"/>
      <c r="AK4" s="758"/>
      <c r="AL4" s="758"/>
      <c r="AM4" s="759"/>
      <c r="AN4" s="154"/>
    </row>
    <row r="5" spans="1:40" s="203" customFormat="1" ht="27" customHeight="1" x14ac:dyDescent="0.55000000000000004">
      <c r="A5" s="760" t="s">
        <v>50</v>
      </c>
      <c r="B5" s="761"/>
      <c r="C5" s="761"/>
      <c r="D5" s="761"/>
      <c r="E5" s="761"/>
      <c r="F5" s="761"/>
      <c r="G5" s="761"/>
      <c r="H5" s="761"/>
      <c r="I5" s="761"/>
      <c r="J5" s="762" t="str">
        <f>IF(ISBLANK(VLOOKUP('Contact Information'!$A5,Input[],568,FALSE)),"",VLOOKUP('Contact Information'!$A5,Input[],568,FALSE))</f>
        <v>Jamie Oltz</v>
      </c>
      <c r="K5" s="762"/>
      <c r="L5" s="762"/>
      <c r="M5" s="762"/>
      <c r="N5" s="762"/>
      <c r="O5" s="763">
        <f>IF(ISBLANK(VLOOKUP('Contact Information'!$A5,Input[],569,FALSE)),"",VLOOKUP('Contact Information'!$A5,Input[],569,FALSE))</f>
        <v>4098823356</v>
      </c>
      <c r="P5" s="763"/>
      <c r="Q5" s="763"/>
      <c r="R5" s="763"/>
      <c r="S5" s="761" t="str">
        <f>IF(ISBLANK(VLOOKUP('Contact Information'!$A5,Input[],570,FALSE)),"",VLOOKUP('Contact Information'!$A5,Input[],570,FALSE))</f>
        <v>jamie.oltz@lsco.edu</v>
      </c>
      <c r="T5" s="761"/>
      <c r="U5" s="761"/>
      <c r="V5" s="761"/>
      <c r="W5" s="761"/>
      <c r="X5" s="761"/>
      <c r="Y5" s="761" t="str">
        <f>IF(ISBLANK(VLOOKUP('Contact Information'!$A5,Input[],571,FALSE)),"",VLOOKUP('Contact Information'!$A5,Input[],571,FALSE))</f>
        <v>Carissa Saenz</v>
      </c>
      <c r="Z5" s="761"/>
      <c r="AA5" s="761"/>
      <c r="AB5" s="761"/>
      <c r="AC5" s="761"/>
      <c r="AD5" s="763">
        <f>IF(ISBLANK(VLOOKUP('Contact Information'!$A5,Input[],572,FALSE)),"",VLOOKUP('Contact Information'!$A5,Input[],572,FALSE))</f>
        <v>4098823915</v>
      </c>
      <c r="AE5" s="763"/>
      <c r="AF5" s="763"/>
      <c r="AG5" s="763"/>
      <c r="AH5" s="761" t="str">
        <f>IF(ISBLANK(VLOOKUP('Contact Information'!$A5,Input[],573,FALSE)),"",VLOOKUP('Contact Information'!$A5,Input[],573,FALSE))</f>
        <v>carissa.saenz@lsco.edu</v>
      </c>
      <c r="AI5" s="761"/>
      <c r="AJ5" s="761"/>
      <c r="AK5" s="761"/>
      <c r="AL5" s="761"/>
      <c r="AM5" s="764"/>
      <c r="AN5" s="154"/>
    </row>
    <row r="6" spans="1:40" s="203" customFormat="1" ht="27" customHeight="1" x14ac:dyDescent="0.55000000000000004">
      <c r="A6" s="765" t="s">
        <v>51</v>
      </c>
      <c r="B6" s="758"/>
      <c r="C6" s="758"/>
      <c r="D6" s="758"/>
      <c r="E6" s="758"/>
      <c r="F6" s="758"/>
      <c r="G6" s="758"/>
      <c r="H6" s="758"/>
      <c r="I6" s="758"/>
      <c r="J6" s="766" t="str">
        <f>IF(ISBLANK(VLOOKUP('Contact Information'!$A6,Input[],568,FALSE)),"",VLOOKUP('Contact Information'!$A6,Input[],568,FALSE))</f>
        <v>Shelley Cowart</v>
      </c>
      <c r="K6" s="766"/>
      <c r="L6" s="766"/>
      <c r="M6" s="766"/>
      <c r="N6" s="766"/>
      <c r="O6" s="767">
        <f>IF(ISBLANK(VLOOKUP('Contact Information'!$A6,Input[],569,FALSE)),"",VLOOKUP('Contact Information'!$A6,Input[],569,FALSE))</f>
        <v>4099846137</v>
      </c>
      <c r="P6" s="767"/>
      <c r="Q6" s="767"/>
      <c r="R6" s="767"/>
      <c r="S6" s="758" t="str">
        <f>IF(ISBLANK(VLOOKUP('Contact Information'!$A6,Input[],570,FALSE)),"",VLOOKUP('Contact Information'!$A6,Input[],570,FALSE))</f>
        <v>cowartsr@lamarpa.edu</v>
      </c>
      <c r="T6" s="758"/>
      <c r="U6" s="758"/>
      <c r="V6" s="758"/>
      <c r="W6" s="758"/>
      <c r="X6" s="758"/>
      <c r="Y6" s="758" t="str">
        <f>IF(ISBLANK(VLOOKUP('Contact Information'!$A6,Input[],571,FALSE)),"",VLOOKUP('Contact Information'!$A6,Input[],571,FALSE))</f>
        <v>Leanna Odom</v>
      </c>
      <c r="Z6" s="758"/>
      <c r="AA6" s="758"/>
      <c r="AB6" s="758"/>
      <c r="AC6" s="758"/>
      <c r="AD6" s="767">
        <f>IF(ISBLANK(VLOOKUP('Contact Information'!$A6,Input[],572,FALSE)),"",VLOOKUP('Contact Information'!$A6,Input[],572,FALSE))</f>
        <v>4099846129</v>
      </c>
      <c r="AE6" s="767"/>
      <c r="AF6" s="767"/>
      <c r="AG6" s="767"/>
      <c r="AH6" s="758" t="str">
        <f>IF(ISBLANK(VLOOKUP('Contact Information'!$A6,Input[],573,FALSE)),"",VLOOKUP('Contact Information'!$A6,Input[],573,FALSE))</f>
        <v>odomlb@lamarpa.edu</v>
      </c>
      <c r="AI6" s="758"/>
      <c r="AJ6" s="758"/>
      <c r="AK6" s="758"/>
      <c r="AL6" s="758"/>
      <c r="AM6" s="759"/>
      <c r="AN6" s="154"/>
    </row>
    <row r="7" spans="1:40" s="203" customFormat="1" ht="27" customHeight="1" x14ac:dyDescent="0.55000000000000004">
      <c r="A7" s="760" t="s">
        <v>1417</v>
      </c>
      <c r="B7" s="761"/>
      <c r="C7" s="761"/>
      <c r="D7" s="761"/>
      <c r="E7" s="761"/>
      <c r="F7" s="761"/>
      <c r="G7" s="761"/>
      <c r="H7" s="761"/>
      <c r="I7" s="761"/>
      <c r="J7" s="762" t="str">
        <f>IF(ISBLANK(VLOOKUP('Contact Information'!$A7,Input[],568,FALSE)),"",VLOOKUP('Contact Information'!$A7,Input[],568,FALSE))</f>
        <v>Nancy Bergeron</v>
      </c>
      <c r="K7" s="762"/>
      <c r="L7" s="762"/>
      <c r="M7" s="762"/>
      <c r="N7" s="762"/>
      <c r="O7" s="763">
        <f>IF(ISBLANK(VLOOKUP('Contact Information'!$A7,Input[],569,FALSE)),"",VLOOKUP('Contact Information'!$A7,Input[],569,FALSE))</f>
        <v>4098808910</v>
      </c>
      <c r="P7" s="763"/>
      <c r="Q7" s="763"/>
      <c r="R7" s="763"/>
      <c r="S7" s="761" t="str">
        <f>IF(ISBLANK(VLOOKUP('Contact Information'!$A7,Input[],570,FALSE)),"",VLOOKUP('Contact Information'!$A7,Input[],570,FALSE))</f>
        <v>ncbergeron@lamar.edu</v>
      </c>
      <c r="T7" s="761"/>
      <c r="U7" s="761"/>
      <c r="V7" s="761"/>
      <c r="W7" s="761"/>
      <c r="X7" s="761"/>
      <c r="Y7" s="761" t="str">
        <f>IF(ISBLANK(VLOOKUP('Contact Information'!$A7,Input[],571,FALSE)),"",VLOOKUP('Contact Information'!$A7,Input[],571,FALSE))</f>
        <v>Aisha Davis</v>
      </c>
      <c r="Z7" s="761"/>
      <c r="AA7" s="761"/>
      <c r="AB7" s="761"/>
      <c r="AC7" s="761"/>
      <c r="AD7" s="763">
        <f>IF(ISBLANK(VLOOKUP('Contact Information'!$A7,Input[],572,FALSE)),"",VLOOKUP('Contact Information'!$A7,Input[],572,FALSE))</f>
        <v>4098808990</v>
      </c>
      <c r="AE7" s="763"/>
      <c r="AF7" s="763"/>
      <c r="AG7" s="763"/>
      <c r="AH7" s="761" t="str">
        <f>IF(ISBLANK(VLOOKUP('Contact Information'!$A7,Input[],573,FALSE)),"",VLOOKUP('Contact Information'!$A7,Input[],573,FALSE))</f>
        <v>aavery7@lamar.edu</v>
      </c>
      <c r="AI7" s="761"/>
      <c r="AJ7" s="761"/>
      <c r="AK7" s="761"/>
      <c r="AL7" s="761"/>
      <c r="AM7" s="764"/>
      <c r="AN7" s="154"/>
    </row>
    <row r="8" spans="1:40" s="203" customFormat="1" ht="27" customHeight="1" x14ac:dyDescent="0.55000000000000004">
      <c r="A8" s="765" t="s">
        <v>89</v>
      </c>
      <c r="B8" s="758"/>
      <c r="C8" s="758"/>
      <c r="D8" s="758"/>
      <c r="E8" s="758"/>
      <c r="F8" s="758"/>
      <c r="G8" s="758"/>
      <c r="H8" s="758"/>
      <c r="I8" s="758"/>
      <c r="J8" s="766" t="str">
        <f>IF(ISBLANK(VLOOKUP('Contact Information'!$A8,Input[],568,FALSE)),"",VLOOKUP('Contact Information'!$A8,Input[],568,FALSE))</f>
        <v>Chris Stovall</v>
      </c>
      <c r="K8" s="766"/>
      <c r="L8" s="766"/>
      <c r="M8" s="766"/>
      <c r="N8" s="766"/>
      <c r="O8" s="767">
        <f>IF(ISBLANK(VLOOKUP('Contact Information'!$A8,Input[],569,FALSE)),"",VLOOKUP('Contact Information'!$A8,Input[],569,FALSE))</f>
        <v>9403974273</v>
      </c>
      <c r="P8" s="767"/>
      <c r="Q8" s="767"/>
      <c r="R8" s="767"/>
      <c r="S8" s="758" t="str">
        <f>IF(ISBLANK(VLOOKUP('Contact Information'!$A8,Input[],570,FALSE)),"",VLOOKUP('Contact Information'!$A8,Input[],570,FALSE))</f>
        <v>chris.stovall@msutexas.edu</v>
      </c>
      <c r="T8" s="758"/>
      <c r="U8" s="758"/>
      <c r="V8" s="758"/>
      <c r="W8" s="758"/>
      <c r="X8" s="758"/>
      <c r="Y8" s="758" t="str">
        <f>IF(ISBLANK(VLOOKUP('Contact Information'!$A8,Input[],571,FALSE)),"",VLOOKUP('Contact Information'!$A8,Input[],571,FALSE))</f>
        <v/>
      </c>
      <c r="Z8" s="758"/>
      <c r="AA8" s="758"/>
      <c r="AB8" s="758"/>
      <c r="AC8" s="758"/>
      <c r="AD8" s="767" t="str">
        <f>IF(ISBLANK(VLOOKUP('Contact Information'!$A8,Input[],572,FALSE)),"",VLOOKUP('Contact Information'!$A8,Input[],572,FALSE))</f>
        <v/>
      </c>
      <c r="AE8" s="767"/>
      <c r="AF8" s="767"/>
      <c r="AG8" s="767"/>
      <c r="AH8" s="758" t="str">
        <f>IF(ISBLANK(VLOOKUP('Contact Information'!$A8,Input[],573,FALSE)),"",VLOOKUP('Contact Information'!$A8,Input[],573,FALSE))</f>
        <v/>
      </c>
      <c r="AI8" s="758"/>
      <c r="AJ8" s="758"/>
      <c r="AK8" s="758"/>
      <c r="AL8" s="758"/>
      <c r="AM8" s="759"/>
      <c r="AN8" s="154"/>
    </row>
    <row r="9" spans="1:40" s="203" customFormat="1" ht="27" customHeight="1" x14ac:dyDescent="0.55000000000000004">
      <c r="A9" s="760" t="s">
        <v>68</v>
      </c>
      <c r="B9" s="761"/>
      <c r="C9" s="761"/>
      <c r="D9" s="761"/>
      <c r="E9" s="761"/>
      <c r="F9" s="761"/>
      <c r="G9" s="761"/>
      <c r="H9" s="761"/>
      <c r="I9" s="761"/>
      <c r="J9" s="762" t="str">
        <f>IF(ISBLANK(VLOOKUP('Contact Information'!$A9,Input[],568,FALSE)),"",VLOOKUP('Contact Information'!$A9,Input[],568,FALSE))</f>
        <v>Nancy Hranicky</v>
      </c>
      <c r="K9" s="762"/>
      <c r="L9" s="762"/>
      <c r="M9" s="762"/>
      <c r="N9" s="762"/>
      <c r="O9" s="763">
        <f>IF(ISBLANK(VLOOKUP('Contact Information'!$A9,Input[],569,FALSE)),"",VLOOKUP('Contact Information'!$A9,Input[],569,FALSE))</f>
        <v>9798459761</v>
      </c>
      <c r="P9" s="763"/>
      <c r="Q9" s="763"/>
      <c r="R9" s="763"/>
      <c r="S9" s="761" t="str">
        <f>IF(ISBLANK(VLOOKUP('Contact Information'!$A9,Input[],570,FALSE)),"",VLOOKUP('Contact Information'!$A9,Input[],570,FALSE))</f>
        <v>nhranicky@tamus.edu</v>
      </c>
      <c r="T9" s="761"/>
      <c r="U9" s="761"/>
      <c r="V9" s="761"/>
      <c r="W9" s="761"/>
      <c r="X9" s="761"/>
      <c r="Y9" s="761" t="str">
        <f>IF(ISBLANK(VLOOKUP('Contact Information'!$A9,Input[],571,FALSE)),"",VLOOKUP('Contact Information'!$A9,Input[],571,FALSE))</f>
        <v>Cozette Turner</v>
      </c>
      <c r="Z9" s="761"/>
      <c r="AA9" s="761"/>
      <c r="AB9" s="761"/>
      <c r="AC9" s="761"/>
      <c r="AD9" s="763">
        <f>IF(ISBLANK(VLOOKUP('Contact Information'!$A9,Input[],572,FALSE)),"",VLOOKUP('Contact Information'!$A9,Input[],572,FALSE))</f>
        <v>9362611907</v>
      </c>
      <c r="AE9" s="763"/>
      <c r="AF9" s="763"/>
      <c r="AG9" s="763"/>
      <c r="AH9" s="761" t="str">
        <f>IF(ISBLANK(VLOOKUP('Contact Information'!$A9,Input[],573,FALSE)),"",VLOOKUP('Contact Information'!$A9,Input[],573,FALSE))</f>
        <v>cmturner@pvamu.edu</v>
      </c>
      <c r="AI9" s="761"/>
      <c r="AJ9" s="761"/>
      <c r="AK9" s="761"/>
      <c r="AL9" s="761"/>
      <c r="AM9" s="764"/>
      <c r="AN9" s="154"/>
    </row>
    <row r="10" spans="1:40" s="203" customFormat="1" ht="27" customHeight="1" x14ac:dyDescent="0.55000000000000004">
      <c r="A10" s="765" t="s">
        <v>82</v>
      </c>
      <c r="B10" s="758"/>
      <c r="C10" s="758"/>
      <c r="D10" s="758"/>
      <c r="E10" s="758"/>
      <c r="F10" s="758"/>
      <c r="G10" s="758"/>
      <c r="H10" s="758"/>
      <c r="I10" s="758"/>
      <c r="J10" s="766" t="str">
        <f>IF(ISBLANK(VLOOKUP('Contact Information'!$A10,Input[],568,FALSE)),"",VLOOKUP('Contact Information'!$A10,Input[],568,FALSE))</f>
        <v>Jennifer Jones</v>
      </c>
      <c r="K10" s="766"/>
      <c r="L10" s="766"/>
      <c r="M10" s="766"/>
      <c r="N10" s="766"/>
      <c r="O10" s="767">
        <f>IF(ISBLANK(VLOOKUP('Contact Information'!$A10,Input[],569,FALSE)),"",VLOOKUP('Contact Information'!$A10,Input[],569,FALSE))</f>
        <v>9362943405</v>
      </c>
      <c r="P10" s="767"/>
      <c r="Q10" s="767"/>
      <c r="R10" s="767"/>
      <c r="S10" s="758" t="str">
        <f>IF(ISBLANK(VLOOKUP('Contact Information'!$A10,Input[],570,FALSE)),"",VLOOKUP('Contact Information'!$A10,Input[],570,FALSE))</f>
        <v>jlj093@shsu.edu</v>
      </c>
      <c r="T10" s="758"/>
      <c r="U10" s="758"/>
      <c r="V10" s="758"/>
      <c r="W10" s="758"/>
      <c r="X10" s="758"/>
      <c r="Y10" s="758" t="str">
        <f>IF(ISBLANK(VLOOKUP('Contact Information'!$A10,Input[],571,FALSE)),"",VLOOKUP('Contact Information'!$A10,Input[],571,FALSE))</f>
        <v>Melissa Stachowiak</v>
      </c>
      <c r="Z10" s="758"/>
      <c r="AA10" s="758"/>
      <c r="AB10" s="758"/>
      <c r="AC10" s="758"/>
      <c r="AD10" s="767">
        <f>IF(ISBLANK(VLOOKUP('Contact Information'!$A10,Input[],572,FALSE)),"",VLOOKUP('Contact Information'!$A10,Input[],572,FALSE))</f>
        <v>9362942766</v>
      </c>
      <c r="AE10" s="767"/>
      <c r="AF10" s="767"/>
      <c r="AG10" s="767"/>
      <c r="AH10" s="758" t="str">
        <f>IF(ISBLANK(VLOOKUP('Contact Information'!$A10,Input[],573,FALSE)),"",VLOOKUP('Contact Information'!$A10,Input[],573,FALSE))</f>
        <v>mrs148@shsu.edu</v>
      </c>
      <c r="AI10" s="758"/>
      <c r="AJ10" s="758"/>
      <c r="AK10" s="758"/>
      <c r="AL10" s="758"/>
      <c r="AM10" s="759"/>
      <c r="AN10" s="154"/>
    </row>
    <row r="11" spans="1:40" s="203" customFormat="1" ht="27" customHeight="1" x14ac:dyDescent="0.55000000000000004">
      <c r="A11" s="760" t="s">
        <v>1418</v>
      </c>
      <c r="B11" s="761"/>
      <c r="C11" s="761"/>
      <c r="D11" s="761"/>
      <c r="E11" s="761"/>
      <c r="F11" s="761"/>
      <c r="G11" s="761"/>
      <c r="H11" s="761"/>
      <c r="I11" s="761"/>
      <c r="J11" s="762" t="str">
        <f>IF(ISBLANK(VLOOKUP('Contact Information'!$A11,Input[],568,FALSE)),"",VLOOKUP('Contact Information'!$A11,Input[],568,FALSE))</f>
        <v>Jennifer Jones</v>
      </c>
      <c r="K11" s="762"/>
      <c r="L11" s="762"/>
      <c r="M11" s="762"/>
      <c r="N11" s="762"/>
      <c r="O11" s="763">
        <f>IF(ISBLANK(VLOOKUP('Contact Information'!$A11,Input[],569,FALSE)),"",VLOOKUP('Contact Information'!$A11,Input[],569,FALSE))</f>
        <v>9362943405</v>
      </c>
      <c r="P11" s="763"/>
      <c r="Q11" s="763"/>
      <c r="R11" s="763"/>
      <c r="S11" s="761" t="str">
        <f>IF(ISBLANK(VLOOKUP('Contact Information'!$A11,Input[],570,FALSE)),"",VLOOKUP('Contact Information'!$A11,Input[],570,FALSE))</f>
        <v>jlj093@shsu.edu</v>
      </c>
      <c r="T11" s="761"/>
      <c r="U11" s="761"/>
      <c r="V11" s="761"/>
      <c r="W11" s="761"/>
      <c r="X11" s="761"/>
      <c r="Y11" s="761" t="str">
        <f>IF(ISBLANK(VLOOKUP('Contact Information'!$A11,Input[],571,FALSE)),"",VLOOKUP('Contact Information'!$A11,Input[],571,FALSE))</f>
        <v>Melissa Stachowiak</v>
      </c>
      <c r="Z11" s="761"/>
      <c r="AA11" s="761"/>
      <c r="AB11" s="761"/>
      <c r="AC11" s="761"/>
      <c r="AD11" s="763">
        <f>IF(ISBLANK(VLOOKUP('Contact Information'!$A11,Input[],572,FALSE)),"",VLOOKUP('Contact Information'!$A11,Input[],572,FALSE))</f>
        <v>9362942766</v>
      </c>
      <c r="AE11" s="763"/>
      <c r="AF11" s="763"/>
      <c r="AG11" s="763"/>
      <c r="AH11" s="761" t="str">
        <f>IF(ISBLANK(VLOOKUP('Contact Information'!$A11,Input[],573,FALSE)),"",VLOOKUP('Contact Information'!$A11,Input[],573,FALSE))</f>
        <v>mrs148@shsu.edu</v>
      </c>
      <c r="AI11" s="761"/>
      <c r="AJ11" s="761"/>
      <c r="AK11" s="761"/>
      <c r="AL11" s="761"/>
      <c r="AM11" s="764"/>
      <c r="AN11" s="154"/>
    </row>
    <row r="12" spans="1:40" s="203" customFormat="1" ht="27" customHeight="1" x14ac:dyDescent="0.55000000000000004">
      <c r="A12" s="765" t="s">
        <v>744</v>
      </c>
      <c r="B12" s="758"/>
      <c r="C12" s="758"/>
      <c r="D12" s="758"/>
      <c r="E12" s="758"/>
      <c r="F12" s="758"/>
      <c r="G12" s="758"/>
      <c r="H12" s="758"/>
      <c r="I12" s="758"/>
      <c r="J12" s="766" t="str">
        <f>IF(ISBLANK(VLOOKUP('Contact Information'!$A12,Input[],568,FALSE)),"",VLOOKUP('Contact Information'!$A12,Input[],568,FALSE))</f>
        <v>Jennifer Jones</v>
      </c>
      <c r="K12" s="766"/>
      <c r="L12" s="766"/>
      <c r="M12" s="766"/>
      <c r="N12" s="766"/>
      <c r="O12" s="767">
        <f>IF(ISBLANK(VLOOKUP('Contact Information'!$A12,Input[],569,FALSE)),"",VLOOKUP('Contact Information'!$A12,Input[],569,FALSE))</f>
        <v>9362943405</v>
      </c>
      <c r="P12" s="767"/>
      <c r="Q12" s="767"/>
      <c r="R12" s="767"/>
      <c r="S12" s="758" t="str">
        <f>IF(ISBLANK(VLOOKUP('Contact Information'!$A12,Input[],570,FALSE)),"",VLOOKUP('Contact Information'!$A12,Input[],570,FALSE))</f>
        <v>jlj093@shsu.edu</v>
      </c>
      <c r="T12" s="758"/>
      <c r="U12" s="758"/>
      <c r="V12" s="758"/>
      <c r="W12" s="758"/>
      <c r="X12" s="758"/>
      <c r="Y12" s="758" t="str">
        <f>IF(ISBLANK(VLOOKUP('Contact Information'!$A12,Input[],571,FALSE)),"",VLOOKUP('Contact Information'!$A12,Input[],571,FALSE))</f>
        <v>Melissa Stachowiak</v>
      </c>
      <c r="Z12" s="758"/>
      <c r="AA12" s="758"/>
      <c r="AB12" s="758"/>
      <c r="AC12" s="758"/>
      <c r="AD12" s="767">
        <f>IF(ISBLANK(VLOOKUP('Contact Information'!$A12,Input[],572,FALSE)),"",VLOOKUP('Contact Information'!$A12,Input[],572,FALSE))</f>
        <v>9362942766</v>
      </c>
      <c r="AE12" s="767"/>
      <c r="AF12" s="767"/>
      <c r="AG12" s="767"/>
      <c r="AH12" s="758" t="str">
        <f>IF(ISBLANK(VLOOKUP('Contact Information'!$A12,Input[],573,FALSE)),"",VLOOKUP('Contact Information'!$A12,Input[],573,FALSE))</f>
        <v>mrs148@shsu.edu</v>
      </c>
      <c r="AI12" s="758"/>
      <c r="AJ12" s="758"/>
      <c r="AK12" s="758"/>
      <c r="AL12" s="758"/>
      <c r="AM12" s="759"/>
      <c r="AN12" s="154"/>
    </row>
    <row r="13" spans="1:40" s="203" customFormat="1" ht="27" customHeight="1" x14ac:dyDescent="0.55000000000000004">
      <c r="A13" s="760" t="s">
        <v>90</v>
      </c>
      <c r="B13" s="761"/>
      <c r="C13" s="761"/>
      <c r="D13" s="761"/>
      <c r="E13" s="761"/>
      <c r="F13" s="761"/>
      <c r="G13" s="761"/>
      <c r="H13" s="761"/>
      <c r="I13" s="761"/>
      <c r="J13" s="762" t="str">
        <f>IF(ISBLANK(VLOOKUP('Contact Information'!$A13,Input[],568,FALSE)),"",VLOOKUP('Contact Information'!$A13,Input[],568,FALSE))</f>
        <v>Steffany Newsome</v>
      </c>
      <c r="K13" s="762"/>
      <c r="L13" s="762"/>
      <c r="M13" s="762"/>
      <c r="N13" s="762"/>
      <c r="O13" s="763" t="str">
        <f>IF(ISBLANK(VLOOKUP('Contact Information'!$A13,Input[],569,FALSE)),"",VLOOKUP('Contact Information'!$A13,Input[],569,FALSE))</f>
        <v/>
      </c>
      <c r="P13" s="763"/>
      <c r="Q13" s="763"/>
      <c r="R13" s="763"/>
      <c r="S13" s="761" t="str">
        <f>IF(ISBLANK(VLOOKUP('Contact Information'!$A13,Input[],570,FALSE)),"",VLOOKUP('Contact Information'!$A13,Input[],570,FALSE))</f>
        <v/>
      </c>
      <c r="T13" s="761"/>
      <c r="U13" s="761"/>
      <c r="V13" s="761"/>
      <c r="W13" s="761"/>
      <c r="X13" s="761"/>
      <c r="Y13" s="761" t="str">
        <f>IF(ISBLANK(VLOOKUP('Contact Information'!$A13,Input[],571,FALSE)),"",VLOOKUP('Contact Information'!$A13,Input[],571,FALSE))</f>
        <v>Kay Johnson</v>
      </c>
      <c r="Z13" s="761"/>
      <c r="AA13" s="761"/>
      <c r="AB13" s="761"/>
      <c r="AC13" s="761"/>
      <c r="AD13" s="763" t="str">
        <f>IF(ISBLANK(VLOOKUP('Contact Information'!$A13,Input[],572,FALSE)),"",VLOOKUP('Contact Information'!$A13,Input[],572,FALSE))</f>
        <v/>
      </c>
      <c r="AE13" s="763"/>
      <c r="AF13" s="763"/>
      <c r="AG13" s="763"/>
      <c r="AH13" s="761" t="str">
        <f>IF(ISBLANK(VLOOKUP('Contact Information'!$A13,Input[],573,FALSE)),"",VLOOKUP('Contact Information'!$A13,Input[],573,FALSE))</f>
        <v/>
      </c>
      <c r="AI13" s="761"/>
      <c r="AJ13" s="761"/>
      <c r="AK13" s="761"/>
      <c r="AL13" s="761"/>
      <c r="AM13" s="764"/>
      <c r="AN13" s="154"/>
    </row>
    <row r="14" spans="1:40" s="203" customFormat="1" ht="27" customHeight="1" x14ac:dyDescent="0.55000000000000004">
      <c r="A14" s="765" t="s">
        <v>84</v>
      </c>
      <c r="B14" s="758"/>
      <c r="C14" s="758"/>
      <c r="D14" s="758"/>
      <c r="E14" s="758"/>
      <c r="F14" s="758"/>
      <c r="G14" s="758"/>
      <c r="H14" s="758"/>
      <c r="I14" s="758"/>
      <c r="J14" s="766" t="str">
        <f>IF(ISBLANK(VLOOKUP('Contact Information'!$A14,Input[],568,FALSE)),"",VLOOKUP('Contact Information'!$A14,Input[],568,FALSE))</f>
        <v>Bonnie Albright</v>
      </c>
      <c r="K14" s="766"/>
      <c r="L14" s="766"/>
      <c r="M14" s="766"/>
      <c r="N14" s="766"/>
      <c r="O14" s="767">
        <f>IF(ISBLANK(VLOOKUP('Contact Information'!$A14,Input[],569,FALSE)),"",VLOOKUP('Contact Information'!$A14,Input[],569,FALSE))</f>
        <v>4328378078</v>
      </c>
      <c r="P14" s="767"/>
      <c r="Q14" s="767"/>
      <c r="R14" s="767"/>
      <c r="S14" s="758" t="str">
        <f>IF(ISBLANK(VLOOKUP('Contact Information'!$A14,Input[],570,FALSE)),"",VLOOKUP('Contact Information'!$A14,Input[],570,FALSE))</f>
        <v>bonnie.albright@sulross.edu</v>
      </c>
      <c r="T14" s="758"/>
      <c r="U14" s="758"/>
      <c r="V14" s="758"/>
      <c r="W14" s="758"/>
      <c r="X14" s="758"/>
      <c r="Y14" s="758" t="str">
        <f>IF(ISBLANK(VLOOKUP('Contact Information'!$A14,Input[],571,FALSE)),"",VLOOKUP('Contact Information'!$A14,Input[],571,FALSE))</f>
        <v>Alicia Salinas</v>
      </c>
      <c r="Z14" s="758"/>
      <c r="AA14" s="758"/>
      <c r="AB14" s="758"/>
      <c r="AC14" s="758"/>
      <c r="AD14" s="767">
        <f>IF(ISBLANK(VLOOKUP('Contact Information'!$A14,Input[],572,FALSE)),"",VLOOKUP('Contact Information'!$A14,Input[],572,FALSE))</f>
        <v>4328378009</v>
      </c>
      <c r="AE14" s="767"/>
      <c r="AF14" s="767"/>
      <c r="AG14" s="767"/>
      <c r="AH14" s="758" t="str">
        <f>IF(ISBLANK(VLOOKUP('Contact Information'!$A14,Input[],573,FALSE)),"",VLOOKUP('Contact Information'!$A14,Input[],573,FALSE))</f>
        <v>alicia.salinas@sulross.edu</v>
      </c>
      <c r="AI14" s="758"/>
      <c r="AJ14" s="758"/>
      <c r="AK14" s="758"/>
      <c r="AL14" s="758"/>
      <c r="AM14" s="759"/>
      <c r="AN14" s="154"/>
    </row>
    <row r="15" spans="1:40" s="203" customFormat="1" ht="27" customHeight="1" x14ac:dyDescent="0.55000000000000004">
      <c r="A15" s="760" t="s">
        <v>69</v>
      </c>
      <c r="B15" s="761"/>
      <c r="C15" s="761"/>
      <c r="D15" s="761"/>
      <c r="E15" s="761"/>
      <c r="F15" s="761"/>
      <c r="G15" s="761"/>
      <c r="H15" s="761"/>
      <c r="I15" s="761"/>
      <c r="J15" s="762" t="str">
        <f>IF(ISBLANK(VLOOKUP('Contact Information'!$A15,Input[],568,FALSE)),"",VLOOKUP('Contact Information'!$A15,Input[],568,FALSE))</f>
        <v>Nancy Hranicky</v>
      </c>
      <c r="K15" s="762"/>
      <c r="L15" s="762"/>
      <c r="M15" s="762"/>
      <c r="N15" s="762"/>
      <c r="O15" s="763">
        <f>IF(ISBLANK(VLOOKUP('Contact Information'!$A15,Input[],569,FALSE)),"",VLOOKUP('Contact Information'!$A15,Input[],569,FALSE))</f>
        <v>9798459761</v>
      </c>
      <c r="P15" s="763"/>
      <c r="Q15" s="763"/>
      <c r="R15" s="763"/>
      <c r="S15" s="761" t="str">
        <f>IF(ISBLANK(VLOOKUP('Contact Information'!$A15,Input[],570,FALSE)),"",VLOOKUP('Contact Information'!$A15,Input[],570,FALSE))</f>
        <v>nhranicky@tamus.edu</v>
      </c>
      <c r="T15" s="761"/>
      <c r="U15" s="761"/>
      <c r="V15" s="761"/>
      <c r="W15" s="761"/>
      <c r="X15" s="761"/>
      <c r="Y15" s="761" t="str">
        <f>IF(ISBLANK(VLOOKUP('Contact Information'!$A15,Input[],571,FALSE)),"",VLOOKUP('Contact Information'!$A15,Input[],571,FALSE))</f>
        <v>Sheila Hawkins</v>
      </c>
      <c r="Z15" s="761"/>
      <c r="AA15" s="761"/>
      <c r="AB15" s="761"/>
      <c r="AC15" s="761"/>
      <c r="AD15" s="763">
        <f>IF(ISBLANK(VLOOKUP('Contact Information'!$A15,Input[],572,FALSE)),"",VLOOKUP('Contact Information'!$A15,Input[],572,FALSE))</f>
        <v>2549681643</v>
      </c>
      <c r="AE15" s="763"/>
      <c r="AF15" s="763"/>
      <c r="AG15" s="763"/>
      <c r="AH15" s="761" t="str">
        <f>IF(ISBLANK(VLOOKUP('Contact Information'!$A15,Input[],573,FALSE)),"",VLOOKUP('Contact Information'!$A15,Input[],573,FALSE))</f>
        <v>hawkins@tarleton.edu</v>
      </c>
      <c r="AI15" s="761"/>
      <c r="AJ15" s="761"/>
      <c r="AK15" s="761"/>
      <c r="AL15" s="761"/>
      <c r="AM15" s="764"/>
      <c r="AN15" s="154"/>
    </row>
    <row r="16" spans="1:40" s="203" customFormat="1" ht="27" customHeight="1" x14ac:dyDescent="0.55000000000000004">
      <c r="A16" s="765" t="s">
        <v>701</v>
      </c>
      <c r="B16" s="758"/>
      <c r="C16" s="758"/>
      <c r="D16" s="758"/>
      <c r="E16" s="758"/>
      <c r="F16" s="758"/>
      <c r="G16" s="758"/>
      <c r="H16" s="758"/>
      <c r="I16" s="758"/>
      <c r="J16" s="766" t="str">
        <f>IF(ISBLANK(VLOOKUP('Contact Information'!$A16,Input[],568,FALSE)),"",VLOOKUP('Contact Information'!$A16,Input[],568,FALSE))</f>
        <v>Nancy Hranicky</v>
      </c>
      <c r="K16" s="766"/>
      <c r="L16" s="766"/>
      <c r="M16" s="766"/>
      <c r="N16" s="766"/>
      <c r="O16" s="767">
        <f>IF(ISBLANK(VLOOKUP('Contact Information'!$A16,Input[],569,FALSE)),"",VLOOKUP('Contact Information'!$A16,Input[],569,FALSE))</f>
        <v>9798459761</v>
      </c>
      <c r="P16" s="767"/>
      <c r="Q16" s="767"/>
      <c r="R16" s="767"/>
      <c r="S16" s="758" t="str">
        <f>IF(ISBLANK(VLOOKUP('Contact Information'!$A16,Input[],570,FALSE)),"",VLOOKUP('Contact Information'!$A16,Input[],570,FALSE))</f>
        <v>nhranicky@tamus.edu</v>
      </c>
      <c r="T16" s="758"/>
      <c r="U16" s="758"/>
      <c r="V16" s="758"/>
      <c r="W16" s="758"/>
      <c r="X16" s="758"/>
      <c r="Y16" s="758" t="str">
        <f>IF(ISBLANK(VLOOKUP('Contact Information'!$A16,Input[],571,FALSE)),"",VLOOKUP('Contact Information'!$A16,Input[],571,FALSE))</f>
        <v>Rosa Ledezma</v>
      </c>
      <c r="Z16" s="758"/>
      <c r="AA16" s="758"/>
      <c r="AB16" s="758"/>
      <c r="AC16" s="758"/>
      <c r="AD16" s="767">
        <f>IF(ISBLANK(VLOOKUP('Contact Information'!$A16,Input[],572,FALSE)),"",VLOOKUP('Contact Information'!$A16,Input[],572,FALSE))</f>
        <v>9793142257</v>
      </c>
      <c r="AE16" s="767"/>
      <c r="AF16" s="767"/>
      <c r="AG16" s="767"/>
      <c r="AH16" s="758" t="str">
        <f>IF(ISBLANK(VLOOKUP('Contact Information'!$A16,Input[],573,FALSE)),"",VLOOKUP('Contact Information'!$A16,Input[],573,FALSE))</f>
        <v>rosa.ledezma@ag.tamu.edu</v>
      </c>
      <c r="AI16" s="758"/>
      <c r="AJ16" s="758"/>
      <c r="AK16" s="758"/>
      <c r="AL16" s="758"/>
      <c r="AM16" s="759"/>
      <c r="AN16" s="154"/>
    </row>
    <row r="17" spans="1:40" s="203" customFormat="1" ht="27" customHeight="1" x14ac:dyDescent="0.55000000000000004">
      <c r="A17" s="760" t="s">
        <v>700</v>
      </c>
      <c r="B17" s="761"/>
      <c r="C17" s="761"/>
      <c r="D17" s="761"/>
      <c r="E17" s="761"/>
      <c r="F17" s="761"/>
      <c r="G17" s="761"/>
      <c r="H17" s="761"/>
      <c r="I17" s="761"/>
      <c r="J17" s="762" t="str">
        <f>IF(ISBLANK(VLOOKUP('Contact Information'!$A17,Input[],568,FALSE)),"",VLOOKUP('Contact Information'!$A17,Input[],568,FALSE))</f>
        <v>Lyndee Park-Jones</v>
      </c>
      <c r="K17" s="762"/>
      <c r="L17" s="762"/>
      <c r="M17" s="762"/>
      <c r="N17" s="762"/>
      <c r="O17" s="763">
        <f>IF(ISBLANK(VLOOKUP('Contact Information'!$A17,Input[],569,FALSE)),"",VLOOKUP('Contact Information'!$A17,Input[],569,FALSE))</f>
        <v>9793145898</v>
      </c>
      <c r="P17" s="763"/>
      <c r="Q17" s="763"/>
      <c r="R17" s="763"/>
      <c r="S17" s="761" t="str">
        <f>IF(ISBLANK(VLOOKUP('Contact Information'!$A17,Input[],570,FALSE)),"",VLOOKUP('Contact Information'!$A17,Input[],570,FALSE))</f>
        <v>lyndee.park@ag.tamu.edu</v>
      </c>
      <c r="T17" s="761"/>
      <c r="U17" s="761"/>
      <c r="V17" s="761"/>
      <c r="W17" s="761"/>
      <c r="X17" s="761"/>
      <c r="Y17" s="761" t="str">
        <f>IF(ISBLANK(VLOOKUP('Contact Information'!$A17,Input[],571,FALSE)),"",VLOOKUP('Contact Information'!$A17,Input[],571,FALSE))</f>
        <v/>
      </c>
      <c r="Z17" s="761"/>
      <c r="AA17" s="761"/>
      <c r="AB17" s="761"/>
      <c r="AC17" s="761"/>
      <c r="AD17" s="763" t="str">
        <f>IF(ISBLANK(VLOOKUP('Contact Information'!$A17,Input[],572,FALSE)),"",VLOOKUP('Contact Information'!$A17,Input[],572,FALSE))</f>
        <v/>
      </c>
      <c r="AE17" s="763"/>
      <c r="AF17" s="763"/>
      <c r="AG17" s="763"/>
      <c r="AH17" s="761" t="str">
        <f>IF(ISBLANK(VLOOKUP('Contact Information'!$A17,Input[],573,FALSE)),"",VLOOKUP('Contact Information'!$A17,Input[],573,FALSE))</f>
        <v/>
      </c>
      <c r="AI17" s="761"/>
      <c r="AJ17" s="761"/>
      <c r="AK17" s="761"/>
      <c r="AL17" s="761"/>
      <c r="AM17" s="764"/>
      <c r="AN17" s="154"/>
    </row>
    <row r="18" spans="1:40" s="203" customFormat="1" ht="27" customHeight="1" x14ac:dyDescent="0.55000000000000004">
      <c r="A18" s="765" t="s">
        <v>702</v>
      </c>
      <c r="B18" s="758"/>
      <c r="C18" s="758"/>
      <c r="D18" s="758"/>
      <c r="E18" s="758"/>
      <c r="F18" s="758"/>
      <c r="G18" s="758"/>
      <c r="H18" s="758"/>
      <c r="I18" s="758"/>
      <c r="J18" s="766" t="str">
        <f>IF(ISBLANK(VLOOKUP('Contact Information'!$A18,Input[],568,FALSE)),"",VLOOKUP('Contact Information'!$A18,Input[],568,FALSE))</f>
        <v>Nancy Hranicky</v>
      </c>
      <c r="K18" s="766"/>
      <c r="L18" s="766"/>
      <c r="M18" s="766"/>
      <c r="N18" s="766"/>
      <c r="O18" s="767">
        <f>IF(ISBLANK(VLOOKUP('Contact Information'!$A18,Input[],569,FALSE)),"",VLOOKUP('Contact Information'!$A18,Input[],569,FALSE))</f>
        <v>9798459761</v>
      </c>
      <c r="P18" s="767"/>
      <c r="Q18" s="767"/>
      <c r="R18" s="767"/>
      <c r="S18" s="758" t="str">
        <f>IF(ISBLANK(VLOOKUP('Contact Information'!$A18,Input[],570,FALSE)),"",VLOOKUP('Contact Information'!$A18,Input[],570,FALSE))</f>
        <v>nhranicky@tamus.edu</v>
      </c>
      <c r="T18" s="758"/>
      <c r="U18" s="758"/>
      <c r="V18" s="758"/>
      <c r="W18" s="758"/>
      <c r="X18" s="758"/>
      <c r="Y18" s="758" t="str">
        <f>IF(ISBLANK(VLOOKUP('Contact Information'!$A18,Input[],571,FALSE)),"",VLOOKUP('Contact Information'!$A18,Input[],571,FALSE))</f>
        <v>Jiying Yu</v>
      </c>
      <c r="Z18" s="758"/>
      <c r="AA18" s="758"/>
      <c r="AB18" s="758"/>
      <c r="AC18" s="758"/>
      <c r="AD18" s="767">
        <f>IF(ISBLANK(VLOOKUP('Contact Information'!$A18,Input[],572,FALSE)),"",VLOOKUP('Contact Information'!$A18,Input[],572,FALSE))</f>
        <v>9794588986</v>
      </c>
      <c r="AE18" s="767"/>
      <c r="AF18" s="767"/>
      <c r="AG18" s="767"/>
      <c r="AH18" s="758" t="str">
        <f>IF(ISBLANK(VLOOKUP('Contact Information'!$A18,Input[],573,FALSE)),"",VLOOKUP('Contact Information'!$A18,Input[],573,FALSE))</f>
        <v>j-yu@tamu.edu</v>
      </c>
      <c r="AI18" s="758"/>
      <c r="AJ18" s="758"/>
      <c r="AK18" s="758"/>
      <c r="AL18" s="758"/>
      <c r="AM18" s="759"/>
      <c r="AN18" s="154"/>
    </row>
    <row r="19" spans="1:40" s="203" customFormat="1" ht="27" customHeight="1" x14ac:dyDescent="0.55000000000000004">
      <c r="A19" s="760" t="s">
        <v>703</v>
      </c>
      <c r="B19" s="761"/>
      <c r="C19" s="761"/>
      <c r="D19" s="761"/>
      <c r="E19" s="761"/>
      <c r="F19" s="761"/>
      <c r="G19" s="761"/>
      <c r="H19" s="761"/>
      <c r="I19" s="761"/>
      <c r="J19" s="762" t="str">
        <f>IF(ISBLANK(VLOOKUP('Contact Information'!$A19,Input[],568,FALSE)),"",VLOOKUP('Contact Information'!$A19,Input[],568,FALSE))</f>
        <v>Nancy Hranicky</v>
      </c>
      <c r="K19" s="762"/>
      <c r="L19" s="762"/>
      <c r="M19" s="762"/>
      <c r="N19" s="762"/>
      <c r="O19" s="763">
        <f>IF(ISBLANK(VLOOKUP('Contact Information'!$A19,Input[],569,FALSE)),"",VLOOKUP('Contact Information'!$A19,Input[],569,FALSE))</f>
        <v>9798459761</v>
      </c>
      <c r="P19" s="763"/>
      <c r="Q19" s="763"/>
      <c r="R19" s="763"/>
      <c r="S19" s="761" t="str">
        <f>IF(ISBLANK(VLOOKUP('Contact Information'!$A19,Input[],570,FALSE)),"",VLOOKUP('Contact Information'!$A19,Input[],570,FALSE))</f>
        <v>nhranicky@tamus.edu</v>
      </c>
      <c r="T19" s="761"/>
      <c r="U19" s="761"/>
      <c r="V19" s="761"/>
      <c r="W19" s="761"/>
      <c r="X19" s="761"/>
      <c r="Y19" s="761" t="str">
        <f>IF(ISBLANK(VLOOKUP('Contact Information'!$A19,Input[],571,FALSE)),"",VLOOKUP('Contact Information'!$A19,Input[],571,FALSE))</f>
        <v>Deepak Tyagi</v>
      </c>
      <c r="Z19" s="761"/>
      <c r="AA19" s="761"/>
      <c r="AB19" s="761"/>
      <c r="AC19" s="761"/>
      <c r="AD19" s="763">
        <f>IF(ISBLANK(VLOOKUP('Contact Information'!$A19,Input[],572,FALSE)),"",VLOOKUP('Contact Information'!$A19,Input[],572,FALSE))</f>
        <v>9795006622</v>
      </c>
      <c r="AE19" s="763"/>
      <c r="AF19" s="763"/>
      <c r="AG19" s="763"/>
      <c r="AH19" s="761" t="str">
        <f>IF(ISBLANK(VLOOKUP('Contact Information'!$A19,Input[],573,FALSE)),"",VLOOKUP('Contact Information'!$A19,Input[],573,FALSE))</f>
        <v>monty.tyagi@teex.tamu.edu</v>
      </c>
      <c r="AI19" s="761"/>
      <c r="AJ19" s="761"/>
      <c r="AK19" s="761"/>
      <c r="AL19" s="761"/>
      <c r="AM19" s="764"/>
      <c r="AN19" s="154"/>
    </row>
    <row r="20" spans="1:40" s="203" customFormat="1" ht="27" customHeight="1" x14ac:dyDescent="0.55000000000000004">
      <c r="A20" s="765" t="s">
        <v>704</v>
      </c>
      <c r="B20" s="758"/>
      <c r="C20" s="758"/>
      <c r="D20" s="758"/>
      <c r="E20" s="758"/>
      <c r="F20" s="758"/>
      <c r="G20" s="758"/>
      <c r="H20" s="758"/>
      <c r="I20" s="758"/>
      <c r="J20" s="766" t="str">
        <f>IF(ISBLANK(VLOOKUP('Contact Information'!$A20,Input[],568,FALSE)),"",VLOOKUP('Contact Information'!$A20,Input[],568,FALSE))</f>
        <v>Nancy Hranicky</v>
      </c>
      <c r="K20" s="766"/>
      <c r="L20" s="766"/>
      <c r="M20" s="766"/>
      <c r="N20" s="766"/>
      <c r="O20" s="767">
        <f>IF(ISBLANK(VLOOKUP('Contact Information'!$A20,Input[],569,FALSE)),"",VLOOKUP('Contact Information'!$A20,Input[],569,FALSE))</f>
        <v>9798459761</v>
      </c>
      <c r="P20" s="767"/>
      <c r="Q20" s="767"/>
      <c r="R20" s="767"/>
      <c r="S20" s="758" t="str">
        <f>IF(ISBLANK(VLOOKUP('Contact Information'!$A20,Input[],570,FALSE)),"",VLOOKUP('Contact Information'!$A20,Input[],570,FALSE))</f>
        <v>nhranicky@tamus.edu</v>
      </c>
      <c r="T20" s="758"/>
      <c r="U20" s="758"/>
      <c r="V20" s="758"/>
      <c r="W20" s="758"/>
      <c r="X20" s="758"/>
      <c r="Y20" s="758" t="str">
        <f>IF(ISBLANK(VLOOKUP('Contact Information'!$A20,Input[],571,FALSE)),"",VLOOKUP('Contact Information'!$A20,Input[],571,FALSE))</f>
        <v>Andy Startz</v>
      </c>
      <c r="Z20" s="758"/>
      <c r="AA20" s="758"/>
      <c r="AB20" s="758"/>
      <c r="AC20" s="758"/>
      <c r="AD20" s="767">
        <f>IF(ISBLANK(VLOOKUP('Contact Information'!$A20,Input[],572,FALSE)),"",VLOOKUP('Contact Information'!$A20,Input[],572,FALSE))</f>
        <v>9794586643</v>
      </c>
      <c r="AE20" s="767"/>
      <c r="AF20" s="767"/>
      <c r="AG20" s="767"/>
      <c r="AH20" s="758" t="str">
        <f>IF(ISBLANK(VLOOKUP('Contact Information'!$A20,Input[],573,FALSE)),"",VLOOKUP('Contact Information'!$A20,Input[],573,FALSE))</f>
        <v>andy.startz@tfs.tamu.edu</v>
      </c>
      <c r="AI20" s="758"/>
      <c r="AJ20" s="758"/>
      <c r="AK20" s="758"/>
      <c r="AL20" s="758"/>
      <c r="AM20" s="759"/>
      <c r="AN20" s="154"/>
    </row>
    <row r="21" spans="1:40" s="203" customFormat="1" ht="27" customHeight="1" x14ac:dyDescent="0.55000000000000004">
      <c r="A21" s="760" t="s">
        <v>72</v>
      </c>
      <c r="B21" s="761"/>
      <c r="C21" s="761"/>
      <c r="D21" s="761"/>
      <c r="E21" s="761"/>
      <c r="F21" s="761"/>
      <c r="G21" s="761"/>
      <c r="H21" s="761"/>
      <c r="I21" s="761"/>
      <c r="J21" s="762" t="str">
        <f>IF(ISBLANK(VLOOKUP('Contact Information'!$A21,Input[],568,FALSE)),"",VLOOKUP('Contact Information'!$A21,Input[],568,FALSE))</f>
        <v>Nancy Hranicky</v>
      </c>
      <c r="K21" s="762"/>
      <c r="L21" s="762"/>
      <c r="M21" s="762"/>
      <c r="N21" s="762"/>
      <c r="O21" s="763">
        <f>IF(ISBLANK(VLOOKUP('Contact Information'!$A21,Input[],569,FALSE)),"",VLOOKUP('Contact Information'!$A21,Input[],569,FALSE))</f>
        <v>9798459761</v>
      </c>
      <c r="P21" s="763"/>
      <c r="Q21" s="763"/>
      <c r="R21" s="763"/>
      <c r="S21" s="761" t="str">
        <f>IF(ISBLANK(VLOOKUP('Contact Information'!$A21,Input[],570,FALSE)),"",VLOOKUP('Contact Information'!$A21,Input[],570,FALSE))</f>
        <v>nhranicky@tamus.edu</v>
      </c>
      <c r="T21" s="761"/>
      <c r="U21" s="761"/>
      <c r="V21" s="761"/>
      <c r="W21" s="761"/>
      <c r="X21" s="761"/>
      <c r="Y21" s="761" t="str">
        <f>IF(ISBLANK(VLOOKUP('Contact Information'!$A21,Input[],571,FALSE)),"",VLOOKUP('Contact Information'!$A21,Input[],571,FALSE))</f>
        <v>Elena Martinez</v>
      </c>
      <c r="Z21" s="761"/>
      <c r="AA21" s="761"/>
      <c r="AB21" s="761"/>
      <c r="AC21" s="761"/>
      <c r="AD21" s="763">
        <f>IF(ISBLANK(VLOOKUP('Contact Information'!$A21,Input[],572,FALSE)),"",VLOOKUP('Contact Information'!$A21,Input[],572,FALSE))</f>
        <v>9563262433</v>
      </c>
      <c r="AE21" s="763"/>
      <c r="AF21" s="763"/>
      <c r="AG21" s="763"/>
      <c r="AH21" s="761" t="str">
        <f>IF(ISBLANK(VLOOKUP('Contact Information'!$A21,Input[],573,FALSE)),"",VLOOKUP('Contact Information'!$A21,Input[],573,FALSE))</f>
        <v>emartinez@tamiu.edu</v>
      </c>
      <c r="AI21" s="761"/>
      <c r="AJ21" s="761"/>
      <c r="AK21" s="761"/>
      <c r="AL21" s="761"/>
      <c r="AM21" s="764"/>
      <c r="AN21" s="154"/>
    </row>
    <row r="22" spans="1:40" s="203" customFormat="1" ht="27" customHeight="1" x14ac:dyDescent="0.55000000000000004">
      <c r="A22" s="765" t="s">
        <v>708</v>
      </c>
      <c r="B22" s="758"/>
      <c r="C22" s="758"/>
      <c r="D22" s="758"/>
      <c r="E22" s="758"/>
      <c r="F22" s="758"/>
      <c r="G22" s="758"/>
      <c r="H22" s="758"/>
      <c r="I22" s="758"/>
      <c r="J22" s="766" t="str">
        <f>IF(ISBLANK(VLOOKUP('Contact Information'!$A22,Input[],568,FALSE)),"",VLOOKUP('Contact Information'!$A22,Input[],568,FALSE))</f>
        <v>Nancy Hranicky</v>
      </c>
      <c r="K22" s="766"/>
      <c r="L22" s="766"/>
      <c r="M22" s="766"/>
      <c r="N22" s="766"/>
      <c r="O22" s="767">
        <f>IF(ISBLANK(VLOOKUP('Contact Information'!$A22,Input[],569,FALSE)),"",VLOOKUP('Contact Information'!$A22,Input[],569,FALSE))</f>
        <v>9798459761</v>
      </c>
      <c r="P22" s="767"/>
      <c r="Q22" s="767"/>
      <c r="R22" s="767"/>
      <c r="S22" s="758" t="str">
        <f>IF(ISBLANK(VLOOKUP('Contact Information'!$A22,Input[],570,FALSE)),"",VLOOKUP('Contact Information'!$A22,Input[],570,FALSE))</f>
        <v>nhranicky@tamus.edu</v>
      </c>
      <c r="T22" s="758"/>
      <c r="U22" s="758"/>
      <c r="V22" s="758"/>
      <c r="W22" s="758"/>
      <c r="X22" s="758"/>
      <c r="Y22" s="758" t="str">
        <f>IF(ISBLANK(VLOOKUP('Contact Information'!$A22,Input[],571,FALSE)),"",VLOOKUP('Contact Information'!$A22,Input[],571,FALSE))</f>
        <v>Verna Fritsche</v>
      </c>
      <c r="Z22" s="758"/>
      <c r="AA22" s="758"/>
      <c r="AB22" s="758"/>
      <c r="AC22" s="758"/>
      <c r="AD22" s="767">
        <f>IF(ISBLANK(VLOOKUP('Contact Information'!$A22,Input[],572,FALSE)),"",VLOOKUP('Contact Information'!$A22,Input[],572,FALSE))</f>
        <v>9794586090</v>
      </c>
      <c r="AE22" s="767"/>
      <c r="AF22" s="767"/>
      <c r="AG22" s="767"/>
      <c r="AH22" s="758" t="str">
        <f>IF(ISBLANK(VLOOKUP('Contact Information'!$A22,Input[],573,FALSE)),"",VLOOKUP('Contact Information'!$A22,Input[],573,FALSE))</f>
        <v>vfritsche@tamus.edu</v>
      </c>
      <c r="AI22" s="758"/>
      <c r="AJ22" s="758"/>
      <c r="AK22" s="758"/>
      <c r="AL22" s="758"/>
      <c r="AM22" s="759"/>
      <c r="AN22" s="154"/>
    </row>
    <row r="23" spans="1:40" s="203" customFormat="1" ht="27" customHeight="1" x14ac:dyDescent="0.55000000000000004">
      <c r="A23" s="760" t="s">
        <v>705</v>
      </c>
      <c r="B23" s="761"/>
      <c r="C23" s="761"/>
      <c r="D23" s="761"/>
      <c r="E23" s="761"/>
      <c r="F23" s="761"/>
      <c r="G23" s="761"/>
      <c r="H23" s="761"/>
      <c r="I23" s="761"/>
      <c r="J23" s="762" t="str">
        <f>IF(ISBLANK(VLOOKUP('Contact Information'!$A23,Input[],568,FALSE)),"",VLOOKUP('Contact Information'!$A23,Input[],568,FALSE))</f>
        <v>Nancy Hranicky</v>
      </c>
      <c r="K23" s="762"/>
      <c r="L23" s="762"/>
      <c r="M23" s="762"/>
      <c r="N23" s="762"/>
      <c r="O23" s="763">
        <f>IF(ISBLANK(VLOOKUP('Contact Information'!$A23,Input[],569,FALSE)),"",VLOOKUP('Contact Information'!$A23,Input[],569,FALSE))</f>
        <v>9798459761</v>
      </c>
      <c r="P23" s="763"/>
      <c r="Q23" s="763"/>
      <c r="R23" s="763"/>
      <c r="S23" s="761" t="str">
        <f>IF(ISBLANK(VLOOKUP('Contact Information'!$A23,Input[],570,FALSE)),"",VLOOKUP('Contact Information'!$A23,Input[],570,FALSE))</f>
        <v>nhranicky@tamus.edu</v>
      </c>
      <c r="T23" s="761"/>
      <c r="U23" s="761"/>
      <c r="V23" s="761"/>
      <c r="W23" s="761"/>
      <c r="X23" s="761"/>
      <c r="Y23" s="761" t="str">
        <f>IF(ISBLANK(VLOOKUP('Contact Information'!$A23,Input[],571,FALSE)),"",VLOOKUP('Contact Information'!$A23,Input[],571,FALSE))</f>
        <v>Stephanie Barnett</v>
      </c>
      <c r="Z23" s="761"/>
      <c r="AA23" s="761"/>
      <c r="AB23" s="761"/>
      <c r="AC23" s="761"/>
      <c r="AD23" s="763">
        <f>IF(ISBLANK(VLOOKUP('Contact Information'!$A23,Input[],572,FALSE)),"",VLOOKUP('Contact Information'!$A23,Input[],572,FALSE))</f>
        <v>9793172757</v>
      </c>
      <c r="AE23" s="763"/>
      <c r="AF23" s="763"/>
      <c r="AG23" s="763"/>
      <c r="AH23" s="761" t="str">
        <f>IF(ISBLANK(VLOOKUP('Contact Information'!$A23,Input[],573,FALSE)),"",VLOOKUP('Contact Information'!$A23,Input[],573,FALSE))</f>
        <v>s-barnett@tti.tamu.edu</v>
      </c>
      <c r="AI23" s="761"/>
      <c r="AJ23" s="761"/>
      <c r="AK23" s="761"/>
      <c r="AL23" s="761"/>
      <c r="AM23" s="764"/>
      <c r="AN23" s="154"/>
    </row>
    <row r="24" spans="1:40" s="203" customFormat="1" ht="27" customHeight="1" x14ac:dyDescent="0.55000000000000004">
      <c r="A24" s="765" t="s">
        <v>66</v>
      </c>
      <c r="B24" s="758"/>
      <c r="C24" s="758"/>
      <c r="D24" s="758"/>
      <c r="E24" s="758"/>
      <c r="F24" s="758"/>
      <c r="G24" s="758"/>
      <c r="H24" s="758"/>
      <c r="I24" s="758"/>
      <c r="J24" s="766" t="str">
        <f>IF(ISBLANK(VLOOKUP('Contact Information'!$A24,Input[],568,FALSE)),"",VLOOKUP('Contact Information'!$A24,Input[],568,FALSE))</f>
        <v>Nancy Hranicky</v>
      </c>
      <c r="K24" s="766"/>
      <c r="L24" s="766"/>
      <c r="M24" s="766"/>
      <c r="N24" s="766"/>
      <c r="O24" s="767">
        <f>IF(ISBLANK(VLOOKUP('Contact Information'!$A24,Input[],569,FALSE)),"",VLOOKUP('Contact Information'!$A24,Input[],569,FALSE))</f>
        <v>9798459761</v>
      </c>
      <c r="P24" s="767"/>
      <c r="Q24" s="767"/>
      <c r="R24" s="767"/>
      <c r="S24" s="758" t="str">
        <f>IF(ISBLANK(VLOOKUP('Contact Information'!$A24,Input[],570,FALSE)),"",VLOOKUP('Contact Information'!$A24,Input[],570,FALSE))</f>
        <v>nhranicky@tamus.edu</v>
      </c>
      <c r="T24" s="758"/>
      <c r="U24" s="758"/>
      <c r="V24" s="758"/>
      <c r="W24" s="758"/>
      <c r="X24" s="758"/>
      <c r="Y24" s="758" t="str">
        <f>IF(ISBLANK(VLOOKUP('Contact Information'!$A24,Input[],571,FALSE)),"",VLOOKUP('Contact Information'!$A24,Input[],571,FALSE))</f>
        <v>Cris Sowden</v>
      </c>
      <c r="Z24" s="758"/>
      <c r="AA24" s="758"/>
      <c r="AB24" s="758"/>
      <c r="AC24" s="758"/>
      <c r="AD24" s="767">
        <f>IF(ISBLANK(VLOOKUP('Contact Information'!$A24,Input[],572,FALSE)),"",VLOOKUP('Contact Information'!$A24,Input[],572,FALSE))</f>
        <v>9794581866</v>
      </c>
      <c r="AE24" s="767"/>
      <c r="AF24" s="767"/>
      <c r="AG24" s="767"/>
      <c r="AH24" s="758" t="str">
        <f>IF(ISBLANK(VLOOKUP('Contact Information'!$A24,Input[],573,FALSE)),"",VLOOKUP('Contact Information'!$A24,Input[],573,FALSE))</f>
        <v>crisla@tamu.edu</v>
      </c>
      <c r="AI24" s="758"/>
      <c r="AJ24" s="758"/>
      <c r="AK24" s="758"/>
      <c r="AL24" s="758"/>
      <c r="AM24" s="759"/>
      <c r="AN24" s="154"/>
    </row>
    <row r="25" spans="1:40" s="203" customFormat="1" ht="27" customHeight="1" x14ac:dyDescent="0.55000000000000004">
      <c r="A25" s="760" t="s">
        <v>76</v>
      </c>
      <c r="B25" s="761"/>
      <c r="C25" s="761"/>
      <c r="D25" s="761"/>
      <c r="E25" s="761"/>
      <c r="F25" s="761"/>
      <c r="G25" s="761"/>
      <c r="H25" s="761"/>
      <c r="I25" s="761"/>
      <c r="J25" s="762" t="str">
        <f>IF(ISBLANK(VLOOKUP('Contact Information'!$A25,Input[],568,FALSE)),"",VLOOKUP('Contact Information'!$A25,Input[],568,FALSE))</f>
        <v>Nancy Hranicky</v>
      </c>
      <c r="K25" s="762"/>
      <c r="L25" s="762"/>
      <c r="M25" s="762"/>
      <c r="N25" s="762"/>
      <c r="O25" s="763">
        <f>IF(ISBLANK(VLOOKUP('Contact Information'!$A25,Input[],569,FALSE)),"",VLOOKUP('Contact Information'!$A25,Input[],569,FALSE))</f>
        <v>9798459761</v>
      </c>
      <c r="P25" s="763"/>
      <c r="Q25" s="763"/>
      <c r="R25" s="763"/>
      <c r="S25" s="761" t="str">
        <f>IF(ISBLANK(VLOOKUP('Contact Information'!$A25,Input[],570,FALSE)),"",VLOOKUP('Contact Information'!$A25,Input[],570,FALSE))</f>
        <v>nhranicky@tamus.edu</v>
      </c>
      <c r="T25" s="761"/>
      <c r="U25" s="761"/>
      <c r="V25" s="761"/>
      <c r="W25" s="761"/>
      <c r="X25" s="761"/>
      <c r="Y25" s="761" t="str">
        <f>IF(ISBLANK(VLOOKUP('Contact Information'!$A25,Input[],571,FALSE)),"",VLOOKUP('Contact Information'!$A25,Input[],571,FALSE))</f>
        <v>Danielle Clouden</v>
      </c>
      <c r="Z25" s="761"/>
      <c r="AA25" s="761"/>
      <c r="AB25" s="761"/>
      <c r="AC25" s="761"/>
      <c r="AD25" s="763">
        <f>IF(ISBLANK(VLOOKUP('Contact Information'!$A25,Input[],572,FALSE)),"",VLOOKUP('Contact Information'!$A25,Input[],572,FALSE))</f>
        <v>2545195433</v>
      </c>
      <c r="AE25" s="763"/>
      <c r="AF25" s="763"/>
      <c r="AG25" s="763"/>
      <c r="AH25" s="761" t="str">
        <f>IF(ISBLANK(VLOOKUP('Contact Information'!$A25,Input[],573,FALSE)),"",VLOOKUP('Contact Information'!$A25,Input[],573,FALSE))</f>
        <v>d.clouden@tamuct.edu</v>
      </c>
      <c r="AI25" s="761"/>
      <c r="AJ25" s="761"/>
      <c r="AK25" s="761"/>
      <c r="AL25" s="761"/>
      <c r="AM25" s="764"/>
      <c r="AN25" s="154"/>
    </row>
    <row r="26" spans="1:40" s="203" customFormat="1" ht="27" customHeight="1" x14ac:dyDescent="0.55000000000000004">
      <c r="A26" s="765" t="s">
        <v>70</v>
      </c>
      <c r="B26" s="758"/>
      <c r="C26" s="758"/>
      <c r="D26" s="758"/>
      <c r="E26" s="758"/>
      <c r="F26" s="758"/>
      <c r="G26" s="758"/>
      <c r="H26" s="758"/>
      <c r="I26" s="758"/>
      <c r="J26" s="766" t="str">
        <f>IF(ISBLANK(VLOOKUP('Contact Information'!$A26,Input[],568,FALSE)),"",VLOOKUP('Contact Information'!$A26,Input[],568,FALSE))</f>
        <v>Nancy Hranicky</v>
      </c>
      <c r="K26" s="766"/>
      <c r="L26" s="766"/>
      <c r="M26" s="766"/>
      <c r="N26" s="766"/>
      <c r="O26" s="767">
        <f>IF(ISBLANK(VLOOKUP('Contact Information'!$A26,Input[],569,FALSE)),"",VLOOKUP('Contact Information'!$A26,Input[],569,FALSE))</f>
        <v>9798459761</v>
      </c>
      <c r="P26" s="767"/>
      <c r="Q26" s="767"/>
      <c r="R26" s="767"/>
      <c r="S26" s="758" t="str">
        <f>IF(ISBLANK(VLOOKUP('Contact Information'!$A26,Input[],570,FALSE)),"",VLOOKUP('Contact Information'!$A26,Input[],570,FALSE))</f>
        <v>nhranicky@tamus.edu</v>
      </c>
      <c r="T26" s="758"/>
      <c r="U26" s="758"/>
      <c r="V26" s="758"/>
      <c r="W26" s="758"/>
      <c r="X26" s="758"/>
      <c r="Y26" s="758" t="str">
        <f>IF(ISBLANK(VLOOKUP('Contact Information'!$A26,Input[],571,FALSE)),"",VLOOKUP('Contact Information'!$A26,Input[],571,FALSE))</f>
        <v>Cassie Eyring</v>
      </c>
      <c r="Z26" s="758"/>
      <c r="AA26" s="758"/>
      <c r="AB26" s="758"/>
      <c r="AC26" s="758"/>
      <c r="AD26" s="767">
        <f>IF(ISBLANK(VLOOKUP('Contact Information'!$A26,Input[],572,FALSE)),"",VLOOKUP('Contact Information'!$A26,Input[],572,FALSE))</f>
        <v>3618255571</v>
      </c>
      <c r="AE26" s="767"/>
      <c r="AF26" s="767"/>
      <c r="AG26" s="767"/>
      <c r="AH26" s="758" t="str">
        <f>IF(ISBLANK(VLOOKUP('Contact Information'!$A26,Input[],573,FALSE)),"",VLOOKUP('Contact Information'!$A26,Input[],573,FALSE))</f>
        <v>cassie.eyring@tamucc.edu</v>
      </c>
      <c r="AI26" s="758"/>
      <c r="AJ26" s="758"/>
      <c r="AK26" s="758"/>
      <c r="AL26" s="758"/>
      <c r="AM26" s="759"/>
      <c r="AN26" s="154"/>
    </row>
    <row r="27" spans="1:40" s="203" customFormat="1" ht="27" customHeight="1" x14ac:dyDescent="0.55000000000000004">
      <c r="A27" s="760" t="s">
        <v>71</v>
      </c>
      <c r="B27" s="761"/>
      <c r="C27" s="761"/>
      <c r="D27" s="761"/>
      <c r="E27" s="761"/>
      <c r="F27" s="761"/>
      <c r="G27" s="761"/>
      <c r="H27" s="761"/>
      <c r="I27" s="761"/>
      <c r="J27" s="762" t="str">
        <f>IF(ISBLANK(VLOOKUP('Contact Information'!$A27,Input[],568,FALSE)),"",VLOOKUP('Contact Information'!$A27,Input[],568,FALSE))</f>
        <v>Nancy Hranicky</v>
      </c>
      <c r="K27" s="762"/>
      <c r="L27" s="762"/>
      <c r="M27" s="762"/>
      <c r="N27" s="762"/>
      <c r="O27" s="763">
        <f>IF(ISBLANK(VLOOKUP('Contact Information'!$A27,Input[],569,FALSE)),"",VLOOKUP('Contact Information'!$A27,Input[],569,FALSE))</f>
        <v>9798459761</v>
      </c>
      <c r="P27" s="763"/>
      <c r="Q27" s="763"/>
      <c r="R27" s="763"/>
      <c r="S27" s="761" t="str">
        <f>IF(ISBLANK(VLOOKUP('Contact Information'!$A27,Input[],570,FALSE)),"",VLOOKUP('Contact Information'!$A27,Input[],570,FALSE))</f>
        <v>nhranicky@tamus.edu</v>
      </c>
      <c r="T27" s="761"/>
      <c r="U27" s="761"/>
      <c r="V27" s="761"/>
      <c r="W27" s="761"/>
      <c r="X27" s="761"/>
      <c r="Y27" s="761" t="str">
        <f>IF(ISBLANK(VLOOKUP('Contact Information'!$A27,Input[],571,FALSE)),"",VLOOKUP('Contact Information'!$A27,Input[],571,FALSE))</f>
        <v/>
      </c>
      <c r="Z27" s="761"/>
      <c r="AA27" s="761"/>
      <c r="AB27" s="761"/>
      <c r="AC27" s="761"/>
      <c r="AD27" s="763" t="str">
        <f>IF(ISBLANK(VLOOKUP('Contact Information'!$A27,Input[],572,FALSE)),"",VLOOKUP('Contact Information'!$A27,Input[],572,FALSE))</f>
        <v/>
      </c>
      <c r="AE27" s="763"/>
      <c r="AF27" s="763"/>
      <c r="AG27" s="763"/>
      <c r="AH27" s="761" t="str">
        <f>IF(ISBLANK(VLOOKUP('Contact Information'!$A27,Input[],573,FALSE)),"",VLOOKUP('Contact Information'!$A27,Input[],573,FALSE))</f>
        <v/>
      </c>
      <c r="AI27" s="761"/>
      <c r="AJ27" s="761"/>
      <c r="AK27" s="761"/>
      <c r="AL27" s="761"/>
      <c r="AM27" s="764"/>
      <c r="AN27" s="154"/>
    </row>
    <row r="28" spans="1:40" s="203" customFormat="1" ht="27" customHeight="1" x14ac:dyDescent="0.55000000000000004">
      <c r="A28" s="765" t="s">
        <v>77</v>
      </c>
      <c r="B28" s="758"/>
      <c r="C28" s="758"/>
      <c r="D28" s="758"/>
      <c r="E28" s="758"/>
      <c r="F28" s="758"/>
      <c r="G28" s="758"/>
      <c r="H28" s="758"/>
      <c r="I28" s="758"/>
      <c r="J28" s="766" t="str">
        <f>IF(ISBLANK(VLOOKUP('Contact Information'!$A28,Input[],568,FALSE)),"",VLOOKUP('Contact Information'!$A28,Input[],568,FALSE))</f>
        <v>Carlos Martinez</v>
      </c>
      <c r="K28" s="766"/>
      <c r="L28" s="766"/>
      <c r="M28" s="766"/>
      <c r="N28" s="766"/>
      <c r="O28" s="767">
        <f>IF(ISBLANK(VLOOKUP('Contact Information'!$A28,Input[],569,FALSE)),"",VLOOKUP('Contact Information'!$A28,Input[],569,FALSE))</f>
        <v>2107842038</v>
      </c>
      <c r="P28" s="767"/>
      <c r="Q28" s="767"/>
      <c r="R28" s="767"/>
      <c r="S28" s="758" t="str">
        <f>IF(ISBLANK(VLOOKUP('Contact Information'!$A28,Input[],570,FALSE)),"",VLOOKUP('Contact Information'!$A28,Input[],570,FALSE))</f>
        <v>cmartinez5@tamusa.edu</v>
      </c>
      <c r="T28" s="758"/>
      <c r="U28" s="758"/>
      <c r="V28" s="758"/>
      <c r="W28" s="758"/>
      <c r="X28" s="758"/>
      <c r="Y28" s="758" t="str">
        <f>IF(ISBLANK(VLOOKUP('Contact Information'!$A28,Input[],571,FALSE)),"",VLOOKUP('Contact Information'!$A28,Input[],571,FALSE))</f>
        <v/>
      </c>
      <c r="Z28" s="758"/>
      <c r="AA28" s="758"/>
      <c r="AB28" s="758"/>
      <c r="AC28" s="758"/>
      <c r="AD28" s="767" t="str">
        <f>IF(ISBLANK(VLOOKUP('Contact Information'!$A28,Input[],572,FALSE)),"",VLOOKUP('Contact Information'!$A28,Input[],572,FALSE))</f>
        <v/>
      </c>
      <c r="AE28" s="767"/>
      <c r="AF28" s="767"/>
      <c r="AG28" s="767"/>
      <c r="AH28" s="758" t="str">
        <f>IF(ISBLANK(VLOOKUP('Contact Information'!$A28,Input[],573,FALSE)),"",VLOOKUP('Contact Information'!$A28,Input[],573,FALSE))</f>
        <v/>
      </c>
      <c r="AI28" s="758"/>
      <c r="AJ28" s="758"/>
      <c r="AK28" s="758"/>
      <c r="AL28" s="758"/>
      <c r="AM28" s="759"/>
      <c r="AN28" s="154"/>
    </row>
    <row r="29" spans="1:40" s="203" customFormat="1" ht="27" customHeight="1" x14ac:dyDescent="0.55000000000000004">
      <c r="A29" s="760" t="s">
        <v>75</v>
      </c>
      <c r="B29" s="761"/>
      <c r="C29" s="761"/>
      <c r="D29" s="761"/>
      <c r="E29" s="761"/>
      <c r="F29" s="761"/>
      <c r="G29" s="761"/>
      <c r="H29" s="761"/>
      <c r="I29" s="761"/>
      <c r="J29" s="762" t="str">
        <f>IF(ISBLANK(VLOOKUP('Contact Information'!$A29,Input[],568,FALSE)),"",VLOOKUP('Contact Information'!$A29,Input[],568,FALSE))</f>
        <v>Nancy Hranicky</v>
      </c>
      <c r="K29" s="762"/>
      <c r="L29" s="762"/>
      <c r="M29" s="762"/>
      <c r="N29" s="762"/>
      <c r="O29" s="763">
        <f>IF(ISBLANK(VLOOKUP('Contact Information'!$A29,Input[],569,FALSE)),"",VLOOKUP('Contact Information'!$A29,Input[],569,FALSE))</f>
        <v>9798459761</v>
      </c>
      <c r="P29" s="763"/>
      <c r="Q29" s="763"/>
      <c r="R29" s="763"/>
      <c r="S29" s="761" t="str">
        <f>IF(ISBLANK(VLOOKUP('Contact Information'!$A29,Input[],570,FALSE)),"",VLOOKUP('Contact Information'!$A29,Input[],570,FALSE))</f>
        <v>nhranicky@tamus.edu</v>
      </c>
      <c r="T29" s="761"/>
      <c r="U29" s="761"/>
      <c r="V29" s="761"/>
      <c r="W29" s="761"/>
      <c r="X29" s="761"/>
      <c r="Y29" s="761" t="str">
        <f>IF(ISBLANK(VLOOKUP('Contact Information'!$A29,Input[],571,FALSE)),"",VLOOKUP('Contact Information'!$A29,Input[],571,FALSE))</f>
        <v>Rhonda Jones</v>
      </c>
      <c r="Z29" s="761"/>
      <c r="AA29" s="761"/>
      <c r="AB29" s="761"/>
      <c r="AC29" s="761"/>
      <c r="AD29" s="763">
        <f>IF(ISBLANK(VLOOKUP('Contact Information'!$A29,Input[],572,FALSE)),"",VLOOKUP('Contact Information'!$A29,Input[],572,FALSE))</f>
        <v>9032233110</v>
      </c>
      <c r="AE29" s="763"/>
      <c r="AF29" s="763"/>
      <c r="AG29" s="763"/>
      <c r="AH29" s="761" t="str">
        <f>IF(ISBLANK(VLOOKUP('Contact Information'!$A29,Input[],573,FALSE)),"",VLOOKUP('Contact Information'!$A29,Input[],573,FALSE))</f>
        <v>rjones@tamut.edu</v>
      </c>
      <c r="AI29" s="761"/>
      <c r="AJ29" s="761"/>
      <c r="AK29" s="761"/>
      <c r="AL29" s="761"/>
      <c r="AM29" s="764"/>
      <c r="AN29" s="154"/>
    </row>
    <row r="30" spans="1:40" s="203" customFormat="1" ht="27" customHeight="1" x14ac:dyDescent="0.55000000000000004">
      <c r="A30" s="765" t="s">
        <v>67</v>
      </c>
      <c r="B30" s="758"/>
      <c r="C30" s="758"/>
      <c r="D30" s="758"/>
      <c r="E30" s="758"/>
      <c r="F30" s="758"/>
      <c r="G30" s="758"/>
      <c r="H30" s="758"/>
      <c r="I30" s="758"/>
      <c r="J30" s="766" t="str">
        <f>IF(ISBLANK(VLOOKUP('Contact Information'!$A30,Input[],568,FALSE)),"",VLOOKUP('Contact Information'!$A30,Input[],568,FALSE))</f>
        <v>Nancy Hranicky</v>
      </c>
      <c r="K30" s="766"/>
      <c r="L30" s="766"/>
      <c r="M30" s="766"/>
      <c r="N30" s="766"/>
      <c r="O30" s="767">
        <f>IF(ISBLANK(VLOOKUP('Contact Information'!$A30,Input[],569,FALSE)),"",VLOOKUP('Contact Information'!$A30,Input[],569,FALSE))</f>
        <v>9798459761</v>
      </c>
      <c r="P30" s="767"/>
      <c r="Q30" s="767"/>
      <c r="R30" s="767"/>
      <c r="S30" s="758" t="str">
        <f>IF(ISBLANK(VLOOKUP('Contact Information'!$A30,Input[],570,FALSE)),"",VLOOKUP('Contact Information'!$A30,Input[],570,FALSE))</f>
        <v>nhranicky@tamus.edu</v>
      </c>
      <c r="T30" s="758"/>
      <c r="U30" s="758"/>
      <c r="V30" s="758"/>
      <c r="W30" s="758"/>
      <c r="X30" s="758"/>
      <c r="Y30" s="758" t="str">
        <f>IF(ISBLANK(VLOOKUP('Contact Information'!$A30,Input[],571,FALSE)),"",VLOOKUP('Contact Information'!$A30,Input[],571,FALSE))</f>
        <v/>
      </c>
      <c r="Z30" s="758"/>
      <c r="AA30" s="758"/>
      <c r="AB30" s="758"/>
      <c r="AC30" s="758"/>
      <c r="AD30" s="767" t="str">
        <f>IF(ISBLANK(VLOOKUP('Contact Information'!$A30,Input[],572,FALSE)),"",VLOOKUP('Contact Information'!$A30,Input[],572,FALSE))</f>
        <v/>
      </c>
      <c r="AE30" s="767"/>
      <c r="AF30" s="767"/>
      <c r="AG30" s="767"/>
      <c r="AH30" s="758" t="str">
        <f>IF(ISBLANK(VLOOKUP('Contact Information'!$A30,Input[],573,FALSE)),"",VLOOKUP('Contact Information'!$A30,Input[],573,FALSE))</f>
        <v/>
      </c>
      <c r="AI30" s="758"/>
      <c r="AJ30" s="758"/>
      <c r="AK30" s="758"/>
      <c r="AL30" s="758"/>
      <c r="AM30" s="759"/>
      <c r="AN30" s="154"/>
    </row>
    <row r="31" spans="1:40" s="203" customFormat="1" ht="27" customHeight="1" x14ac:dyDescent="0.55000000000000004">
      <c r="A31" s="760" t="s">
        <v>711</v>
      </c>
      <c r="B31" s="761"/>
      <c r="C31" s="761"/>
      <c r="D31" s="761"/>
      <c r="E31" s="761"/>
      <c r="F31" s="761"/>
      <c r="G31" s="761"/>
      <c r="H31" s="761"/>
      <c r="I31" s="761"/>
      <c r="J31" s="762" t="str">
        <f>IF(ISBLANK(VLOOKUP('Contact Information'!$A31,Input[],568,FALSE)),"",VLOOKUP('Contact Information'!$A31,Input[],568,FALSE))</f>
        <v>Nancy Hranicky</v>
      </c>
      <c r="K31" s="762"/>
      <c r="L31" s="762"/>
      <c r="M31" s="762"/>
      <c r="N31" s="762"/>
      <c r="O31" s="763">
        <f>IF(ISBLANK(VLOOKUP('Contact Information'!$A31,Input[],569,FALSE)),"",VLOOKUP('Contact Information'!$A31,Input[],569,FALSE))</f>
        <v>9798459761</v>
      </c>
      <c r="P31" s="763"/>
      <c r="Q31" s="763"/>
      <c r="R31" s="763"/>
      <c r="S31" s="761" t="str">
        <f>IF(ISBLANK(VLOOKUP('Contact Information'!$A31,Input[],570,FALSE)),"",VLOOKUP('Contact Information'!$A31,Input[],570,FALSE))</f>
        <v>nhranicky@tamus.edu</v>
      </c>
      <c r="T31" s="761"/>
      <c r="U31" s="761"/>
      <c r="V31" s="761"/>
      <c r="W31" s="761"/>
      <c r="X31" s="761"/>
      <c r="Y31" s="761" t="str">
        <f>IF(ISBLANK(VLOOKUP('Contact Information'!$A31,Input[],571,FALSE)),"",VLOOKUP('Contact Information'!$A31,Input[],571,FALSE))</f>
        <v>Fritsche Verna</v>
      </c>
      <c r="Z31" s="761"/>
      <c r="AA31" s="761"/>
      <c r="AB31" s="761"/>
      <c r="AC31" s="761"/>
      <c r="AD31" s="763">
        <f>IF(ISBLANK(VLOOKUP('Contact Information'!$A31,Input[],572,FALSE)),"",VLOOKUP('Contact Information'!$A31,Input[],572,FALSE))</f>
        <v>9794586090</v>
      </c>
      <c r="AE31" s="763"/>
      <c r="AF31" s="763"/>
      <c r="AG31" s="763"/>
      <c r="AH31" s="761" t="str">
        <f>IF(ISBLANK(VLOOKUP('Contact Information'!$A31,Input[],573,FALSE)),"",VLOOKUP('Contact Information'!$A31,Input[],573,FALSE))</f>
        <v>vfritsche@tamus.edu</v>
      </c>
      <c r="AI31" s="761"/>
      <c r="AJ31" s="761"/>
      <c r="AK31" s="761"/>
      <c r="AL31" s="761"/>
      <c r="AM31" s="764"/>
      <c r="AN31" s="154"/>
    </row>
    <row r="32" spans="1:40" s="203" customFormat="1" ht="27" customHeight="1" x14ac:dyDescent="0.55000000000000004">
      <c r="A32" s="765" t="s">
        <v>45</v>
      </c>
      <c r="B32" s="758"/>
      <c r="C32" s="758"/>
      <c r="D32" s="758"/>
      <c r="E32" s="758"/>
      <c r="F32" s="758"/>
      <c r="G32" s="758"/>
      <c r="H32" s="758"/>
      <c r="I32" s="758"/>
      <c r="J32" s="766" t="str">
        <f>IF(ISBLANK(VLOOKUP('Contact Information'!$A32,Input[],568,FALSE)),"",VLOOKUP('Contact Information'!$A32,Input[],568,FALSE))</f>
        <v>Nancy Hranicky</v>
      </c>
      <c r="K32" s="766"/>
      <c r="L32" s="766"/>
      <c r="M32" s="766"/>
      <c r="N32" s="766"/>
      <c r="O32" s="767">
        <f>IF(ISBLANK(VLOOKUP('Contact Information'!$A32,Input[],569,FALSE)),"",VLOOKUP('Contact Information'!$A32,Input[],569,FALSE))</f>
        <v>9798459761</v>
      </c>
      <c r="P32" s="767"/>
      <c r="Q32" s="767"/>
      <c r="R32" s="767"/>
      <c r="S32" s="758" t="str">
        <f>IF(ISBLANK(VLOOKUP('Contact Information'!$A32,Input[],570,FALSE)),"",VLOOKUP('Contact Information'!$A32,Input[],570,FALSE))</f>
        <v>nhranicky@tamus.edu</v>
      </c>
      <c r="T32" s="758"/>
      <c r="U32" s="758"/>
      <c r="V32" s="758"/>
      <c r="W32" s="758"/>
      <c r="X32" s="758"/>
      <c r="Y32" s="758" t="str">
        <f>IF(ISBLANK(VLOOKUP('Contact Information'!$A32,Input[],571,FALSE)),"",VLOOKUP('Contact Information'!$A32,Input[],571,FALSE))</f>
        <v>Kristin Nace</v>
      </c>
      <c r="Z32" s="758"/>
      <c r="AA32" s="758"/>
      <c r="AB32" s="758"/>
      <c r="AC32" s="758"/>
      <c r="AD32" s="767">
        <f>IF(ISBLANK(VLOOKUP('Contact Information'!$A32,Input[],572,FALSE)),"",VLOOKUP('Contact Information'!$A32,Input[],572,FALSE))</f>
        <v>9794369228</v>
      </c>
      <c r="AE32" s="767"/>
      <c r="AF32" s="767"/>
      <c r="AG32" s="767"/>
      <c r="AH32" s="758" t="str">
        <f>IF(ISBLANK(VLOOKUP('Contact Information'!$A32,Input[],573,FALSE)),"",VLOOKUP('Contact Information'!$A32,Input[],573,FALSE))</f>
        <v>k-nace@tamu.edu</v>
      </c>
      <c r="AI32" s="758"/>
      <c r="AJ32" s="758"/>
      <c r="AK32" s="758"/>
      <c r="AL32" s="758"/>
      <c r="AM32" s="759"/>
      <c r="AN32" s="154"/>
    </row>
    <row r="33" spans="1:40" s="203" customFormat="1" ht="27" customHeight="1" x14ac:dyDescent="0.55000000000000004">
      <c r="A33" s="760" t="s">
        <v>706</v>
      </c>
      <c r="B33" s="761"/>
      <c r="C33" s="761"/>
      <c r="D33" s="761"/>
      <c r="E33" s="761"/>
      <c r="F33" s="761"/>
      <c r="G33" s="761"/>
      <c r="H33" s="761"/>
      <c r="I33" s="761"/>
      <c r="J33" s="762" t="str">
        <f>IF(ISBLANK(VLOOKUP('Contact Information'!$A33,Input[],568,FALSE)),"",VLOOKUP('Contact Information'!$A33,Input[],568,FALSE))</f>
        <v>Nancy Hranicky</v>
      </c>
      <c r="K33" s="762"/>
      <c r="L33" s="762"/>
      <c r="M33" s="762"/>
      <c r="N33" s="762"/>
      <c r="O33" s="763">
        <f>IF(ISBLANK(VLOOKUP('Contact Information'!$A33,Input[],569,FALSE)),"",VLOOKUP('Contact Information'!$A33,Input[],569,FALSE))</f>
        <v>9798459761</v>
      </c>
      <c r="P33" s="763"/>
      <c r="Q33" s="763"/>
      <c r="R33" s="763"/>
      <c r="S33" s="761" t="str">
        <f>IF(ISBLANK(VLOOKUP('Contact Information'!$A33,Input[],570,FALSE)),"",VLOOKUP('Contact Information'!$A33,Input[],570,FALSE))</f>
        <v>nhranicky@tamus.edu</v>
      </c>
      <c r="T33" s="761"/>
      <c r="U33" s="761"/>
      <c r="V33" s="761"/>
      <c r="W33" s="761"/>
      <c r="X33" s="761"/>
      <c r="Y33" s="761" t="str">
        <f>IF(ISBLANK(VLOOKUP('Contact Information'!$A33,Input[],571,FALSE)),"",VLOOKUP('Contact Information'!$A33,Input[],571,FALSE))</f>
        <v>Adrienne Person</v>
      </c>
      <c r="Z33" s="761"/>
      <c r="AA33" s="761"/>
      <c r="AB33" s="761"/>
      <c r="AC33" s="761"/>
      <c r="AD33" s="763">
        <f>IF(ISBLANK(VLOOKUP('Contact Information'!$A33,Input[],572,FALSE)),"",VLOOKUP('Contact Information'!$A33,Input[],572,FALSE))</f>
        <v>9793215529</v>
      </c>
      <c r="AE33" s="763"/>
      <c r="AF33" s="763"/>
      <c r="AG33" s="763"/>
      <c r="AH33" s="761" t="str">
        <f>IF(ISBLANK(VLOOKUP('Contact Information'!$A33,Input[],573,FALSE)),"",VLOOKUP('Contact Information'!$A33,Input[],573,FALSE))</f>
        <v>adrienne.person@tvmdl.tamu.edu</v>
      </c>
      <c r="AI33" s="761"/>
      <c r="AJ33" s="761"/>
      <c r="AK33" s="761"/>
      <c r="AL33" s="761"/>
      <c r="AM33" s="764"/>
      <c r="AN33" s="154"/>
    </row>
    <row r="34" spans="1:40" s="203" customFormat="1" ht="27" customHeight="1" x14ac:dyDescent="0.55000000000000004">
      <c r="A34" s="765" t="s">
        <v>707</v>
      </c>
      <c r="B34" s="758"/>
      <c r="C34" s="758"/>
      <c r="D34" s="758"/>
      <c r="E34" s="758"/>
      <c r="F34" s="758"/>
      <c r="G34" s="758"/>
      <c r="H34" s="758"/>
      <c r="I34" s="758"/>
      <c r="J34" s="766" t="str">
        <f>IF(ISBLANK(VLOOKUP('Contact Information'!$A34,Input[],568,FALSE)),"",VLOOKUP('Contact Information'!$A34,Input[],568,FALSE))</f>
        <v>Nancy Hranicky</v>
      </c>
      <c r="K34" s="766"/>
      <c r="L34" s="766"/>
      <c r="M34" s="766"/>
      <c r="N34" s="766"/>
      <c r="O34" s="767">
        <f>IF(ISBLANK(VLOOKUP('Contact Information'!$A34,Input[],569,FALSE)),"",VLOOKUP('Contact Information'!$A34,Input[],569,FALSE))</f>
        <v>9798459761</v>
      </c>
      <c r="P34" s="767"/>
      <c r="Q34" s="767"/>
      <c r="R34" s="767"/>
      <c r="S34" s="758" t="str">
        <f>IF(ISBLANK(VLOOKUP('Contact Information'!$A34,Input[],570,FALSE)),"",VLOOKUP('Contact Information'!$A34,Input[],570,FALSE))</f>
        <v>nhranicky@tamus.edu</v>
      </c>
      <c r="T34" s="758"/>
      <c r="U34" s="758"/>
      <c r="V34" s="758"/>
      <c r="W34" s="758"/>
      <c r="X34" s="758"/>
      <c r="Y34" s="758" t="str">
        <f>IF(ISBLANK(VLOOKUP('Contact Information'!$A34,Input[],571,FALSE)),"",VLOOKUP('Contact Information'!$A34,Input[],571,FALSE))</f>
        <v>Ashley Garmon</v>
      </c>
      <c r="Z34" s="758"/>
      <c r="AA34" s="758"/>
      <c r="AB34" s="758"/>
      <c r="AC34" s="758"/>
      <c r="AD34" s="767">
        <f>IF(ISBLANK(VLOOKUP('Contact Information'!$A34,Input[],572,FALSE)),"",VLOOKUP('Contact Information'!$A34,Input[],572,FALSE))</f>
        <v>9792552146</v>
      </c>
      <c r="AE34" s="767"/>
      <c r="AF34" s="767"/>
      <c r="AG34" s="767"/>
      <c r="AH34" s="758" t="str">
        <f>IF(ISBLANK(VLOOKUP('Contact Information'!$A34,Input[],573,FALSE)),"",VLOOKUP('Contact Information'!$A34,Input[],573,FALSE))</f>
        <v>garmon@tamu.edu</v>
      </c>
      <c r="AI34" s="758"/>
      <c r="AJ34" s="758"/>
      <c r="AK34" s="758"/>
      <c r="AL34" s="758"/>
      <c r="AM34" s="759"/>
      <c r="AN34" s="154"/>
    </row>
    <row r="35" spans="1:40" s="203" customFormat="1" ht="27" customHeight="1" x14ac:dyDescent="0.55000000000000004">
      <c r="A35" s="760" t="s">
        <v>91</v>
      </c>
      <c r="B35" s="761"/>
      <c r="C35" s="761"/>
      <c r="D35" s="761"/>
      <c r="E35" s="761"/>
      <c r="F35" s="761"/>
      <c r="G35" s="761"/>
      <c r="H35" s="761"/>
      <c r="I35" s="761"/>
      <c r="J35" s="762" t="str">
        <f>IF(ISBLANK(VLOOKUP('Contact Information'!$A35,Input[],568,FALSE)),"",VLOOKUP('Contact Information'!$A35,Input[],568,FALSE))</f>
        <v>Paula Stapleton</v>
      </c>
      <c r="K35" s="762"/>
      <c r="L35" s="762"/>
      <c r="M35" s="762"/>
      <c r="N35" s="762"/>
      <c r="O35" s="763">
        <f>IF(ISBLANK(VLOOKUP('Contact Information'!$A35,Input[],569,FALSE)),"",VLOOKUP('Contact Information'!$A35,Input[],569,FALSE))</f>
        <v>7133137197</v>
      </c>
      <c r="P35" s="763"/>
      <c r="Q35" s="763"/>
      <c r="R35" s="763"/>
      <c r="S35" s="761" t="str">
        <f>IF(ISBLANK(VLOOKUP('Contact Information'!$A35,Input[],570,FALSE)),"",VLOOKUP('Contact Information'!$A35,Input[],570,FALSE))</f>
        <v>paula.stapleton@tsu.edu</v>
      </c>
      <c r="T35" s="761"/>
      <c r="U35" s="761"/>
      <c r="V35" s="761"/>
      <c r="W35" s="761"/>
      <c r="X35" s="761"/>
      <c r="Y35" s="761" t="str">
        <f>IF(ISBLANK(VLOOKUP('Contact Information'!$A35,Input[],571,FALSE)),"",VLOOKUP('Contact Information'!$A35,Input[],571,FALSE))</f>
        <v>John Pittman</v>
      </c>
      <c r="Z35" s="761"/>
      <c r="AA35" s="761"/>
      <c r="AB35" s="761"/>
      <c r="AC35" s="761"/>
      <c r="AD35" s="763" t="str">
        <f>IF(ISBLANK(VLOOKUP('Contact Information'!$A35,Input[],572,FALSE)),"",VLOOKUP('Contact Information'!$A35,Input[],572,FALSE))</f>
        <v/>
      </c>
      <c r="AE35" s="763"/>
      <c r="AF35" s="763"/>
      <c r="AG35" s="763"/>
      <c r="AH35" s="761" t="str">
        <f>IF(ISBLANK(VLOOKUP('Contact Information'!$A35,Input[],573,FALSE)),"",VLOOKUP('Contact Information'!$A35,Input[],573,FALSE))</f>
        <v>john.pittman@tsu.edu</v>
      </c>
      <c r="AI35" s="761"/>
      <c r="AJ35" s="761"/>
      <c r="AK35" s="761"/>
      <c r="AL35" s="761"/>
      <c r="AM35" s="764"/>
      <c r="AN35" s="154"/>
    </row>
    <row r="36" spans="1:40" s="203" customFormat="1" ht="27" customHeight="1" x14ac:dyDescent="0.55000000000000004">
      <c r="A36" s="765" t="s">
        <v>715</v>
      </c>
      <c r="B36" s="758"/>
      <c r="C36" s="758"/>
      <c r="D36" s="758"/>
      <c r="E36" s="758"/>
      <c r="F36" s="758"/>
      <c r="G36" s="758"/>
      <c r="H36" s="758"/>
      <c r="I36" s="758"/>
      <c r="J36" s="766" t="str">
        <f>IF(ISBLANK(VLOOKUP('Contact Information'!$A36,Input[],568,FALSE)),"",VLOOKUP('Contact Information'!$A36,Input[],568,FALSE))</f>
        <v>James Webb</v>
      </c>
      <c r="K36" s="766"/>
      <c r="L36" s="766"/>
      <c r="M36" s="766"/>
      <c r="N36" s="766"/>
      <c r="O36" s="767">
        <f>IF(ISBLANK(VLOOKUP('Contact Information'!$A36,Input[],569,FALSE)),"",VLOOKUP('Contact Information'!$A36,Input[],569,FALSE))</f>
        <v>5124636412</v>
      </c>
      <c r="P36" s="767"/>
      <c r="Q36" s="767"/>
      <c r="R36" s="767"/>
      <c r="S36" s="758" t="str">
        <f>IF(ISBLANK(VLOOKUP('Contact Information'!$A36,Input[],570,FALSE)),"",VLOOKUP('Contact Information'!$A36,Input[],570,FALSE))</f>
        <v>james.webb@tsus.edu</v>
      </c>
      <c r="T36" s="758"/>
      <c r="U36" s="758"/>
      <c r="V36" s="758"/>
      <c r="W36" s="758"/>
      <c r="X36" s="758"/>
      <c r="Y36" s="758" t="str">
        <f>IF(ISBLANK(VLOOKUP('Contact Information'!$A36,Input[],571,FALSE)),"",VLOOKUP('Contact Information'!$A36,Input[],571,FALSE))</f>
        <v>Daniel Harper</v>
      </c>
      <c r="Z36" s="758"/>
      <c r="AA36" s="758"/>
      <c r="AB36" s="758"/>
      <c r="AC36" s="758"/>
      <c r="AD36" s="767">
        <f>IF(ISBLANK(VLOOKUP('Contact Information'!$A36,Input[],572,FALSE)),"",VLOOKUP('Contact Information'!$A36,Input[],572,FALSE))</f>
        <v>5124636449</v>
      </c>
      <c r="AE36" s="767"/>
      <c r="AF36" s="767"/>
      <c r="AG36" s="767"/>
      <c r="AH36" s="758" t="str">
        <f>IF(ISBLANK(VLOOKUP('Contact Information'!$A36,Input[],573,FALSE)),"",VLOOKUP('Contact Information'!$A36,Input[],573,FALSE))</f>
        <v>daniel.harper@tsus.edu</v>
      </c>
      <c r="AI36" s="758"/>
      <c r="AJ36" s="758"/>
      <c r="AK36" s="758"/>
      <c r="AL36" s="758"/>
      <c r="AM36" s="759"/>
      <c r="AN36" s="154"/>
    </row>
    <row r="37" spans="1:40" s="203" customFormat="1" ht="27" customHeight="1" x14ac:dyDescent="0.55000000000000004">
      <c r="A37" s="760" t="s">
        <v>57</v>
      </c>
      <c r="B37" s="761"/>
      <c r="C37" s="761"/>
      <c r="D37" s="761"/>
      <c r="E37" s="761"/>
      <c r="F37" s="761"/>
      <c r="G37" s="761"/>
      <c r="H37" s="761"/>
      <c r="I37" s="761"/>
      <c r="J37" s="762" t="str">
        <f>IF(ISBLANK(VLOOKUP('Contact Information'!$A37,Input[],568,FALSE)),"",VLOOKUP('Contact Information'!$A37,Input[],568,FALSE))</f>
        <v>Christopher Greenwood</v>
      </c>
      <c r="K37" s="762"/>
      <c r="L37" s="762"/>
      <c r="M37" s="762"/>
      <c r="N37" s="762"/>
      <c r="O37" s="763">
        <f>IF(ISBLANK(VLOOKUP('Contact Information'!$A37,Input[],569,FALSE)),"",VLOOKUP('Contact Information'!$A37,Input[],569,FALSE))</f>
        <v>2547497398</v>
      </c>
      <c r="P37" s="763"/>
      <c r="Q37" s="763"/>
      <c r="R37" s="763"/>
      <c r="S37" s="761" t="str">
        <f>IF(ISBLANK(VLOOKUP('Contact Information'!$A37,Input[],570,FALSE)),"",VLOOKUP('Contact Information'!$A37,Input[],570,FALSE))</f>
        <v>christopher.greenwood@tstc.edu</v>
      </c>
      <c r="T37" s="761"/>
      <c r="U37" s="761"/>
      <c r="V37" s="761"/>
      <c r="W37" s="761"/>
      <c r="X37" s="761"/>
      <c r="Y37" s="761" t="str">
        <f>IF(ISBLANK(VLOOKUP('Contact Information'!$A37,Input[],571,FALSE)),"",VLOOKUP('Contact Information'!$A37,Input[],571,FALSE))</f>
        <v>Anju Motwani</v>
      </c>
      <c r="Z37" s="761"/>
      <c r="AA37" s="761"/>
      <c r="AB37" s="761"/>
      <c r="AC37" s="761"/>
      <c r="AD37" s="763">
        <f>IF(ISBLANK(VLOOKUP('Contact Information'!$A37,Input[],572,FALSE)),"",VLOOKUP('Contact Information'!$A37,Input[],572,FALSE))</f>
        <v>2548673895</v>
      </c>
      <c r="AE37" s="763"/>
      <c r="AF37" s="763"/>
      <c r="AG37" s="763"/>
      <c r="AH37" s="761" t="str">
        <f>IF(ISBLANK(VLOOKUP('Contact Information'!$A37,Input[],573,FALSE)),"",VLOOKUP('Contact Information'!$A37,Input[],573,FALSE))</f>
        <v>aamotwani@tstc.edu</v>
      </c>
      <c r="AI37" s="761"/>
      <c r="AJ37" s="761"/>
      <c r="AK37" s="761"/>
      <c r="AL37" s="761"/>
      <c r="AM37" s="764"/>
      <c r="AN37" s="154"/>
    </row>
    <row r="38" spans="1:40" s="203" customFormat="1" ht="27" customHeight="1" x14ac:dyDescent="0.55000000000000004">
      <c r="A38" s="765" t="s">
        <v>52</v>
      </c>
      <c r="B38" s="758"/>
      <c r="C38" s="758"/>
      <c r="D38" s="758"/>
      <c r="E38" s="758"/>
      <c r="F38" s="758"/>
      <c r="G38" s="758"/>
      <c r="H38" s="758"/>
      <c r="I38" s="758"/>
      <c r="J38" s="766" t="str">
        <f>IF(ISBLANK(VLOOKUP('Contact Information'!$A38,Input[],568,FALSE)),"",VLOOKUP('Contact Information'!$A38,Input[],568,FALSE))</f>
        <v>Christopher Greenwood</v>
      </c>
      <c r="K38" s="766"/>
      <c r="L38" s="766"/>
      <c r="M38" s="766"/>
      <c r="N38" s="766"/>
      <c r="O38" s="767">
        <f>IF(ISBLANK(VLOOKUP('Contact Information'!$A38,Input[],569,FALSE)),"",VLOOKUP('Contact Information'!$A38,Input[],569,FALSE))</f>
        <v>2547497398</v>
      </c>
      <c r="P38" s="767"/>
      <c r="Q38" s="767"/>
      <c r="R38" s="767"/>
      <c r="S38" s="758" t="str">
        <f>IF(ISBLANK(VLOOKUP('Contact Information'!$A38,Input[],570,FALSE)),"",VLOOKUP('Contact Information'!$A38,Input[],570,FALSE))</f>
        <v>christopher.greenwood@tstc.edu</v>
      </c>
      <c r="T38" s="758"/>
      <c r="U38" s="758"/>
      <c r="V38" s="758"/>
      <c r="W38" s="758"/>
      <c r="X38" s="758"/>
      <c r="Y38" s="758" t="str">
        <f>IF(ISBLANK(VLOOKUP('Contact Information'!$A38,Input[],571,FALSE)),"",VLOOKUP('Contact Information'!$A38,Input[],571,FALSE))</f>
        <v>Anju Motwani</v>
      </c>
      <c r="Z38" s="758"/>
      <c r="AA38" s="758"/>
      <c r="AB38" s="758"/>
      <c r="AC38" s="758"/>
      <c r="AD38" s="767">
        <f>IF(ISBLANK(VLOOKUP('Contact Information'!$A38,Input[],572,FALSE)),"",VLOOKUP('Contact Information'!$A38,Input[],572,FALSE))</f>
        <v>2548673895</v>
      </c>
      <c r="AE38" s="767"/>
      <c r="AF38" s="767"/>
      <c r="AG38" s="767"/>
      <c r="AH38" s="758" t="str">
        <f>IF(ISBLANK(VLOOKUP('Contact Information'!$A38,Input[],573,FALSE)),"",VLOOKUP('Contact Information'!$A38,Input[],573,FALSE))</f>
        <v>aamotwani@tstc.edu</v>
      </c>
      <c r="AI38" s="758"/>
      <c r="AJ38" s="758"/>
      <c r="AK38" s="758"/>
      <c r="AL38" s="758"/>
      <c r="AM38" s="759"/>
      <c r="AN38" s="154"/>
    </row>
    <row r="39" spans="1:40" s="203" customFormat="1" ht="27" customHeight="1" x14ac:dyDescent="0.55000000000000004">
      <c r="A39" s="760" t="s">
        <v>54</v>
      </c>
      <c r="B39" s="761"/>
      <c r="C39" s="761"/>
      <c r="D39" s="761"/>
      <c r="E39" s="761"/>
      <c r="F39" s="761"/>
      <c r="G39" s="761"/>
      <c r="H39" s="761"/>
      <c r="I39" s="761"/>
      <c r="J39" s="762" t="str">
        <f>IF(ISBLANK(VLOOKUP('Contact Information'!$A39,Input[],568,FALSE)),"",VLOOKUP('Contact Information'!$A39,Input[],568,FALSE))</f>
        <v>Christopher Greenwood</v>
      </c>
      <c r="K39" s="762"/>
      <c r="L39" s="762"/>
      <c r="M39" s="762"/>
      <c r="N39" s="762"/>
      <c r="O39" s="763">
        <f>IF(ISBLANK(VLOOKUP('Contact Information'!$A39,Input[],569,FALSE)),"",VLOOKUP('Contact Information'!$A39,Input[],569,FALSE))</f>
        <v>2547497398</v>
      </c>
      <c r="P39" s="763"/>
      <c r="Q39" s="763"/>
      <c r="R39" s="763"/>
      <c r="S39" s="761" t="str">
        <f>IF(ISBLANK(VLOOKUP('Contact Information'!$A39,Input[],570,FALSE)),"",VLOOKUP('Contact Information'!$A39,Input[],570,FALSE))</f>
        <v>christopher.greenwood@tstc.edu</v>
      </c>
      <c r="T39" s="761"/>
      <c r="U39" s="761"/>
      <c r="V39" s="761"/>
      <c r="W39" s="761"/>
      <c r="X39" s="761"/>
      <c r="Y39" s="761" t="str">
        <f>IF(ISBLANK(VLOOKUP('Contact Information'!$A39,Input[],571,FALSE)),"",VLOOKUP('Contact Information'!$A39,Input[],571,FALSE))</f>
        <v>Anju Motwani</v>
      </c>
      <c r="Z39" s="761"/>
      <c r="AA39" s="761"/>
      <c r="AB39" s="761"/>
      <c r="AC39" s="761"/>
      <c r="AD39" s="763">
        <f>IF(ISBLANK(VLOOKUP('Contact Information'!$A39,Input[],572,FALSE)),"",VLOOKUP('Contact Information'!$A39,Input[],572,FALSE))</f>
        <v>2548673895</v>
      </c>
      <c r="AE39" s="763"/>
      <c r="AF39" s="763"/>
      <c r="AG39" s="763"/>
      <c r="AH39" s="761" t="str">
        <f>IF(ISBLANK(VLOOKUP('Contact Information'!$A39,Input[],573,FALSE)),"",VLOOKUP('Contact Information'!$A39,Input[],573,FALSE))</f>
        <v>aamotwani@tstc.edu</v>
      </c>
      <c r="AI39" s="761"/>
      <c r="AJ39" s="761"/>
      <c r="AK39" s="761"/>
      <c r="AL39" s="761"/>
      <c r="AM39" s="764"/>
      <c r="AN39" s="154"/>
    </row>
    <row r="40" spans="1:40" s="203" customFormat="1" ht="27" customHeight="1" x14ac:dyDescent="0.55000000000000004">
      <c r="A40" s="765" t="s">
        <v>56</v>
      </c>
      <c r="B40" s="758"/>
      <c r="C40" s="758"/>
      <c r="D40" s="758"/>
      <c r="E40" s="758"/>
      <c r="F40" s="758"/>
      <c r="G40" s="758"/>
      <c r="H40" s="758"/>
      <c r="I40" s="758"/>
      <c r="J40" s="766" t="str">
        <f>IF(ISBLANK(VLOOKUP('Contact Information'!$A40,Input[],568,FALSE)),"",VLOOKUP('Contact Information'!$A40,Input[],568,FALSE))</f>
        <v>Christopher Greenwood</v>
      </c>
      <c r="K40" s="766"/>
      <c r="L40" s="766"/>
      <c r="M40" s="766"/>
      <c r="N40" s="766"/>
      <c r="O40" s="767">
        <f>IF(ISBLANK(VLOOKUP('Contact Information'!$A40,Input[],569,FALSE)),"",VLOOKUP('Contact Information'!$A40,Input[],569,FALSE))</f>
        <v>2547497398</v>
      </c>
      <c r="P40" s="767"/>
      <c r="Q40" s="767"/>
      <c r="R40" s="767"/>
      <c r="S40" s="758" t="str">
        <f>IF(ISBLANK(VLOOKUP('Contact Information'!$A40,Input[],570,FALSE)),"",VLOOKUP('Contact Information'!$A40,Input[],570,FALSE))</f>
        <v>christopher.greenwood@tstc.edu</v>
      </c>
      <c r="T40" s="758"/>
      <c r="U40" s="758"/>
      <c r="V40" s="758"/>
      <c r="W40" s="758"/>
      <c r="X40" s="758"/>
      <c r="Y40" s="758" t="str">
        <f>IF(ISBLANK(VLOOKUP('Contact Information'!$A40,Input[],571,FALSE)),"",VLOOKUP('Contact Information'!$A40,Input[],571,FALSE))</f>
        <v>Anju Motwani</v>
      </c>
      <c r="Z40" s="758"/>
      <c r="AA40" s="758"/>
      <c r="AB40" s="758"/>
      <c r="AC40" s="758"/>
      <c r="AD40" s="767">
        <f>IF(ISBLANK(VLOOKUP('Contact Information'!$A40,Input[],572,FALSE)),"",VLOOKUP('Contact Information'!$A40,Input[],572,FALSE))</f>
        <v>2548673895</v>
      </c>
      <c r="AE40" s="767"/>
      <c r="AF40" s="767"/>
      <c r="AG40" s="767"/>
      <c r="AH40" s="758" t="str">
        <f>IF(ISBLANK(VLOOKUP('Contact Information'!$A40,Input[],573,FALSE)),"",VLOOKUP('Contact Information'!$A40,Input[],573,FALSE))</f>
        <v>aamotwani@tstc.edu</v>
      </c>
      <c r="AI40" s="758"/>
      <c r="AJ40" s="758"/>
      <c r="AK40" s="758"/>
      <c r="AL40" s="758"/>
      <c r="AM40" s="759"/>
      <c r="AN40" s="154"/>
    </row>
    <row r="41" spans="1:40" s="203" customFormat="1" ht="27" customHeight="1" x14ac:dyDescent="0.55000000000000004">
      <c r="A41" s="760" t="s">
        <v>55</v>
      </c>
      <c r="B41" s="761"/>
      <c r="C41" s="761"/>
      <c r="D41" s="761"/>
      <c r="E41" s="761"/>
      <c r="F41" s="761"/>
      <c r="G41" s="761"/>
      <c r="H41" s="761"/>
      <c r="I41" s="761"/>
      <c r="J41" s="762" t="str">
        <f>IF(ISBLANK(VLOOKUP('Contact Information'!$A41,Input[],568,FALSE)),"",VLOOKUP('Contact Information'!$A41,Input[],568,FALSE))</f>
        <v>Christopher Greenwood</v>
      </c>
      <c r="K41" s="762"/>
      <c r="L41" s="762"/>
      <c r="M41" s="762"/>
      <c r="N41" s="762"/>
      <c r="O41" s="763">
        <f>IF(ISBLANK(VLOOKUP('Contact Information'!$A41,Input[],569,FALSE)),"",VLOOKUP('Contact Information'!$A41,Input[],569,FALSE))</f>
        <v>2547497398</v>
      </c>
      <c r="P41" s="763"/>
      <c r="Q41" s="763"/>
      <c r="R41" s="763"/>
      <c r="S41" s="761" t="str">
        <f>IF(ISBLANK(VLOOKUP('Contact Information'!$A41,Input[],570,FALSE)),"",VLOOKUP('Contact Information'!$A41,Input[],570,FALSE))</f>
        <v>christopher.greenwood@tstc.edu</v>
      </c>
      <c r="T41" s="761"/>
      <c r="U41" s="761"/>
      <c r="V41" s="761"/>
      <c r="W41" s="761"/>
      <c r="X41" s="761"/>
      <c r="Y41" s="761" t="str">
        <f>IF(ISBLANK(VLOOKUP('Contact Information'!$A41,Input[],571,FALSE)),"",VLOOKUP('Contact Information'!$A41,Input[],571,FALSE))</f>
        <v>Anju Motwani</v>
      </c>
      <c r="Z41" s="761"/>
      <c r="AA41" s="761"/>
      <c r="AB41" s="761"/>
      <c r="AC41" s="761"/>
      <c r="AD41" s="763">
        <f>IF(ISBLANK(VLOOKUP('Contact Information'!$A41,Input[],572,FALSE)),"",VLOOKUP('Contact Information'!$A41,Input[],572,FALSE))</f>
        <v>2548673895</v>
      </c>
      <c r="AE41" s="763"/>
      <c r="AF41" s="763"/>
      <c r="AG41" s="763"/>
      <c r="AH41" s="761" t="str">
        <f>IF(ISBLANK(VLOOKUP('Contact Information'!$A41,Input[],573,FALSE)),"",VLOOKUP('Contact Information'!$A41,Input[],573,FALSE))</f>
        <v>aamotwani@tstc.edu</v>
      </c>
      <c r="AI41" s="761"/>
      <c r="AJ41" s="761"/>
      <c r="AK41" s="761"/>
      <c r="AL41" s="761"/>
      <c r="AM41" s="764"/>
      <c r="AN41" s="154"/>
    </row>
    <row r="42" spans="1:40" s="203" customFormat="1" ht="27" customHeight="1" x14ac:dyDescent="0.55000000000000004">
      <c r="A42" s="765" t="s">
        <v>53</v>
      </c>
      <c r="B42" s="758"/>
      <c r="C42" s="758"/>
      <c r="D42" s="758"/>
      <c r="E42" s="758"/>
      <c r="F42" s="758"/>
      <c r="G42" s="758"/>
      <c r="H42" s="758"/>
      <c r="I42" s="758"/>
      <c r="J42" s="766" t="str">
        <f>IF(ISBLANK(VLOOKUP('Contact Information'!$A42,Input[],568,FALSE)),"",VLOOKUP('Contact Information'!$A42,Input[],568,FALSE))</f>
        <v>Christopher Greenwood</v>
      </c>
      <c r="K42" s="766"/>
      <c r="L42" s="766"/>
      <c r="M42" s="766"/>
      <c r="N42" s="766"/>
      <c r="O42" s="767">
        <f>IF(ISBLANK(VLOOKUP('Contact Information'!$A42,Input[],569,FALSE)),"",VLOOKUP('Contact Information'!$A42,Input[],569,FALSE))</f>
        <v>2547497398</v>
      </c>
      <c r="P42" s="767"/>
      <c r="Q42" s="767"/>
      <c r="R42" s="767"/>
      <c r="S42" s="758" t="str">
        <f>IF(ISBLANK(VLOOKUP('Contact Information'!$A42,Input[],570,FALSE)),"",VLOOKUP('Contact Information'!$A42,Input[],570,FALSE))</f>
        <v>christopher.greenwood@tstc.edu</v>
      </c>
      <c r="T42" s="758"/>
      <c r="U42" s="758"/>
      <c r="V42" s="758"/>
      <c r="W42" s="758"/>
      <c r="X42" s="758"/>
      <c r="Y42" s="758" t="str">
        <f>IF(ISBLANK(VLOOKUP('Contact Information'!$A42,Input[],571,FALSE)),"",VLOOKUP('Contact Information'!$A42,Input[],571,FALSE))</f>
        <v>Anju Motwani</v>
      </c>
      <c r="Z42" s="758"/>
      <c r="AA42" s="758"/>
      <c r="AB42" s="758"/>
      <c r="AC42" s="758"/>
      <c r="AD42" s="767">
        <f>IF(ISBLANK(VLOOKUP('Contact Information'!$A42,Input[],572,FALSE)),"",VLOOKUP('Contact Information'!$A42,Input[],572,FALSE))</f>
        <v>2548673895</v>
      </c>
      <c r="AE42" s="767"/>
      <c r="AF42" s="767"/>
      <c r="AG42" s="767"/>
      <c r="AH42" s="758" t="str">
        <f>IF(ISBLANK(VLOOKUP('Contact Information'!$A42,Input[],573,FALSE)),"",VLOOKUP('Contact Information'!$A42,Input[],573,FALSE))</f>
        <v>aamotwani@tstc.edu</v>
      </c>
      <c r="AI42" s="758"/>
      <c r="AJ42" s="758"/>
      <c r="AK42" s="758"/>
      <c r="AL42" s="758"/>
      <c r="AM42" s="759"/>
      <c r="AN42" s="154"/>
    </row>
    <row r="43" spans="1:40" s="203" customFormat="1" ht="27" customHeight="1" x14ac:dyDescent="0.55000000000000004">
      <c r="A43" s="760" t="s">
        <v>1621</v>
      </c>
      <c r="B43" s="761"/>
      <c r="C43" s="761"/>
      <c r="D43" s="761"/>
      <c r="E43" s="761"/>
      <c r="F43" s="761"/>
      <c r="G43" s="761"/>
      <c r="H43" s="761"/>
      <c r="I43" s="761"/>
      <c r="J43" s="762" t="str">
        <f>IF(ISBLANK(VLOOKUP('Contact Information'!$A43,Input[],568,FALSE)),"",VLOOKUP('Contact Information'!$A43,Input[],568,FALSE))</f>
        <v>Christopher Greenwood</v>
      </c>
      <c r="K43" s="762"/>
      <c r="L43" s="762"/>
      <c r="M43" s="762"/>
      <c r="N43" s="762"/>
      <c r="O43" s="763">
        <f>IF(ISBLANK(VLOOKUP('Contact Information'!$A43,Input[],569,FALSE)),"",VLOOKUP('Contact Information'!$A43,Input[],569,FALSE))</f>
        <v>2547497398</v>
      </c>
      <c r="P43" s="763"/>
      <c r="Q43" s="763"/>
      <c r="R43" s="763"/>
      <c r="S43" s="761" t="str">
        <f>IF(ISBLANK(VLOOKUP('Contact Information'!$A43,Input[],570,FALSE)),"",VLOOKUP('Contact Information'!$A43,Input[],570,FALSE))</f>
        <v>christopher.greenwood@tstc.edu</v>
      </c>
      <c r="T43" s="761"/>
      <c r="U43" s="761"/>
      <c r="V43" s="761"/>
      <c r="W43" s="761"/>
      <c r="X43" s="761"/>
      <c r="Y43" s="761" t="str">
        <f>IF(ISBLANK(VLOOKUP('Contact Information'!$A43,Input[],571,FALSE)),"",VLOOKUP('Contact Information'!$A43,Input[],571,FALSE))</f>
        <v>Anju Motwani</v>
      </c>
      <c r="Z43" s="761"/>
      <c r="AA43" s="761"/>
      <c r="AB43" s="761"/>
      <c r="AC43" s="761"/>
      <c r="AD43" s="763">
        <f>IF(ISBLANK(VLOOKUP('Contact Information'!$A43,Input[],572,FALSE)),"",VLOOKUP('Contact Information'!$A43,Input[],572,FALSE))</f>
        <v>2548673895</v>
      </c>
      <c r="AE43" s="763"/>
      <c r="AF43" s="763"/>
      <c r="AG43" s="763"/>
      <c r="AH43" s="761" t="str">
        <f>IF(ISBLANK(VLOOKUP('Contact Information'!$A43,Input[],573,FALSE)),"",VLOOKUP('Contact Information'!$A43,Input[],573,FALSE))</f>
        <v>aamotwani@tstc.edu</v>
      </c>
      <c r="AI43" s="761"/>
      <c r="AJ43" s="761"/>
      <c r="AK43" s="761"/>
      <c r="AL43" s="761"/>
      <c r="AM43" s="764"/>
      <c r="AN43" s="154"/>
    </row>
    <row r="44" spans="1:40" s="203" customFormat="1" ht="27" customHeight="1" x14ac:dyDescent="0.55000000000000004">
      <c r="A44" s="765" t="s">
        <v>83</v>
      </c>
      <c r="B44" s="758"/>
      <c r="C44" s="758"/>
      <c r="D44" s="758"/>
      <c r="E44" s="758"/>
      <c r="F44" s="758"/>
      <c r="G44" s="758"/>
      <c r="H44" s="758"/>
      <c r="I44" s="758"/>
      <c r="J44" s="766" t="str">
        <f>IF(ISBLANK(VLOOKUP('Contact Information'!$A44,Input[],568,FALSE)),"",VLOOKUP('Contact Information'!$A44,Input[],568,FALSE))</f>
        <v>Cindy Haley</v>
      </c>
      <c r="K44" s="766"/>
      <c r="L44" s="766"/>
      <c r="M44" s="766"/>
      <c r="N44" s="766"/>
      <c r="O44" s="767">
        <f>IF(ISBLANK(VLOOKUP('Contact Information'!$A44,Input[],569,FALSE)),"",VLOOKUP('Contact Information'!$A44,Input[],569,FALSE))</f>
        <v>5122452087</v>
      </c>
      <c r="P44" s="767"/>
      <c r="Q44" s="767"/>
      <c r="R44" s="767"/>
      <c r="S44" s="758" t="str">
        <f>IF(ISBLANK(VLOOKUP('Contact Information'!$A44,Input[],570,FALSE)),"",VLOOKUP('Contact Information'!$A44,Input[],570,FALSE))</f>
        <v>cindy.haley@txstate.edu</v>
      </c>
      <c r="T44" s="758"/>
      <c r="U44" s="758"/>
      <c r="V44" s="758"/>
      <c r="W44" s="758"/>
      <c r="X44" s="758"/>
      <c r="Y44" s="758" t="str">
        <f>IF(ISBLANK(VLOOKUP('Contact Information'!$A44,Input[],571,FALSE)),"",VLOOKUP('Contact Information'!$A44,Input[],571,FALSE))</f>
        <v>Elizabeth Longoria-Cardenas</v>
      </c>
      <c r="Z44" s="758"/>
      <c r="AA44" s="758"/>
      <c r="AB44" s="758"/>
      <c r="AC44" s="758"/>
      <c r="AD44" s="767">
        <f>IF(ISBLANK(VLOOKUP('Contact Information'!$A44,Input[],572,FALSE)),"",VLOOKUP('Contact Information'!$A44,Input[],572,FALSE))</f>
        <v>5122452776</v>
      </c>
      <c r="AE44" s="767"/>
      <c r="AF44" s="767"/>
      <c r="AG44" s="767"/>
      <c r="AH44" s="758" t="str">
        <f>IF(ISBLANK(VLOOKUP('Contact Information'!$A44,Input[],573,FALSE)),"",VLOOKUP('Contact Information'!$A44,Input[],573,FALSE))</f>
        <v>ec1217@txstate.edu</v>
      </c>
      <c r="AI44" s="758"/>
      <c r="AJ44" s="758"/>
      <c r="AK44" s="758"/>
      <c r="AL44" s="758"/>
      <c r="AM44" s="759"/>
      <c r="AN44" s="154"/>
    </row>
    <row r="45" spans="1:40" s="203" customFormat="1" ht="27" customHeight="1" x14ac:dyDescent="0.55000000000000004">
      <c r="A45" s="760" t="s">
        <v>85</v>
      </c>
      <c r="B45" s="761"/>
      <c r="C45" s="761"/>
      <c r="D45" s="761"/>
      <c r="E45" s="761"/>
      <c r="F45" s="761"/>
      <c r="G45" s="761"/>
      <c r="H45" s="761"/>
      <c r="I45" s="761"/>
      <c r="J45" s="762" t="str">
        <f>IF(ISBLANK(VLOOKUP('Contact Information'!$A45,Input[],568,FALSE)),"",VLOOKUP('Contact Information'!$A45,Input[],568,FALSE))</f>
        <v>Lori Eppler</v>
      </c>
      <c r="K45" s="762"/>
      <c r="L45" s="762"/>
      <c r="M45" s="762"/>
      <c r="N45" s="762"/>
      <c r="O45" s="763">
        <f>IF(ISBLANK(VLOOKUP('Contact Information'!$A45,Input[],569,FALSE)),"",VLOOKUP('Contact Information'!$A45,Input[],569,FALSE))</f>
        <v>8068344640</v>
      </c>
      <c r="P45" s="763"/>
      <c r="Q45" s="763"/>
      <c r="R45" s="763"/>
      <c r="S45" s="761" t="str">
        <f>IF(ISBLANK(VLOOKUP('Contact Information'!$A45,Input[],570,FALSE)),"",VLOOKUP('Contact Information'!$A45,Input[],570,FALSE))</f>
        <v>lori.eppler@ttu.edu</v>
      </c>
      <c r="T45" s="761"/>
      <c r="U45" s="761"/>
      <c r="V45" s="761"/>
      <c r="W45" s="761"/>
      <c r="X45" s="761"/>
      <c r="Y45" s="761" t="str">
        <f>IF(ISBLANK(VLOOKUP('Contact Information'!$A45,Input[],571,FALSE)),"",VLOOKUP('Contact Information'!$A45,Input[],571,FALSE))</f>
        <v>Eric Fisher</v>
      </c>
      <c r="Z45" s="761"/>
      <c r="AA45" s="761"/>
      <c r="AB45" s="761"/>
      <c r="AC45" s="761"/>
      <c r="AD45" s="763">
        <f>IF(ISBLANK(VLOOKUP('Contact Information'!$A45,Input[],572,FALSE)),"",VLOOKUP('Contact Information'!$A45,Input[],572,FALSE))</f>
        <v>8068344713</v>
      </c>
      <c r="AE45" s="763"/>
      <c r="AF45" s="763"/>
      <c r="AG45" s="763"/>
      <c r="AH45" s="761" t="str">
        <f>IF(ISBLANK(VLOOKUP('Contact Information'!$A45,Input[],573,FALSE)),"",VLOOKUP('Contact Information'!$A45,Input[],573,FALSE))</f>
        <v>eric.fisher@ttu.edu</v>
      </c>
      <c r="AI45" s="761"/>
      <c r="AJ45" s="761"/>
      <c r="AK45" s="761"/>
      <c r="AL45" s="761"/>
      <c r="AM45" s="764"/>
      <c r="AN45" s="154"/>
    </row>
    <row r="46" spans="1:40" s="203" customFormat="1" ht="27" customHeight="1" x14ac:dyDescent="0.55000000000000004">
      <c r="A46" s="765" t="s">
        <v>47</v>
      </c>
      <c r="B46" s="758"/>
      <c r="C46" s="758"/>
      <c r="D46" s="758"/>
      <c r="E46" s="758"/>
      <c r="F46" s="758"/>
      <c r="G46" s="758"/>
      <c r="H46" s="758"/>
      <c r="I46" s="758"/>
      <c r="J46" s="766" t="str">
        <f>IF(ISBLANK(VLOOKUP('Contact Information'!$A46,Input[],568,FALSE)),"",VLOOKUP('Contact Information'!$A46,Input[],568,FALSE))</f>
        <v>Rebecca Aguilar</v>
      </c>
      <c r="K46" s="766"/>
      <c r="L46" s="766"/>
      <c r="M46" s="766"/>
      <c r="N46" s="766"/>
      <c r="O46" s="767">
        <f>IF(ISBLANK(VLOOKUP('Contact Information'!$A46,Input[],569,FALSE)),"",VLOOKUP('Contact Information'!$A46,Input[],569,FALSE))</f>
        <v>8067437381</v>
      </c>
      <c r="P46" s="767"/>
      <c r="Q46" s="767"/>
      <c r="R46" s="767"/>
      <c r="S46" s="758" t="str">
        <f>IF(ISBLANK(VLOOKUP('Contact Information'!$A46,Input[],570,FALSE)),"",VLOOKUP('Contact Information'!$A46,Input[],570,FALSE))</f>
        <v>rebecca.aguilar@ttuhsc.edu</v>
      </c>
      <c r="T46" s="758"/>
      <c r="U46" s="758"/>
      <c r="V46" s="758"/>
      <c r="W46" s="758"/>
      <c r="X46" s="758"/>
      <c r="Y46" s="758" t="str">
        <f>IF(ISBLANK(VLOOKUP('Contact Information'!$A46,Input[],571,FALSE)),"",VLOOKUP('Contact Information'!$A46,Input[],571,FALSE))</f>
        <v>M'Lyn Hefner</v>
      </c>
      <c r="Z46" s="758"/>
      <c r="AA46" s="758"/>
      <c r="AB46" s="758"/>
      <c r="AC46" s="758"/>
      <c r="AD46" s="767">
        <f>IF(ISBLANK(VLOOKUP('Contact Information'!$A46,Input[],572,FALSE)),"",VLOOKUP('Contact Information'!$A46,Input[],572,FALSE))</f>
        <v>8067437826</v>
      </c>
      <c r="AE46" s="767"/>
      <c r="AF46" s="767"/>
      <c r="AG46" s="767"/>
      <c r="AH46" s="758" t="str">
        <f>IF(ISBLANK(VLOOKUP('Contact Information'!$A46,Input[],573,FALSE)),"",VLOOKUP('Contact Information'!$A46,Input[],573,FALSE))</f>
        <v>mlyn.hefner@ttuhsc.edu</v>
      </c>
      <c r="AI46" s="758"/>
      <c r="AJ46" s="758"/>
      <c r="AK46" s="758"/>
      <c r="AL46" s="758"/>
      <c r="AM46" s="759"/>
      <c r="AN46" s="154"/>
    </row>
    <row r="47" spans="1:40" s="203" customFormat="1" ht="27" customHeight="1" x14ac:dyDescent="0.55000000000000004">
      <c r="A47" s="760" t="s">
        <v>48</v>
      </c>
      <c r="B47" s="761"/>
      <c r="C47" s="761"/>
      <c r="D47" s="761"/>
      <c r="E47" s="761"/>
      <c r="F47" s="761"/>
      <c r="G47" s="761"/>
      <c r="H47" s="761"/>
      <c r="I47" s="761"/>
      <c r="J47" s="762" t="str">
        <f>IF(ISBLANK(VLOOKUP('Contact Information'!$A47,Input[],568,FALSE)),"",VLOOKUP('Contact Information'!$A47,Input[],568,FALSE))</f>
        <v xml:space="preserve">Cynthia Blessing Washington </v>
      </c>
      <c r="K47" s="762"/>
      <c r="L47" s="762"/>
      <c r="M47" s="762"/>
      <c r="N47" s="762"/>
      <c r="O47" s="763">
        <f>IF(ISBLANK(VLOOKUP('Contact Information'!$A47,Input[],569,FALSE)),"",VLOOKUP('Contact Information'!$A47,Input[],569,FALSE))</f>
        <v>9152155381</v>
      </c>
      <c r="P47" s="763"/>
      <c r="Q47" s="763"/>
      <c r="R47" s="763"/>
      <c r="S47" s="761" t="str">
        <f>IF(ISBLANK(VLOOKUP('Contact Information'!$A47,Input[],570,FALSE)),"",VLOOKUP('Contact Information'!$A47,Input[],570,FALSE))</f>
        <v>cblessin@ttuhsc.edu</v>
      </c>
      <c r="T47" s="761"/>
      <c r="U47" s="761"/>
      <c r="V47" s="761"/>
      <c r="W47" s="761"/>
      <c r="X47" s="761"/>
      <c r="Y47" s="761" t="str">
        <f>IF(ISBLANK(VLOOKUP('Contact Information'!$A47,Input[],571,FALSE)),"",VLOOKUP('Contact Information'!$A47,Input[],571,FALSE))</f>
        <v>Octavio Bustillos</v>
      </c>
      <c r="Z47" s="761"/>
      <c r="AA47" s="761"/>
      <c r="AB47" s="761"/>
      <c r="AC47" s="761"/>
      <c r="AD47" s="763">
        <f>IF(ISBLANK(VLOOKUP('Contact Information'!$A47,Input[],572,FALSE)),"",VLOOKUP('Contact Information'!$A47,Input[],572,FALSE))</f>
        <v>9152154211</v>
      </c>
      <c r="AE47" s="763"/>
      <c r="AF47" s="763"/>
      <c r="AG47" s="763"/>
      <c r="AH47" s="761" t="str">
        <f>IF(ISBLANK(VLOOKUP('Contact Information'!$A47,Input[],573,FALSE)),"",VLOOKUP('Contact Information'!$A47,Input[],573,FALSE))</f>
        <v>obustill@ttuhsc.edu</v>
      </c>
      <c r="AI47" s="761"/>
      <c r="AJ47" s="761"/>
      <c r="AK47" s="761"/>
      <c r="AL47" s="761"/>
      <c r="AM47" s="764"/>
      <c r="AN47" s="154"/>
    </row>
    <row r="48" spans="1:40" s="203" customFormat="1" ht="27" customHeight="1" x14ac:dyDescent="0.55000000000000004">
      <c r="A48" s="765" t="s">
        <v>717</v>
      </c>
      <c r="B48" s="758"/>
      <c r="C48" s="758"/>
      <c r="D48" s="758"/>
      <c r="E48" s="758"/>
      <c r="F48" s="758"/>
      <c r="G48" s="758"/>
      <c r="H48" s="758"/>
      <c r="I48" s="758"/>
      <c r="J48" s="766" t="str">
        <f>IF(ISBLANK(VLOOKUP('Contact Information'!$A48,Input[],568,FALSE)),"",VLOOKUP('Contact Information'!$A48,Input[],568,FALSE))</f>
        <v>Mallory Barnes</v>
      </c>
      <c r="K48" s="766"/>
      <c r="L48" s="766"/>
      <c r="M48" s="766"/>
      <c r="N48" s="766"/>
      <c r="O48" s="767">
        <f>IF(ISBLANK(VLOOKUP('Contact Information'!$A48,Input[],569,FALSE)),"",VLOOKUP('Contact Information'!$A48,Input[],569,FALSE))</f>
        <v>8068346101</v>
      </c>
      <c r="P48" s="767"/>
      <c r="Q48" s="767"/>
      <c r="R48" s="767"/>
      <c r="S48" s="758" t="str">
        <f>IF(ISBLANK(VLOOKUP('Contact Information'!$A48,Input[],570,FALSE)),"",VLOOKUP('Contact Information'!$A48,Input[],570,FALSE))</f>
        <v>mallory.barnes@ttu.edu</v>
      </c>
      <c r="T48" s="758"/>
      <c r="U48" s="758"/>
      <c r="V48" s="758"/>
      <c r="W48" s="758"/>
      <c r="X48" s="758"/>
      <c r="Y48" s="758" t="str">
        <f>IF(ISBLANK(VLOOKUP('Contact Information'!$A48,Input[],571,FALSE)),"",VLOOKUP('Contact Information'!$A48,Input[],571,FALSE))</f>
        <v>Chrissy Morris</v>
      </c>
      <c r="Z48" s="758"/>
      <c r="AA48" s="758"/>
      <c r="AB48" s="758"/>
      <c r="AC48" s="758"/>
      <c r="AD48" s="767">
        <f>IF(ISBLANK(VLOOKUP('Contact Information'!$A48,Input[],572,FALSE)),"",VLOOKUP('Contact Information'!$A48,Input[],572,FALSE))</f>
        <v>8068346020</v>
      </c>
      <c r="AE48" s="767"/>
      <c r="AF48" s="767"/>
      <c r="AG48" s="767"/>
      <c r="AH48" s="758" t="str">
        <f>IF(ISBLANK(VLOOKUP('Contact Information'!$A48,Input[],573,FALSE)),"",VLOOKUP('Contact Information'!$A48,Input[],573,FALSE))</f>
        <v>chrissy.morris@ttu.edu</v>
      </c>
      <c r="AI48" s="758"/>
      <c r="AJ48" s="758"/>
      <c r="AK48" s="758"/>
      <c r="AL48" s="758"/>
      <c r="AM48" s="759"/>
      <c r="AN48" s="154"/>
    </row>
    <row r="49" spans="1:40" s="203" customFormat="1" ht="27" customHeight="1" x14ac:dyDescent="0.55000000000000004">
      <c r="A49" s="760" t="s">
        <v>92</v>
      </c>
      <c r="B49" s="761"/>
      <c r="C49" s="761"/>
      <c r="D49" s="761"/>
      <c r="E49" s="761"/>
      <c r="F49" s="761"/>
      <c r="G49" s="761"/>
      <c r="H49" s="761"/>
      <c r="I49" s="761"/>
      <c r="J49" s="762" t="str">
        <f>IF(ISBLANK(VLOOKUP('Contact Information'!$A49,Input[],568,FALSE)),"",VLOOKUP('Contact Information'!$A49,Input[],568,FALSE))</f>
        <v>Melanie Ramirez</v>
      </c>
      <c r="K49" s="762"/>
      <c r="L49" s="762"/>
      <c r="M49" s="762"/>
      <c r="N49" s="762"/>
      <c r="O49" s="763">
        <f>IF(ISBLANK(VLOOKUP('Contact Information'!$A49,Input[],569,FALSE)),"",VLOOKUP('Contact Information'!$A49,Input[],569,FALSE))</f>
        <v>9408983534</v>
      </c>
      <c r="P49" s="763"/>
      <c r="Q49" s="763"/>
      <c r="R49" s="763"/>
      <c r="S49" s="761" t="str">
        <f>IF(ISBLANK(VLOOKUP('Contact Information'!$A49,Input[],570,FALSE)),"",VLOOKUP('Contact Information'!$A49,Input[],570,FALSE))</f>
        <v>mramirez50@twu.edu</v>
      </c>
      <c r="T49" s="761"/>
      <c r="U49" s="761"/>
      <c r="V49" s="761"/>
      <c r="W49" s="761"/>
      <c r="X49" s="761"/>
      <c r="Y49" s="761" t="str">
        <f>IF(ISBLANK(VLOOKUP('Contact Information'!$A49,Input[],571,FALSE)),"",VLOOKUP('Contact Information'!$A49,Input[],571,FALSE))</f>
        <v>Barbara Newton</v>
      </c>
      <c r="Z49" s="761"/>
      <c r="AA49" s="761"/>
      <c r="AB49" s="761"/>
      <c r="AC49" s="761"/>
      <c r="AD49" s="763">
        <f>IF(ISBLANK(VLOOKUP('Contact Information'!$A49,Input[],572,FALSE)),"",VLOOKUP('Contact Information'!$A49,Input[],572,FALSE))</f>
        <v>9408983543</v>
      </c>
      <c r="AE49" s="763"/>
      <c r="AF49" s="763"/>
      <c r="AG49" s="763"/>
      <c r="AH49" s="761" t="str">
        <f>IF(ISBLANK(VLOOKUP('Contact Information'!$A49,Input[],573,FALSE)),"",VLOOKUP('Contact Information'!$A49,Input[],573,FALSE))</f>
        <v>bnewton@twu.edu</v>
      </c>
      <c r="AI49" s="761"/>
      <c r="AJ49" s="761"/>
      <c r="AK49" s="761"/>
      <c r="AL49" s="761"/>
      <c r="AM49" s="764"/>
      <c r="AN49" s="154"/>
    </row>
    <row r="50" spans="1:40" s="203" customFormat="1" ht="27" customHeight="1" x14ac:dyDescent="0.55000000000000004">
      <c r="A50" s="765" t="s">
        <v>58</v>
      </c>
      <c r="B50" s="758"/>
      <c r="C50" s="758"/>
      <c r="D50" s="758"/>
      <c r="E50" s="758"/>
      <c r="F50" s="758"/>
      <c r="G50" s="758"/>
      <c r="H50" s="758"/>
      <c r="I50" s="758"/>
      <c r="J50" s="766" t="str">
        <f>IF(ISBLANK(VLOOKUP('Contact Information'!$A50,Input[],568,FALSE)),"",VLOOKUP('Contact Information'!$A50,Input[],568,FALSE))</f>
        <v>Debra Johnson</v>
      </c>
      <c r="K50" s="766"/>
      <c r="L50" s="766"/>
      <c r="M50" s="766"/>
      <c r="N50" s="766"/>
      <c r="O50" s="767">
        <f>IF(ISBLANK(VLOOKUP('Contact Information'!$A50,Input[],569,FALSE)),"",VLOOKUP('Contact Information'!$A50,Input[],569,FALSE))</f>
        <v>8172723330</v>
      </c>
      <c r="P50" s="767"/>
      <c r="Q50" s="767"/>
      <c r="R50" s="767"/>
      <c r="S50" s="758" t="str">
        <f>IF(ISBLANK(VLOOKUP('Contact Information'!$A50,Input[],570,FALSE)),"",VLOOKUP('Contact Information'!$A50,Input[],570,FALSE))</f>
        <v>debra.johnson@uta.edu</v>
      </c>
      <c r="T50" s="758"/>
      <c r="U50" s="758"/>
      <c r="V50" s="758"/>
      <c r="W50" s="758"/>
      <c r="X50" s="758"/>
      <c r="Y50" s="758" t="str">
        <f>IF(ISBLANK(VLOOKUP('Contact Information'!$A50,Input[],571,FALSE)),"",VLOOKUP('Contact Information'!$A50,Input[],571,FALSE))</f>
        <v>Marie Adams</v>
      </c>
      <c r="Z50" s="758"/>
      <c r="AA50" s="758"/>
      <c r="AB50" s="758"/>
      <c r="AC50" s="758"/>
      <c r="AD50" s="767">
        <f>IF(ISBLANK(VLOOKUP('Contact Information'!$A50,Input[],572,FALSE)),"",VLOOKUP('Contact Information'!$A50,Input[],572,FALSE))</f>
        <v>8172723449</v>
      </c>
      <c r="AE50" s="767"/>
      <c r="AF50" s="767"/>
      <c r="AG50" s="767"/>
      <c r="AH50" s="758" t="str">
        <f>IF(ISBLANK(VLOOKUP('Contact Information'!$A50,Input[],573,FALSE)),"",VLOOKUP('Contact Information'!$A50,Input[],573,FALSE))</f>
        <v>marie.adams@uta.edu</v>
      </c>
      <c r="AI50" s="758"/>
      <c r="AJ50" s="758"/>
      <c r="AK50" s="758"/>
      <c r="AL50" s="758"/>
      <c r="AM50" s="759"/>
      <c r="AN50" s="154"/>
    </row>
    <row r="51" spans="1:40" s="203" customFormat="1" ht="27" customHeight="1" x14ac:dyDescent="0.55000000000000004">
      <c r="A51" s="760" t="s">
        <v>59</v>
      </c>
      <c r="B51" s="761"/>
      <c r="C51" s="761"/>
      <c r="D51" s="761"/>
      <c r="E51" s="761"/>
      <c r="F51" s="761"/>
      <c r="G51" s="761"/>
      <c r="H51" s="761"/>
      <c r="I51" s="761"/>
      <c r="J51" s="762" t="str">
        <f>IF(ISBLANK(VLOOKUP('Contact Information'!$A51,Input[],568,FALSE)),"",VLOOKUP('Contact Information'!$A51,Input[],568,FALSE))</f>
        <v>Don Simpson</v>
      </c>
      <c r="K51" s="762"/>
      <c r="L51" s="762"/>
      <c r="M51" s="762"/>
      <c r="N51" s="762"/>
      <c r="O51" s="763" t="str">
        <f>IF(ISBLANK(VLOOKUP('Contact Information'!$A51,Input[],569,FALSE)),"",VLOOKUP('Contact Information'!$A51,Input[],569,FALSE))</f>
        <v/>
      </c>
      <c r="P51" s="763"/>
      <c r="Q51" s="763"/>
      <c r="R51" s="763"/>
      <c r="S51" s="761" t="str">
        <f>IF(ISBLANK(VLOOKUP('Contact Information'!$A51,Input[],570,FALSE)),"",VLOOKUP('Contact Information'!$A51,Input[],570,FALSE))</f>
        <v>dsimpson@austin.utexas.edu</v>
      </c>
      <c r="T51" s="761"/>
      <c r="U51" s="761"/>
      <c r="V51" s="761"/>
      <c r="W51" s="761"/>
      <c r="X51" s="761"/>
      <c r="Y51" s="761" t="str">
        <f>IF(ISBLANK(VLOOKUP('Contact Information'!$A51,Input[],571,FALSE)),"",VLOOKUP('Contact Information'!$A51,Input[],571,FALSE))</f>
        <v>Lori Peterson</v>
      </c>
      <c r="Z51" s="761"/>
      <c r="AA51" s="761"/>
      <c r="AB51" s="761"/>
      <c r="AC51" s="761"/>
      <c r="AD51" s="763" t="str">
        <f>IF(ISBLANK(VLOOKUP('Contact Information'!$A51,Input[],572,FALSE)),"",VLOOKUP('Contact Information'!$A51,Input[],572,FALSE))</f>
        <v/>
      </c>
      <c r="AE51" s="763"/>
      <c r="AF51" s="763"/>
      <c r="AG51" s="763"/>
      <c r="AH51" s="761" t="str">
        <f>IF(ISBLANK(VLOOKUP('Contact Information'!$A51,Input[],573,FALSE)),"",VLOOKUP('Contact Information'!$A51,Input[],573,FALSE))</f>
        <v>lpeterson@austin.utexas.edu</v>
      </c>
      <c r="AI51" s="761"/>
      <c r="AJ51" s="761"/>
      <c r="AK51" s="761"/>
      <c r="AL51" s="761"/>
      <c r="AM51" s="764"/>
      <c r="AN51" s="154"/>
    </row>
    <row r="52" spans="1:40" s="203" customFormat="1" ht="27" customHeight="1" x14ac:dyDescent="0.55000000000000004">
      <c r="A52" s="765" t="s">
        <v>179</v>
      </c>
      <c r="B52" s="758"/>
      <c r="C52" s="758"/>
      <c r="D52" s="758"/>
      <c r="E52" s="758"/>
      <c r="F52" s="758"/>
      <c r="G52" s="758"/>
      <c r="H52" s="758"/>
      <c r="I52" s="758"/>
      <c r="J52" s="766" t="str">
        <f>IF(ISBLANK(VLOOKUP('Contact Information'!$A52,Input[],568,FALSE)),"",VLOOKUP('Contact Information'!$A52,Input[],568,FALSE))</f>
        <v>Don Simpson</v>
      </c>
      <c r="K52" s="766"/>
      <c r="L52" s="766"/>
      <c r="M52" s="766"/>
      <c r="N52" s="766"/>
      <c r="O52" s="767" t="str">
        <f>IF(ISBLANK(VLOOKUP('Contact Information'!$A52,Input[],569,FALSE)),"",VLOOKUP('Contact Information'!$A52,Input[],569,FALSE))</f>
        <v/>
      </c>
      <c r="P52" s="767"/>
      <c r="Q52" s="767"/>
      <c r="R52" s="767"/>
      <c r="S52" s="758" t="str">
        <f>IF(ISBLANK(VLOOKUP('Contact Information'!$A52,Input[],570,FALSE)),"",VLOOKUP('Contact Information'!$A52,Input[],570,FALSE))</f>
        <v>dsimpson@austin.utexas.edu</v>
      </c>
      <c r="T52" s="758"/>
      <c r="U52" s="758"/>
      <c r="V52" s="758"/>
      <c r="W52" s="758"/>
      <c r="X52" s="758"/>
      <c r="Y52" s="758" t="str">
        <f>IF(ISBLANK(VLOOKUP('Contact Information'!$A52,Input[],571,FALSE)),"",VLOOKUP('Contact Information'!$A52,Input[],571,FALSE))</f>
        <v>Lori Peterson</v>
      </c>
      <c r="Z52" s="758"/>
      <c r="AA52" s="758"/>
      <c r="AB52" s="758"/>
      <c r="AC52" s="758"/>
      <c r="AD52" s="767" t="str">
        <f>IF(ISBLANK(VLOOKUP('Contact Information'!$A52,Input[],572,FALSE)),"",VLOOKUP('Contact Information'!$A52,Input[],572,FALSE))</f>
        <v/>
      </c>
      <c r="AE52" s="767"/>
      <c r="AF52" s="767"/>
      <c r="AG52" s="767"/>
      <c r="AH52" s="758" t="str">
        <f>IF(ISBLANK(VLOOKUP('Contact Information'!$A52,Input[],573,FALSE)),"",VLOOKUP('Contact Information'!$A52,Input[],573,FALSE))</f>
        <v>lpeterson@austin.utexas.edu</v>
      </c>
      <c r="AI52" s="758"/>
      <c r="AJ52" s="758"/>
      <c r="AK52" s="758"/>
      <c r="AL52" s="758"/>
      <c r="AM52" s="759"/>
      <c r="AN52" s="154"/>
    </row>
    <row r="53" spans="1:40" s="203" customFormat="1" ht="27" customHeight="1" x14ac:dyDescent="0.55000000000000004">
      <c r="A53" s="760" t="s">
        <v>742</v>
      </c>
      <c r="B53" s="761"/>
      <c r="C53" s="761"/>
      <c r="D53" s="761"/>
      <c r="E53" s="761"/>
      <c r="F53" s="761"/>
      <c r="G53" s="761"/>
      <c r="H53" s="761"/>
      <c r="I53" s="761"/>
      <c r="J53" s="762" t="str">
        <f>IF(ISBLANK(VLOOKUP('Contact Information'!$A53,Input[],568,FALSE)),"",VLOOKUP('Contact Information'!$A53,Input[],568,FALSE))</f>
        <v>Don Simpson</v>
      </c>
      <c r="K53" s="762"/>
      <c r="L53" s="762"/>
      <c r="M53" s="762"/>
      <c r="N53" s="762"/>
      <c r="O53" s="763" t="str">
        <f>IF(ISBLANK(VLOOKUP('Contact Information'!$A53,Input[],569,FALSE)),"",VLOOKUP('Contact Information'!$A53,Input[],569,FALSE))</f>
        <v/>
      </c>
      <c r="P53" s="763"/>
      <c r="Q53" s="763"/>
      <c r="R53" s="763"/>
      <c r="S53" s="761" t="str">
        <f>IF(ISBLANK(VLOOKUP('Contact Information'!$A53,Input[],570,FALSE)),"",VLOOKUP('Contact Information'!$A53,Input[],570,FALSE))</f>
        <v>dsimpson@austin.utexas.edu</v>
      </c>
      <c r="T53" s="761"/>
      <c r="U53" s="761"/>
      <c r="V53" s="761"/>
      <c r="W53" s="761"/>
      <c r="X53" s="761"/>
      <c r="Y53" s="761" t="str">
        <f>IF(ISBLANK(VLOOKUP('Contact Information'!$A53,Input[],571,FALSE)),"",VLOOKUP('Contact Information'!$A53,Input[],571,FALSE))</f>
        <v>Lori Peterson</v>
      </c>
      <c r="Z53" s="761"/>
      <c r="AA53" s="761"/>
      <c r="AB53" s="761"/>
      <c r="AC53" s="761"/>
      <c r="AD53" s="763" t="str">
        <f>IF(ISBLANK(VLOOKUP('Contact Information'!$A53,Input[],572,FALSE)),"",VLOOKUP('Contact Information'!$A53,Input[],572,FALSE))</f>
        <v/>
      </c>
      <c r="AE53" s="763"/>
      <c r="AF53" s="763"/>
      <c r="AG53" s="763"/>
      <c r="AH53" s="761" t="str">
        <f>IF(ISBLANK(VLOOKUP('Contact Information'!$A53,Input[],573,FALSE)),"",VLOOKUP('Contact Information'!$A53,Input[],573,FALSE))</f>
        <v>lpeterson@austin.utexas.edu</v>
      </c>
      <c r="AI53" s="761"/>
      <c r="AJ53" s="761"/>
      <c r="AK53" s="761"/>
      <c r="AL53" s="761"/>
      <c r="AM53" s="764"/>
      <c r="AN53" s="154"/>
    </row>
    <row r="54" spans="1:40" s="203" customFormat="1" ht="27" customHeight="1" x14ac:dyDescent="0.55000000000000004">
      <c r="A54" s="765" t="s">
        <v>60</v>
      </c>
      <c r="B54" s="758"/>
      <c r="C54" s="758"/>
      <c r="D54" s="758"/>
      <c r="E54" s="758"/>
      <c r="F54" s="758"/>
      <c r="G54" s="758"/>
      <c r="H54" s="758"/>
      <c r="I54" s="758"/>
      <c r="J54" s="766" t="str">
        <f>IF(ISBLANK(VLOOKUP('Contact Information'!$A54,Input[],568,FALSE)),"",VLOOKUP('Contact Information'!$A54,Input[],568,FALSE))</f>
        <v>Matthew Geis</v>
      </c>
      <c r="K54" s="766"/>
      <c r="L54" s="766"/>
      <c r="M54" s="766"/>
      <c r="N54" s="766"/>
      <c r="O54" s="767">
        <f>IF(ISBLANK(VLOOKUP('Contact Information'!$A54,Input[],569,FALSE)),"",VLOOKUP('Contact Information'!$A54,Input[],569,FALSE))</f>
        <v>9728832701</v>
      </c>
      <c r="P54" s="767"/>
      <c r="Q54" s="767"/>
      <c r="R54" s="767"/>
      <c r="S54" s="758" t="str">
        <f>IF(ISBLANK(VLOOKUP('Contact Information'!$A54,Input[],570,FALSE)),"",VLOOKUP('Contact Information'!$A54,Input[],570,FALSE))</f>
        <v>matthew.geis@utdallas.edu</v>
      </c>
      <c r="T54" s="758"/>
      <c r="U54" s="758"/>
      <c r="V54" s="758"/>
      <c r="W54" s="758"/>
      <c r="X54" s="758"/>
      <c r="Y54" s="758" t="str">
        <f>IF(ISBLANK(VLOOKUP('Contact Information'!$A54,Input[],571,FALSE)),"",VLOOKUP('Contact Information'!$A54,Input[],571,FALSE))</f>
        <v>Cynthia Milligan</v>
      </c>
      <c r="Z54" s="758"/>
      <c r="AA54" s="758"/>
      <c r="AB54" s="758"/>
      <c r="AC54" s="758"/>
      <c r="AD54" s="767">
        <f>IF(ISBLANK(VLOOKUP('Contact Information'!$A54,Input[],572,FALSE)),"",VLOOKUP('Contact Information'!$A54,Input[],572,FALSE))</f>
        <v>9728832632</v>
      </c>
      <c r="AE54" s="767"/>
      <c r="AF54" s="767"/>
      <c r="AG54" s="767"/>
      <c r="AH54" s="758" t="str">
        <f>IF(ISBLANK(VLOOKUP('Contact Information'!$A54,Input[],573,FALSE)),"",VLOOKUP('Contact Information'!$A54,Input[],573,FALSE))</f>
        <v>cxm133830@utdallas.edu</v>
      </c>
      <c r="AI54" s="758"/>
      <c r="AJ54" s="758"/>
      <c r="AK54" s="758"/>
      <c r="AL54" s="758"/>
      <c r="AM54" s="759"/>
      <c r="AN54" s="154"/>
    </row>
    <row r="55" spans="1:40" s="203" customFormat="1" ht="27" customHeight="1" x14ac:dyDescent="0.55000000000000004">
      <c r="A55" s="760" t="s">
        <v>61</v>
      </c>
      <c r="B55" s="761"/>
      <c r="C55" s="761"/>
      <c r="D55" s="761"/>
      <c r="E55" s="761"/>
      <c r="F55" s="761"/>
      <c r="G55" s="761"/>
      <c r="H55" s="761"/>
      <c r="I55" s="761"/>
      <c r="J55" s="762" t="str">
        <f>IF(ISBLANK(VLOOKUP('Contact Information'!$A55,Input[],568,FALSE)),"",VLOOKUP('Contact Information'!$A55,Input[],568,FALSE))</f>
        <v>Daniel Dominguez</v>
      </c>
      <c r="K55" s="762"/>
      <c r="L55" s="762"/>
      <c r="M55" s="762"/>
      <c r="N55" s="762"/>
      <c r="O55" s="763">
        <f>IF(ISBLANK(VLOOKUP('Contact Information'!$A55,Input[],569,FALSE)),"",VLOOKUP('Contact Information'!$A55,Input[],569,FALSE))</f>
        <v>9157475083</v>
      </c>
      <c r="P55" s="763"/>
      <c r="Q55" s="763"/>
      <c r="R55" s="763"/>
      <c r="S55" s="761" t="str">
        <f>IF(ISBLANK(VLOOKUP('Contact Information'!$A55,Input[],570,FALSE)),"",VLOOKUP('Contact Information'!$A55,Input[],570,FALSE))</f>
        <v>drdominguez@utep.edu</v>
      </c>
      <c r="T55" s="761"/>
      <c r="U55" s="761"/>
      <c r="V55" s="761"/>
      <c r="W55" s="761"/>
      <c r="X55" s="761"/>
      <c r="Y55" s="761" t="str">
        <f>IF(ISBLANK(VLOOKUP('Contact Information'!$A55,Input[],571,FALSE)),"",VLOOKUP('Contact Information'!$A55,Input[],571,FALSE))</f>
        <v>Laura Gutierrez</v>
      </c>
      <c r="Z55" s="761"/>
      <c r="AA55" s="761"/>
      <c r="AB55" s="761"/>
      <c r="AC55" s="761"/>
      <c r="AD55" s="763">
        <f>IF(ISBLANK(VLOOKUP('Contact Information'!$A55,Input[],572,FALSE)),"",VLOOKUP('Contact Information'!$A55,Input[],572,FALSE))</f>
        <v>9157475562</v>
      </c>
      <c r="AE55" s="763"/>
      <c r="AF55" s="763"/>
      <c r="AG55" s="763"/>
      <c r="AH55" s="761" t="str">
        <f>IF(ISBLANK(VLOOKUP('Contact Information'!$A55,Input[],573,FALSE)),"",VLOOKUP('Contact Information'!$A55,Input[],573,FALSE))</f>
        <v>lamartinez@utep.edu</v>
      </c>
      <c r="AI55" s="761"/>
      <c r="AJ55" s="761"/>
      <c r="AK55" s="761"/>
      <c r="AL55" s="761"/>
      <c r="AM55" s="764"/>
      <c r="AN55" s="154"/>
    </row>
    <row r="56" spans="1:40" s="203" customFormat="1" ht="27" customHeight="1" x14ac:dyDescent="0.55000000000000004">
      <c r="A56" s="765" t="s">
        <v>62</v>
      </c>
      <c r="B56" s="758"/>
      <c r="C56" s="758"/>
      <c r="D56" s="758"/>
      <c r="E56" s="758"/>
      <c r="F56" s="758"/>
      <c r="G56" s="758"/>
      <c r="H56" s="758"/>
      <c r="I56" s="758"/>
      <c r="J56" s="766" t="str">
        <f>IF(ISBLANK(VLOOKUP('Contact Information'!$A56,Input[],568,FALSE)),"",VLOOKUP('Contact Information'!$A56,Input[],568,FALSE))</f>
        <v>Lilia St. Clair</v>
      </c>
      <c r="K56" s="766"/>
      <c r="L56" s="766"/>
      <c r="M56" s="766"/>
      <c r="N56" s="766"/>
      <c r="O56" s="767">
        <f>IF(ISBLANK(VLOOKUP('Contact Information'!$A56,Input[],569,FALSE)),"",VLOOKUP('Contact Information'!$A56,Input[],569,FALSE))</f>
        <v>9566657906</v>
      </c>
      <c r="P56" s="767"/>
      <c r="Q56" s="767"/>
      <c r="R56" s="767"/>
      <c r="S56" s="758" t="str">
        <f>IF(ISBLANK(VLOOKUP('Contact Information'!$A56,Input[],570,FALSE)),"",VLOOKUP('Contact Information'!$A56,Input[],570,FALSE))</f>
        <v>lilia.stclair@utrgv.edu</v>
      </c>
      <c r="T56" s="758"/>
      <c r="U56" s="758"/>
      <c r="V56" s="758"/>
      <c r="W56" s="758"/>
      <c r="X56" s="758"/>
      <c r="Y56" s="758" t="str">
        <f>IF(ISBLANK(VLOOKUP('Contact Information'!$A56,Input[],571,FALSE)),"",VLOOKUP('Contact Information'!$A56,Input[],571,FALSE))</f>
        <v>Steven Lerma</v>
      </c>
      <c r="Z56" s="758"/>
      <c r="AA56" s="758"/>
      <c r="AB56" s="758"/>
      <c r="AC56" s="758"/>
      <c r="AD56" s="767">
        <f>IF(ISBLANK(VLOOKUP('Contact Information'!$A56,Input[],572,FALSE)),"",VLOOKUP('Contact Information'!$A56,Input[],572,FALSE))</f>
        <v>9568828262</v>
      </c>
      <c r="AE56" s="767"/>
      <c r="AF56" s="767"/>
      <c r="AG56" s="767"/>
      <c r="AH56" s="758" t="str">
        <f>IF(ISBLANK(VLOOKUP('Contact Information'!$A56,Input[],573,FALSE)),"",VLOOKUP('Contact Information'!$A56,Input[],573,FALSE))</f>
        <v>steven.lerma@utrgv.edu</v>
      </c>
      <c r="AI56" s="758"/>
      <c r="AJ56" s="758"/>
      <c r="AK56" s="758"/>
      <c r="AL56" s="758"/>
      <c r="AM56" s="759"/>
      <c r="AN56" s="154"/>
    </row>
    <row r="57" spans="1:40" s="203" customFormat="1" ht="27" customHeight="1" x14ac:dyDescent="0.55000000000000004">
      <c r="A57" s="760" t="s">
        <v>180</v>
      </c>
      <c r="B57" s="761"/>
      <c r="C57" s="761"/>
      <c r="D57" s="761"/>
      <c r="E57" s="761"/>
      <c r="F57" s="761"/>
      <c r="G57" s="761"/>
      <c r="H57" s="761"/>
      <c r="I57" s="761"/>
      <c r="J57" s="762" t="str">
        <f>IF(ISBLANK(VLOOKUP('Contact Information'!$A57,Input[],568,FALSE)),"",VLOOKUP('Contact Information'!$A57,Input[],568,FALSE))</f>
        <v>Lilia St. Clair</v>
      </c>
      <c r="K57" s="762"/>
      <c r="L57" s="762"/>
      <c r="M57" s="762"/>
      <c r="N57" s="762"/>
      <c r="O57" s="763">
        <f>IF(ISBLANK(VLOOKUP('Contact Information'!$A57,Input[],569,FALSE)),"",VLOOKUP('Contact Information'!$A57,Input[],569,FALSE))</f>
        <v>9566657906</v>
      </c>
      <c r="P57" s="763"/>
      <c r="Q57" s="763"/>
      <c r="R57" s="763"/>
      <c r="S57" s="761" t="str">
        <f>IF(ISBLANK(VLOOKUP('Contact Information'!$A57,Input[],570,FALSE)),"",VLOOKUP('Contact Information'!$A57,Input[],570,FALSE))</f>
        <v>lilia.stclair@utrgv.edu</v>
      </c>
      <c r="T57" s="761"/>
      <c r="U57" s="761"/>
      <c r="V57" s="761"/>
      <c r="W57" s="761"/>
      <c r="X57" s="761"/>
      <c r="Y57" s="761" t="str">
        <f>IF(ISBLANK(VLOOKUP('Contact Information'!$A57,Input[],571,FALSE)),"",VLOOKUP('Contact Information'!$A57,Input[],571,FALSE))</f>
        <v>Steven Lerma</v>
      </c>
      <c r="Z57" s="761"/>
      <c r="AA57" s="761"/>
      <c r="AB57" s="761"/>
      <c r="AC57" s="761"/>
      <c r="AD57" s="763">
        <f>IF(ISBLANK(VLOOKUP('Contact Information'!$A57,Input[],572,FALSE)),"",VLOOKUP('Contact Information'!$A57,Input[],572,FALSE))</f>
        <v>9568828262</v>
      </c>
      <c r="AE57" s="763"/>
      <c r="AF57" s="763"/>
      <c r="AG57" s="763"/>
      <c r="AH57" s="761" t="str">
        <f>IF(ISBLANK(VLOOKUP('Contact Information'!$A57,Input[],573,FALSE)),"",VLOOKUP('Contact Information'!$A57,Input[],573,FALSE))</f>
        <v>steven.lerma@utrgv.edu</v>
      </c>
      <c r="AI57" s="761"/>
      <c r="AJ57" s="761"/>
      <c r="AK57" s="761"/>
      <c r="AL57" s="761"/>
      <c r="AM57" s="764"/>
      <c r="AN57" s="154"/>
    </row>
    <row r="58" spans="1:40" s="203" customFormat="1" ht="27" customHeight="1" x14ac:dyDescent="0.55000000000000004">
      <c r="A58" s="765" t="s">
        <v>743</v>
      </c>
      <c r="B58" s="758"/>
      <c r="C58" s="758"/>
      <c r="D58" s="758"/>
      <c r="E58" s="758"/>
      <c r="F58" s="758"/>
      <c r="G58" s="758"/>
      <c r="H58" s="758"/>
      <c r="I58" s="758"/>
      <c r="J58" s="766" t="str">
        <f>IF(ISBLANK(VLOOKUP('Contact Information'!$A58,Input[],568,FALSE)),"",VLOOKUP('Contact Information'!$A58,Input[],568,FALSE))</f>
        <v>Lilia St. Clair</v>
      </c>
      <c r="K58" s="766"/>
      <c r="L58" s="766"/>
      <c r="M58" s="766"/>
      <c r="N58" s="766"/>
      <c r="O58" s="767">
        <f>IF(ISBLANK(VLOOKUP('Contact Information'!$A58,Input[],569,FALSE)),"",VLOOKUP('Contact Information'!$A58,Input[],569,FALSE))</f>
        <v>9566657906</v>
      </c>
      <c r="P58" s="767"/>
      <c r="Q58" s="767"/>
      <c r="R58" s="767"/>
      <c r="S58" s="758" t="str">
        <f>IF(ISBLANK(VLOOKUP('Contact Information'!$A58,Input[],570,FALSE)),"",VLOOKUP('Contact Information'!$A58,Input[],570,FALSE))</f>
        <v>lilia.stclair@utrgv.edu</v>
      </c>
      <c r="T58" s="758"/>
      <c r="U58" s="758"/>
      <c r="V58" s="758"/>
      <c r="W58" s="758"/>
      <c r="X58" s="758"/>
      <c r="Y58" s="758" t="str">
        <f>IF(ISBLANK(VLOOKUP('Contact Information'!$A58,Input[],571,FALSE)),"",VLOOKUP('Contact Information'!$A58,Input[],571,FALSE))</f>
        <v>Steven Lerma</v>
      </c>
      <c r="Z58" s="758"/>
      <c r="AA58" s="758"/>
      <c r="AB58" s="758"/>
      <c r="AC58" s="758"/>
      <c r="AD58" s="767">
        <f>IF(ISBLANK(VLOOKUP('Contact Information'!$A58,Input[],572,FALSE)),"",VLOOKUP('Contact Information'!$A58,Input[],572,FALSE))</f>
        <v>9568828262</v>
      </c>
      <c r="AE58" s="767"/>
      <c r="AF58" s="767"/>
      <c r="AG58" s="767"/>
      <c r="AH58" s="758" t="str">
        <f>IF(ISBLANK(VLOOKUP('Contact Information'!$A58,Input[],573,FALSE)),"",VLOOKUP('Contact Information'!$A58,Input[],573,FALSE))</f>
        <v/>
      </c>
      <c r="AI58" s="758"/>
      <c r="AJ58" s="758"/>
      <c r="AK58" s="758"/>
      <c r="AL58" s="758"/>
      <c r="AM58" s="759"/>
      <c r="AN58" s="154"/>
    </row>
    <row r="59" spans="1:40" s="203" customFormat="1" ht="27" customHeight="1" x14ac:dyDescent="0.55000000000000004">
      <c r="A59" s="760" t="s">
        <v>64</v>
      </c>
      <c r="B59" s="761"/>
      <c r="C59" s="761"/>
      <c r="D59" s="761"/>
      <c r="E59" s="761"/>
      <c r="F59" s="761"/>
      <c r="G59" s="761"/>
      <c r="H59" s="761"/>
      <c r="I59" s="761"/>
      <c r="J59" s="762" t="str">
        <f>IF(ISBLANK(VLOOKUP('Contact Information'!$A59,Input[],568,FALSE)),"",VLOOKUP('Contact Information'!$A59,Input[],568,FALSE))</f>
        <v>Cynthia Schweers</v>
      </c>
      <c r="K59" s="762"/>
      <c r="L59" s="762"/>
      <c r="M59" s="762"/>
      <c r="N59" s="762"/>
      <c r="O59" s="763">
        <f>IF(ISBLANK(VLOOKUP('Contact Information'!$A59,Input[],569,FALSE)),"",VLOOKUP('Contact Information'!$A59,Input[],569,FALSE))</f>
        <v>2104584216</v>
      </c>
      <c r="P59" s="763"/>
      <c r="Q59" s="763"/>
      <c r="R59" s="763"/>
      <c r="S59" s="761" t="str">
        <f>IF(ISBLANK(VLOOKUP('Contact Information'!$A59,Input[],570,FALSE)),"",VLOOKUP('Contact Information'!$A59,Input[],570,FALSE))</f>
        <v>cynthia.schweers@utsa.edu</v>
      </c>
      <c r="T59" s="761"/>
      <c r="U59" s="761"/>
      <c r="V59" s="761"/>
      <c r="W59" s="761"/>
      <c r="X59" s="761"/>
      <c r="Y59" s="761" t="str">
        <f>IF(ISBLANK(VLOOKUP('Contact Information'!$A59,Input[],571,FALSE)),"",VLOOKUP('Contact Information'!$A59,Input[],571,FALSE))</f>
        <v>Gregory Yturralde</v>
      </c>
      <c r="Z59" s="761"/>
      <c r="AA59" s="761"/>
      <c r="AB59" s="761"/>
      <c r="AC59" s="761"/>
      <c r="AD59" s="763">
        <f>IF(ISBLANK(VLOOKUP('Contact Information'!$A59,Input[],572,FALSE)),"",VLOOKUP('Contact Information'!$A59,Input[],572,FALSE))</f>
        <v>2104584345</v>
      </c>
      <c r="AE59" s="763"/>
      <c r="AF59" s="763"/>
      <c r="AG59" s="763"/>
      <c r="AH59" s="761" t="str">
        <f>IF(ISBLANK(VLOOKUP('Contact Information'!$A59,Input[],573,FALSE)),"",VLOOKUP('Contact Information'!$A59,Input[],573,FALSE))</f>
        <v/>
      </c>
      <c r="AI59" s="761"/>
      <c r="AJ59" s="761"/>
      <c r="AK59" s="761"/>
      <c r="AL59" s="761"/>
      <c r="AM59" s="764"/>
      <c r="AN59" s="154"/>
    </row>
    <row r="60" spans="1:40" s="203" customFormat="1" ht="27" customHeight="1" x14ac:dyDescent="0.55000000000000004">
      <c r="A60" s="765" t="s">
        <v>65</v>
      </c>
      <c r="B60" s="758"/>
      <c r="C60" s="758"/>
      <c r="D60" s="758"/>
      <c r="E60" s="758"/>
      <c r="F60" s="758"/>
      <c r="G60" s="758"/>
      <c r="H60" s="758"/>
      <c r="I60" s="758"/>
      <c r="J60" s="766" t="str">
        <f>IF(ISBLANK(VLOOKUP('Contact Information'!$A60,Input[],568,FALSE)),"",VLOOKUP('Contact Information'!$A60,Input[],568,FALSE))</f>
        <v>Brenda Golemon</v>
      </c>
      <c r="K60" s="766"/>
      <c r="L60" s="766"/>
      <c r="M60" s="766"/>
      <c r="N60" s="766"/>
      <c r="O60" s="767" t="str">
        <f>IF(ISBLANK(VLOOKUP('Contact Information'!$A60,Input[],569,FALSE)),"",VLOOKUP('Contact Information'!$A60,Input[],569,FALSE))</f>
        <v/>
      </c>
      <c r="P60" s="767"/>
      <c r="Q60" s="767"/>
      <c r="R60" s="767"/>
      <c r="S60" s="758" t="str">
        <f>IF(ISBLANK(VLOOKUP('Contact Information'!$A60,Input[],570,FALSE)),"",VLOOKUP('Contact Information'!$A60,Input[],570,FALSE))</f>
        <v>bgolemon@uttyler.edu</v>
      </c>
      <c r="T60" s="758"/>
      <c r="U60" s="758"/>
      <c r="V60" s="758"/>
      <c r="W60" s="758"/>
      <c r="X60" s="758"/>
      <c r="Y60" s="758" t="str">
        <f>IF(ISBLANK(VLOOKUP('Contact Information'!$A60,Input[],571,FALSE)),"",VLOOKUP('Contact Information'!$A60,Input[],571,FALSE))</f>
        <v>Danielle Mcdonald</v>
      </c>
      <c r="Z60" s="758"/>
      <c r="AA60" s="758"/>
      <c r="AB60" s="758"/>
      <c r="AC60" s="758"/>
      <c r="AD60" s="767" t="str">
        <f>IF(ISBLANK(VLOOKUP('Contact Information'!$A60,Input[],572,FALSE)),"",VLOOKUP('Contact Information'!$A60,Input[],572,FALSE))</f>
        <v/>
      </c>
      <c r="AE60" s="767"/>
      <c r="AF60" s="767"/>
      <c r="AG60" s="767"/>
      <c r="AH60" s="758" t="str">
        <f>IF(ISBLANK(VLOOKUP('Contact Information'!$A60,Input[],573,FALSE)),"",VLOOKUP('Contact Information'!$A60,Input[],573,FALSE))</f>
        <v>daniellemcdonald@uttyler.edu</v>
      </c>
      <c r="AI60" s="758"/>
      <c r="AJ60" s="758"/>
      <c r="AK60" s="758"/>
      <c r="AL60" s="758"/>
      <c r="AM60" s="759"/>
      <c r="AN60" s="154"/>
    </row>
    <row r="61" spans="1:40" s="203" customFormat="1" ht="27" customHeight="1" x14ac:dyDescent="0.55000000000000004">
      <c r="A61" s="760" t="s">
        <v>41</v>
      </c>
      <c r="B61" s="761"/>
      <c r="C61" s="761"/>
      <c r="D61" s="761"/>
      <c r="E61" s="761"/>
      <c r="F61" s="761"/>
      <c r="G61" s="761"/>
      <c r="H61" s="761"/>
      <c r="I61" s="761"/>
      <c r="J61" s="762" t="str">
        <f>IF(ISBLANK(VLOOKUP('Contact Information'!$A61,Input[],568,FALSE)),"",VLOOKUP('Contact Information'!$A61,Input[],568,FALSE))</f>
        <v>Scott Barnett</v>
      </c>
      <c r="K61" s="762"/>
      <c r="L61" s="762"/>
      <c r="M61" s="762"/>
      <c r="N61" s="762"/>
      <c r="O61" s="763">
        <f>IF(ISBLANK(VLOOKUP('Contact Information'!$A61,Input[],569,FALSE)),"",VLOOKUP('Contact Information'!$A61,Input[],569,FALSE))</f>
        <v>7005004915</v>
      </c>
      <c r="P61" s="763"/>
      <c r="Q61" s="763"/>
      <c r="R61" s="763"/>
      <c r="S61" s="761" t="str">
        <f>IF(ISBLANK(VLOOKUP('Contact Information'!$A61,Input[],570,FALSE)),"",VLOOKUP('Contact Information'!$A61,Input[],570,FALSE))</f>
        <v>Scott.Barnett@uth.tmc.edu</v>
      </c>
      <c r="T61" s="761"/>
      <c r="U61" s="761"/>
      <c r="V61" s="761"/>
      <c r="W61" s="761"/>
      <c r="X61" s="761"/>
      <c r="Y61" s="761" t="str">
        <f>IF(ISBLANK(VLOOKUP('Contact Information'!$A61,Input[],571,FALSE)),"",VLOOKUP('Contact Information'!$A61,Input[],571,FALSE))</f>
        <v>Kristin Cao</v>
      </c>
      <c r="Z61" s="761"/>
      <c r="AA61" s="761"/>
      <c r="AB61" s="761"/>
      <c r="AC61" s="761"/>
      <c r="AD61" s="763">
        <f>IF(ISBLANK(VLOOKUP('Contact Information'!$A61,Input[],572,FALSE)),"",VLOOKUP('Contact Information'!$A61,Input[],572,FALSE))</f>
        <v>7135004929</v>
      </c>
      <c r="AE61" s="763"/>
      <c r="AF61" s="763"/>
      <c r="AG61" s="763"/>
      <c r="AH61" s="761" t="str">
        <f>IF(ISBLANK(VLOOKUP('Contact Information'!$A61,Input[],573,FALSE)),"",VLOOKUP('Contact Information'!$A61,Input[],573,FALSE))</f>
        <v>Kristin.Cao@uth.tmc.edu</v>
      </c>
      <c r="AI61" s="761"/>
      <c r="AJ61" s="761"/>
      <c r="AK61" s="761"/>
      <c r="AL61" s="761"/>
      <c r="AM61" s="764"/>
      <c r="AN61" s="154"/>
    </row>
    <row r="62" spans="1:40" s="203" customFormat="1" ht="27" customHeight="1" x14ac:dyDescent="0.55000000000000004">
      <c r="A62" s="765" t="s">
        <v>42</v>
      </c>
      <c r="B62" s="758"/>
      <c r="C62" s="758"/>
      <c r="D62" s="758"/>
      <c r="E62" s="758"/>
      <c r="F62" s="758"/>
      <c r="G62" s="758"/>
      <c r="H62" s="758"/>
      <c r="I62" s="758"/>
      <c r="J62" s="766" t="str">
        <f>IF(ISBLANK(VLOOKUP('Contact Information'!$A62,Input[],568,FALSE)),"",VLOOKUP('Contact Information'!$A62,Input[],568,FALSE))</f>
        <v>Yinwen Li</v>
      </c>
      <c r="K62" s="766"/>
      <c r="L62" s="766"/>
      <c r="M62" s="766"/>
      <c r="N62" s="766"/>
      <c r="O62" s="767">
        <f>IF(ISBLANK(VLOOKUP('Contact Information'!$A62,Input[],569,FALSE)),"",VLOOKUP('Contact Information'!$A62,Input[],569,FALSE))</f>
        <v>2105626268</v>
      </c>
      <c r="P62" s="767"/>
      <c r="Q62" s="767"/>
      <c r="R62" s="767"/>
      <c r="S62" s="758" t="str">
        <f>IF(ISBLANK(VLOOKUP('Contact Information'!$A62,Input[],570,FALSE)),"",VLOOKUP('Contact Information'!$A62,Input[],570,FALSE))</f>
        <v>liy2@uthscsa.edu</v>
      </c>
      <c r="T62" s="758"/>
      <c r="U62" s="758"/>
      <c r="V62" s="758"/>
      <c r="W62" s="758"/>
      <c r="X62" s="758"/>
      <c r="Y62" s="758" t="str">
        <f>IF(ISBLANK(VLOOKUP('Contact Information'!$A62,Input[],571,FALSE)),"",VLOOKUP('Contact Information'!$A62,Input[],571,FALSE))</f>
        <v>Juan H Ortiz</v>
      </c>
      <c r="Z62" s="758"/>
      <c r="AA62" s="758"/>
      <c r="AB62" s="758"/>
      <c r="AC62" s="758"/>
      <c r="AD62" s="767">
        <f>IF(ISBLANK(VLOOKUP('Contact Information'!$A62,Input[],572,FALSE)),"",VLOOKUP('Contact Information'!$A62,Input[],572,FALSE))</f>
        <v>2105626281</v>
      </c>
      <c r="AE62" s="767"/>
      <c r="AF62" s="767"/>
      <c r="AG62" s="767"/>
      <c r="AH62" s="758" t="str">
        <f>IF(ISBLANK(VLOOKUP('Contact Information'!$A62,Input[],573,FALSE)),"",VLOOKUP('Contact Information'!$A62,Input[],573,FALSE))</f>
        <v>ortizjh@uthscsa.edu</v>
      </c>
      <c r="AI62" s="758"/>
      <c r="AJ62" s="758"/>
      <c r="AK62" s="758"/>
      <c r="AL62" s="758"/>
      <c r="AM62" s="759"/>
      <c r="AN62" s="154"/>
    </row>
    <row r="63" spans="1:40" s="203" customFormat="1" ht="27" customHeight="1" x14ac:dyDescent="0.55000000000000004">
      <c r="A63" s="760" t="s">
        <v>44</v>
      </c>
      <c r="B63" s="761"/>
      <c r="C63" s="761"/>
      <c r="D63" s="761"/>
      <c r="E63" s="761"/>
      <c r="F63" s="761"/>
      <c r="G63" s="761"/>
      <c r="H63" s="761"/>
      <c r="I63" s="761"/>
      <c r="J63" s="762" t="str">
        <f>IF(ISBLANK(VLOOKUP('Contact Information'!$A63,Input[],568,FALSE)),"",VLOOKUP('Contact Information'!$A63,Input[],568,FALSE))</f>
        <v>Jessica Conley</v>
      </c>
      <c r="K63" s="762"/>
      <c r="L63" s="762"/>
      <c r="M63" s="762"/>
      <c r="N63" s="762"/>
      <c r="O63" s="763">
        <f>IF(ISBLANK(VLOOKUP('Contact Information'!$A63,Input[],569,FALSE)),"",VLOOKUP('Contact Information'!$A63,Input[],569,FALSE))</f>
        <v>9038777755</v>
      </c>
      <c r="P63" s="763"/>
      <c r="Q63" s="763"/>
      <c r="R63" s="763"/>
      <c r="S63" s="761" t="str">
        <f>IF(ISBLANK(VLOOKUP('Contact Information'!$A63,Input[],570,FALSE)),"",VLOOKUP('Contact Information'!$A63,Input[],570,FALSE))</f>
        <v>jessica.conley@uttyler.edu</v>
      </c>
      <c r="T63" s="761"/>
      <c r="U63" s="761"/>
      <c r="V63" s="761"/>
      <c r="W63" s="761"/>
      <c r="X63" s="761"/>
      <c r="Y63" s="761" t="str">
        <f>IF(ISBLANK(VLOOKUP('Contact Information'!$A63,Input[],571,FALSE)),"",VLOOKUP('Contact Information'!$A63,Input[],571,FALSE))</f>
        <v>Carrie Mcmahan</v>
      </c>
      <c r="Z63" s="761"/>
      <c r="AA63" s="761"/>
      <c r="AB63" s="761"/>
      <c r="AC63" s="761"/>
      <c r="AD63" s="763">
        <f>IF(ISBLANK(VLOOKUP('Contact Information'!$A63,Input[],572,FALSE)),"",VLOOKUP('Contact Information'!$A63,Input[],572,FALSE))</f>
        <v>9038777214</v>
      </c>
      <c r="AE63" s="763"/>
      <c r="AF63" s="763"/>
      <c r="AG63" s="763"/>
      <c r="AH63" s="761" t="str">
        <f>IF(ISBLANK(VLOOKUP('Contact Information'!$A63,Input[],573,FALSE)),"",VLOOKUP('Contact Information'!$A63,Input[],573,FALSE))</f>
        <v>carrie.mcmahan@uttyler.edu</v>
      </c>
      <c r="AI63" s="761"/>
      <c r="AJ63" s="761"/>
      <c r="AK63" s="761"/>
      <c r="AL63" s="761"/>
      <c r="AM63" s="764"/>
      <c r="AN63" s="154"/>
    </row>
    <row r="64" spans="1:40" s="203" customFormat="1" ht="27" customHeight="1" x14ac:dyDescent="0.55000000000000004">
      <c r="A64" s="765" t="s">
        <v>43</v>
      </c>
      <c r="B64" s="758"/>
      <c r="C64" s="758"/>
      <c r="D64" s="758"/>
      <c r="E64" s="758"/>
      <c r="F64" s="758"/>
      <c r="G64" s="758"/>
      <c r="H64" s="758"/>
      <c r="I64" s="758"/>
      <c r="J64" s="766" t="str">
        <f>IF(ISBLANK(VLOOKUP('Contact Information'!$A64,Input[],568,FALSE)),"",VLOOKUP('Contact Information'!$A64,Input[],568,FALSE))</f>
        <v>Duy Tran</v>
      </c>
      <c r="K64" s="766"/>
      <c r="L64" s="766"/>
      <c r="M64" s="766"/>
      <c r="N64" s="766"/>
      <c r="O64" s="767">
        <f>IF(ISBLANK(VLOOKUP('Contact Information'!$A64,Input[],569,FALSE)),"",VLOOKUP('Contact Information'!$A64,Input[],569,FALSE))</f>
        <v>7137458630</v>
      </c>
      <c r="P64" s="767"/>
      <c r="Q64" s="767"/>
      <c r="R64" s="767"/>
      <c r="S64" s="758" t="str">
        <f>IF(ISBLANK(VLOOKUP('Contact Information'!$A64,Input[],570,FALSE)),"",VLOOKUP('Contact Information'!$A64,Input[],570,FALSE))</f>
        <v>ddtran2@mdanderson.org</v>
      </c>
      <c r="T64" s="758"/>
      <c r="U64" s="758"/>
      <c r="V64" s="758"/>
      <c r="W64" s="758"/>
      <c r="X64" s="758"/>
      <c r="Y64" s="758" t="str">
        <f>IF(ISBLANK(VLOOKUP('Contact Information'!$A64,Input[],571,FALSE)),"",VLOOKUP('Contact Information'!$A64,Input[],571,FALSE))</f>
        <v>Cristina Gonzales</v>
      </c>
      <c r="Z64" s="758"/>
      <c r="AA64" s="758"/>
      <c r="AB64" s="758"/>
      <c r="AC64" s="758"/>
      <c r="AD64" s="767">
        <f>IF(ISBLANK(VLOOKUP('Contact Information'!$A64,Input[],572,FALSE)),"",VLOOKUP('Contact Information'!$A64,Input[],572,FALSE))</f>
        <v>7137453596</v>
      </c>
      <c r="AE64" s="767"/>
      <c r="AF64" s="767"/>
      <c r="AG64" s="767"/>
      <c r="AH64" s="758" t="str">
        <f>IF(ISBLANK(VLOOKUP('Contact Information'!$A64,Input[],573,FALSE)),"",VLOOKUP('Contact Information'!$A64,Input[],573,FALSE))</f>
        <v>crisgonzales@mdanderson.org</v>
      </c>
      <c r="AI64" s="758"/>
      <c r="AJ64" s="758"/>
      <c r="AK64" s="758"/>
      <c r="AL64" s="758"/>
      <c r="AM64" s="759"/>
      <c r="AN64" s="154"/>
    </row>
    <row r="65" spans="1:40" s="203" customFormat="1" ht="27" customHeight="1" x14ac:dyDescent="0.55000000000000004">
      <c r="A65" s="760" t="s">
        <v>40</v>
      </c>
      <c r="B65" s="761"/>
      <c r="C65" s="761"/>
      <c r="D65" s="761"/>
      <c r="E65" s="761"/>
      <c r="F65" s="761"/>
      <c r="G65" s="761"/>
      <c r="H65" s="761"/>
      <c r="I65" s="761"/>
      <c r="J65" s="762" t="str">
        <f>IF(ISBLANK(VLOOKUP('Contact Information'!$A65,Input[],568,FALSE)),"",VLOOKUP('Contact Information'!$A65,Input[],568,FALSE))</f>
        <v>Joshua Tucker</v>
      </c>
      <c r="K65" s="762"/>
      <c r="L65" s="762"/>
      <c r="M65" s="762"/>
      <c r="N65" s="762"/>
      <c r="O65" s="763">
        <f>IF(ISBLANK(VLOOKUP('Contact Information'!$A65,Input[],569,FALSE)),"",VLOOKUP('Contact Information'!$A65,Input[],569,FALSE))</f>
        <v>4097727525</v>
      </c>
      <c r="P65" s="763"/>
      <c r="Q65" s="763"/>
      <c r="R65" s="763"/>
      <c r="S65" s="761" t="str">
        <f>IF(ISBLANK(VLOOKUP('Contact Information'!$A65,Input[],570,FALSE)),"",VLOOKUP('Contact Information'!$A65,Input[],570,FALSE))</f>
        <v>joatucker@utmb.edu</v>
      </c>
      <c r="T65" s="761"/>
      <c r="U65" s="761"/>
      <c r="V65" s="761"/>
      <c r="W65" s="761"/>
      <c r="X65" s="761"/>
      <c r="Y65" s="761" t="str">
        <f>IF(ISBLANK(VLOOKUP('Contact Information'!$A65,Input[],571,FALSE)),"",VLOOKUP('Contact Information'!$A65,Input[],571,FALSE))</f>
        <v>Felicia Trigo</v>
      </c>
      <c r="Z65" s="761"/>
      <c r="AA65" s="761"/>
      <c r="AB65" s="761"/>
      <c r="AC65" s="761"/>
      <c r="AD65" s="763">
        <f>IF(ISBLANK(VLOOKUP('Contact Information'!$A65,Input[],572,FALSE)),"",VLOOKUP('Contact Information'!$A65,Input[],572,FALSE))</f>
        <v>4097476305</v>
      </c>
      <c r="AE65" s="763"/>
      <c r="AF65" s="763"/>
      <c r="AG65" s="763"/>
      <c r="AH65" s="761" t="str">
        <f>IF(ISBLANK(VLOOKUP('Contact Information'!$A65,Input[],573,FALSE)),"",VLOOKUP('Contact Information'!$A65,Input[],573,FALSE))</f>
        <v>fdtrigo@utmb.edu</v>
      </c>
      <c r="AI65" s="761"/>
      <c r="AJ65" s="761"/>
      <c r="AK65" s="761"/>
      <c r="AL65" s="761"/>
      <c r="AM65" s="764"/>
      <c r="AN65" s="154"/>
    </row>
    <row r="66" spans="1:40" s="203" customFormat="1" ht="27" customHeight="1" x14ac:dyDescent="0.55000000000000004">
      <c r="A66" s="765" t="s">
        <v>63</v>
      </c>
      <c r="B66" s="758"/>
      <c r="C66" s="758"/>
      <c r="D66" s="758"/>
      <c r="E66" s="758"/>
      <c r="F66" s="758"/>
      <c r="G66" s="758"/>
      <c r="H66" s="758"/>
      <c r="I66" s="758"/>
      <c r="J66" s="766" t="str">
        <f>IF(ISBLANK(VLOOKUP('Contact Information'!$A66,Input[],568,FALSE)),"",VLOOKUP('Contact Information'!$A66,Input[],568,FALSE))</f>
        <v>Jana Juarez</v>
      </c>
      <c r="K66" s="766"/>
      <c r="L66" s="766"/>
      <c r="M66" s="766"/>
      <c r="N66" s="766"/>
      <c r="O66" s="767">
        <f>IF(ISBLANK(VLOOKUP('Contact Information'!$A66,Input[],569,FALSE)),"",VLOOKUP('Contact Information'!$A66,Input[],569,FALSE))</f>
        <v>4325522717</v>
      </c>
      <c r="P66" s="767"/>
      <c r="Q66" s="767"/>
      <c r="R66" s="767"/>
      <c r="S66" s="758" t="str">
        <f>IF(ISBLANK(VLOOKUP('Contact Information'!$A66,Input[],570,FALSE)),"",VLOOKUP('Contact Information'!$A66,Input[],570,FALSE))</f>
        <v>juarez_j@utpb.edu</v>
      </c>
      <c r="T66" s="758"/>
      <c r="U66" s="758"/>
      <c r="V66" s="758"/>
      <c r="W66" s="758"/>
      <c r="X66" s="758"/>
      <c r="Y66" s="758" t="str">
        <f>IF(ISBLANK(VLOOKUP('Contact Information'!$A66,Input[],571,FALSE)),"",VLOOKUP('Contact Information'!$A66,Input[],571,FALSE))</f>
        <v>June Orth</v>
      </c>
      <c r="Z66" s="758"/>
      <c r="AA66" s="758"/>
      <c r="AB66" s="758"/>
      <c r="AC66" s="758"/>
      <c r="AD66" s="767">
        <f>IF(ISBLANK(VLOOKUP('Contact Information'!$A66,Input[],572,FALSE)),"",VLOOKUP('Contact Information'!$A66,Input[],572,FALSE))</f>
        <v>4325523712</v>
      </c>
      <c r="AE66" s="767"/>
      <c r="AF66" s="767"/>
      <c r="AG66" s="767"/>
      <c r="AH66" s="758" t="str">
        <f>IF(ISBLANK(VLOOKUP('Contact Information'!$A66,Input[],573,FALSE)),"",VLOOKUP('Contact Information'!$A66,Input[],573,FALSE))</f>
        <v>orth_j@utpb.edu</v>
      </c>
      <c r="AI66" s="758"/>
      <c r="AJ66" s="758"/>
      <c r="AK66" s="758"/>
      <c r="AL66" s="758"/>
      <c r="AM66" s="759"/>
      <c r="AN66" s="154"/>
    </row>
    <row r="67" spans="1:40" s="203" customFormat="1" ht="27" customHeight="1" x14ac:dyDescent="0.55000000000000004">
      <c r="A67" s="760" t="s">
        <v>39</v>
      </c>
      <c r="B67" s="761"/>
      <c r="C67" s="761"/>
      <c r="D67" s="761"/>
      <c r="E67" s="761"/>
      <c r="F67" s="761"/>
      <c r="G67" s="761"/>
      <c r="H67" s="761"/>
      <c r="I67" s="761"/>
      <c r="J67" s="762" t="str">
        <f>IF(ISBLANK(VLOOKUP('Contact Information'!$A67,Input[],568,FALSE)),"",VLOOKUP('Contact Information'!$A67,Input[],568,FALSE))</f>
        <v>Sharon Leary</v>
      </c>
      <c r="K67" s="762"/>
      <c r="L67" s="762"/>
      <c r="M67" s="762"/>
      <c r="N67" s="762"/>
      <c r="O67" s="763">
        <f>IF(ISBLANK(VLOOKUP('Contact Information'!$A67,Input[],569,FALSE)),"",VLOOKUP('Contact Information'!$A67,Input[],569,FALSE))</f>
        <v>0</v>
      </c>
      <c r="P67" s="763"/>
      <c r="Q67" s="763"/>
      <c r="R67" s="763"/>
      <c r="S67" s="761" t="str">
        <f>IF(ISBLANK(VLOOKUP('Contact Information'!$A67,Input[],570,FALSE)),"",VLOOKUP('Contact Information'!$A67,Input[],570,FALSE))</f>
        <v>Sharon.Leary@UTSouthwestern.edu</v>
      </c>
      <c r="T67" s="761"/>
      <c r="U67" s="761"/>
      <c r="V67" s="761"/>
      <c r="W67" s="761"/>
      <c r="X67" s="761"/>
      <c r="Y67" s="761" t="str">
        <f>IF(ISBLANK(VLOOKUP('Contact Information'!$A67,Input[],571,FALSE)),"",VLOOKUP('Contact Information'!$A67,Input[],571,FALSE))</f>
        <v>John Schmidt</v>
      </c>
      <c r="Z67" s="761"/>
      <c r="AA67" s="761"/>
      <c r="AB67" s="761"/>
      <c r="AC67" s="761"/>
      <c r="AD67" s="763" t="str">
        <f>IF(ISBLANK(VLOOKUP('Contact Information'!$A67,Input[],572,FALSE)),"",VLOOKUP('Contact Information'!$A67,Input[],572,FALSE))</f>
        <v/>
      </c>
      <c r="AE67" s="763"/>
      <c r="AF67" s="763"/>
      <c r="AG67" s="763"/>
      <c r="AH67" s="761" t="str">
        <f>IF(ISBLANK(VLOOKUP('Contact Information'!$A67,Input[],573,FALSE)),"",VLOOKUP('Contact Information'!$A67,Input[],573,FALSE))</f>
        <v>John.Schmidt@UTSouthwestern.edu</v>
      </c>
      <c r="AI67" s="761"/>
      <c r="AJ67" s="761"/>
      <c r="AK67" s="761"/>
      <c r="AL67" s="761"/>
      <c r="AM67" s="764"/>
      <c r="AN67" s="154"/>
    </row>
    <row r="68" spans="1:40" s="203" customFormat="1" ht="27" customHeight="1" x14ac:dyDescent="0.55000000000000004">
      <c r="A68" s="765" t="s">
        <v>713</v>
      </c>
      <c r="B68" s="758"/>
      <c r="C68" s="758"/>
      <c r="D68" s="758"/>
      <c r="E68" s="758"/>
      <c r="F68" s="758"/>
      <c r="G68" s="758"/>
      <c r="H68" s="758"/>
      <c r="I68" s="758"/>
      <c r="J68" s="766" t="str">
        <f>IF(ISBLANK(VLOOKUP('Contact Information'!$A68,Input[],568,FALSE)),"",VLOOKUP('Contact Information'!$A68,Input[],568,FALSE))</f>
        <v>Paula Castanon</v>
      </c>
      <c r="K68" s="766"/>
      <c r="L68" s="766"/>
      <c r="M68" s="766"/>
      <c r="N68" s="766"/>
      <c r="O68" s="767">
        <f>IF(ISBLANK(VLOOKUP('Contact Information'!$A68,Input[],569,FALSE)),"",VLOOKUP('Contact Information'!$A68,Input[],569,FALSE))</f>
        <v>5124994458</v>
      </c>
      <c r="P68" s="767"/>
      <c r="Q68" s="767"/>
      <c r="R68" s="767"/>
      <c r="S68" s="758" t="str">
        <f>IF(ISBLANK(VLOOKUP('Contact Information'!$A68,Input[],570,FALSE)),"",VLOOKUP('Contact Information'!$A68,Input[],570,FALSE))</f>
        <v>pcastanon@utsystem.edu</v>
      </c>
      <c r="T68" s="758"/>
      <c r="U68" s="758"/>
      <c r="V68" s="758"/>
      <c r="W68" s="758"/>
      <c r="X68" s="758"/>
      <c r="Y68" s="758" t="str">
        <f>IF(ISBLANK(VLOOKUP('Contact Information'!$A68,Input[],571,FALSE)),"",VLOOKUP('Contact Information'!$A68,Input[],571,FALSE))</f>
        <v>Elva Padilla</v>
      </c>
      <c r="Z68" s="758"/>
      <c r="AA68" s="758"/>
      <c r="AB68" s="758"/>
      <c r="AC68" s="758"/>
      <c r="AD68" s="767">
        <f>IF(ISBLANK(VLOOKUP('Contact Information'!$A68,Input[],572,FALSE)),"",VLOOKUP('Contact Information'!$A68,Input[],572,FALSE))</f>
        <v>5123223792</v>
      </c>
      <c r="AE68" s="767"/>
      <c r="AF68" s="767"/>
      <c r="AG68" s="767"/>
      <c r="AH68" s="758" t="str">
        <f>IF(ISBLANK(VLOOKUP('Contact Information'!$A68,Input[],573,FALSE)),"",VLOOKUP('Contact Information'!$A68,Input[],573,FALSE))</f>
        <v>epadilla@utsystem.edu</v>
      </c>
      <c r="AI68" s="758"/>
      <c r="AJ68" s="758"/>
      <c r="AK68" s="758"/>
      <c r="AL68" s="758"/>
      <c r="AM68" s="759"/>
      <c r="AN68" s="154"/>
    </row>
    <row r="69" spans="1:40" s="203" customFormat="1" ht="27" customHeight="1" x14ac:dyDescent="0.55000000000000004">
      <c r="A69" s="760" t="s">
        <v>79</v>
      </c>
      <c r="B69" s="761"/>
      <c r="C69" s="761"/>
      <c r="D69" s="761"/>
      <c r="E69" s="761"/>
      <c r="F69" s="761"/>
      <c r="G69" s="761"/>
      <c r="H69" s="761"/>
      <c r="I69" s="761"/>
      <c r="J69" s="762" t="str">
        <f>IF(ISBLANK(VLOOKUP('Contact Information'!$A69,Input[],568,FALSE)),"",VLOOKUP('Contact Information'!$A69,Input[],568,FALSE))</f>
        <v>Mila Bautista</v>
      </c>
      <c r="K69" s="762"/>
      <c r="L69" s="762"/>
      <c r="M69" s="762"/>
      <c r="N69" s="762"/>
      <c r="O69" s="763">
        <f>IF(ISBLANK(VLOOKUP('Contact Information'!$A69,Input[],569,FALSE)),"",VLOOKUP('Contact Information'!$A69,Input[],569,FALSE))</f>
        <v>2812832129</v>
      </c>
      <c r="P69" s="763"/>
      <c r="Q69" s="763"/>
      <c r="R69" s="763"/>
      <c r="S69" s="761" t="str">
        <f>IF(ISBLANK(VLOOKUP('Contact Information'!$A69,Input[],570,FALSE)),"",VLOOKUP('Contact Information'!$A69,Input[],570,FALSE))</f>
        <v>bautistam@uhcl.edu</v>
      </c>
      <c r="T69" s="761"/>
      <c r="U69" s="761"/>
      <c r="V69" s="761"/>
      <c r="W69" s="761"/>
      <c r="X69" s="761"/>
      <c r="Y69" s="761" t="str">
        <f>IF(ISBLANK(VLOOKUP('Contact Information'!$A69,Input[],571,FALSE)),"",VLOOKUP('Contact Information'!$A69,Input[],571,FALSE))</f>
        <v>Tanjina Rahman</v>
      </c>
      <c r="Z69" s="761"/>
      <c r="AA69" s="761"/>
      <c r="AB69" s="761"/>
      <c r="AC69" s="761"/>
      <c r="AD69" s="763">
        <f>IF(ISBLANK(VLOOKUP('Contact Information'!$A69,Input[],572,FALSE)),"",VLOOKUP('Contact Information'!$A69,Input[],572,FALSE))</f>
        <v>2812832131</v>
      </c>
      <c r="AE69" s="763"/>
      <c r="AF69" s="763"/>
      <c r="AG69" s="763"/>
      <c r="AH69" s="761" t="str">
        <f>IF(ISBLANK(VLOOKUP('Contact Information'!$A69,Input[],573,FALSE)),"",VLOOKUP('Contact Information'!$A69,Input[],573,FALSE))</f>
        <v>rahman@uhcl.edu</v>
      </c>
      <c r="AI69" s="761"/>
      <c r="AJ69" s="761"/>
      <c r="AK69" s="761"/>
      <c r="AL69" s="761"/>
      <c r="AM69" s="764"/>
      <c r="AN69" s="154"/>
    </row>
    <row r="70" spans="1:40" s="203" customFormat="1" ht="27" customHeight="1" x14ac:dyDescent="0.55000000000000004">
      <c r="A70" s="765" t="s">
        <v>80</v>
      </c>
      <c r="B70" s="758"/>
      <c r="C70" s="758"/>
      <c r="D70" s="758"/>
      <c r="E70" s="758"/>
      <c r="F70" s="758"/>
      <c r="G70" s="758"/>
      <c r="H70" s="758"/>
      <c r="I70" s="758"/>
      <c r="J70" s="766" t="str">
        <f>IF(ISBLANK(VLOOKUP('Contact Information'!$A70,Input[],568,FALSE)),"",VLOOKUP('Contact Information'!$A70,Input[],568,FALSE))</f>
        <v>Tiffany Luong</v>
      </c>
      <c r="K70" s="766"/>
      <c r="L70" s="766"/>
      <c r="M70" s="766"/>
      <c r="N70" s="766"/>
      <c r="O70" s="767">
        <f>IF(ISBLANK(VLOOKUP('Contact Information'!$A70,Input[],569,FALSE)),"",VLOOKUP('Contact Information'!$A70,Input[],569,FALSE))</f>
        <v>7132218617</v>
      </c>
      <c r="P70" s="767"/>
      <c r="Q70" s="767"/>
      <c r="R70" s="767"/>
      <c r="S70" s="758" t="str">
        <f>IF(ISBLANK(VLOOKUP('Contact Information'!$A70,Input[],570,FALSE)),"",VLOOKUP('Contact Information'!$A70,Input[],570,FALSE))</f>
        <v>nguyent@uhd.edu</v>
      </c>
      <c r="T70" s="758"/>
      <c r="U70" s="758"/>
      <c r="V70" s="758"/>
      <c r="W70" s="758"/>
      <c r="X70" s="758"/>
      <c r="Y70" s="758" t="str">
        <f>IF(ISBLANK(VLOOKUP('Contact Information'!$A70,Input[],571,FALSE)),"",VLOOKUP('Contact Information'!$A70,Input[],571,FALSE))</f>
        <v>Theresa Meneley</v>
      </c>
      <c r="Z70" s="758"/>
      <c r="AA70" s="758"/>
      <c r="AB70" s="758"/>
      <c r="AC70" s="758"/>
      <c r="AD70" s="767">
        <f>IF(ISBLANK(VLOOKUP('Contact Information'!$A70,Input[],572,FALSE)),"",VLOOKUP('Contact Information'!$A70,Input[],572,FALSE))</f>
        <v>7132218612</v>
      </c>
      <c r="AE70" s="767"/>
      <c r="AF70" s="767"/>
      <c r="AG70" s="767"/>
      <c r="AH70" s="758" t="str">
        <f>IF(ISBLANK(VLOOKUP('Contact Information'!$A70,Input[],573,FALSE)),"",VLOOKUP('Contact Information'!$A70,Input[],573,FALSE))</f>
        <v>meneleyt@uhd.edu</v>
      </c>
      <c r="AI70" s="758"/>
      <c r="AJ70" s="758"/>
      <c r="AK70" s="758"/>
      <c r="AL70" s="758"/>
      <c r="AM70" s="759"/>
      <c r="AN70" s="154"/>
    </row>
    <row r="71" spans="1:40" s="203" customFormat="1" ht="27" customHeight="1" x14ac:dyDescent="0.55000000000000004">
      <c r="A71" s="760" t="s">
        <v>81</v>
      </c>
      <c r="B71" s="761"/>
      <c r="C71" s="761"/>
      <c r="D71" s="761"/>
      <c r="E71" s="761"/>
      <c r="F71" s="761"/>
      <c r="G71" s="761"/>
      <c r="H71" s="761"/>
      <c r="I71" s="761"/>
      <c r="J71" s="762" t="str">
        <f>IF(ISBLANK(VLOOKUP('Contact Information'!$A71,Input[],568,FALSE)),"",VLOOKUP('Contact Information'!$A71,Input[],568,FALSE))</f>
        <v>June Nelson</v>
      </c>
      <c r="K71" s="762"/>
      <c r="L71" s="762"/>
      <c r="M71" s="762"/>
      <c r="N71" s="762"/>
      <c r="O71" s="763">
        <f>IF(ISBLANK(VLOOKUP('Contact Information'!$A71,Input[],569,FALSE)),"",VLOOKUP('Contact Information'!$A71,Input[],569,FALSE))</f>
        <v>3615704873</v>
      </c>
      <c r="P71" s="763"/>
      <c r="Q71" s="763"/>
      <c r="R71" s="763"/>
      <c r="S71" s="761" t="str">
        <f>IF(ISBLANK(VLOOKUP('Contact Information'!$A71,Input[],570,FALSE)),"",VLOOKUP('Contact Information'!$A71,Input[],570,FALSE))</f>
        <v>nelsonj@uhv.edu</v>
      </c>
      <c r="T71" s="761"/>
      <c r="U71" s="761"/>
      <c r="V71" s="761"/>
      <c r="W71" s="761"/>
      <c r="X71" s="761"/>
      <c r="Y71" s="761" t="str">
        <f>IF(ISBLANK(VLOOKUP('Contact Information'!$A71,Input[],571,FALSE)),"",VLOOKUP('Contact Information'!$A71,Input[],571,FALSE))</f>
        <v>Erin Goodwin</v>
      </c>
      <c r="Z71" s="761"/>
      <c r="AA71" s="761"/>
      <c r="AB71" s="761"/>
      <c r="AC71" s="761"/>
      <c r="AD71" s="763">
        <f>IF(ISBLANK(VLOOKUP('Contact Information'!$A71,Input[],572,FALSE)),"",VLOOKUP('Contact Information'!$A71,Input[],572,FALSE))</f>
        <v>3615704815</v>
      </c>
      <c r="AE71" s="763"/>
      <c r="AF71" s="763"/>
      <c r="AG71" s="763"/>
      <c r="AH71" s="761" t="str">
        <f>IF(ISBLANK(VLOOKUP('Contact Information'!$A71,Input[],573,FALSE)),"",VLOOKUP('Contact Information'!$A71,Input[],573,FALSE))</f>
        <v>goodwinem1@uhv.edu</v>
      </c>
      <c r="AI71" s="761"/>
      <c r="AJ71" s="761"/>
      <c r="AK71" s="761"/>
      <c r="AL71" s="761"/>
      <c r="AM71" s="764"/>
      <c r="AN71" s="154"/>
    </row>
    <row r="72" spans="1:40" s="203" customFormat="1" ht="27" customHeight="1" x14ac:dyDescent="0.55000000000000004">
      <c r="A72" s="765" t="s">
        <v>78</v>
      </c>
      <c r="B72" s="758"/>
      <c r="C72" s="758"/>
      <c r="D72" s="758"/>
      <c r="E72" s="758"/>
      <c r="F72" s="758"/>
      <c r="G72" s="758"/>
      <c r="H72" s="758"/>
      <c r="I72" s="758"/>
      <c r="J72" s="766" t="str">
        <f>IF(ISBLANK(VLOOKUP('Contact Information'!$A72,Input[],568,FALSE)),"",VLOOKUP('Contact Information'!$A72,Input[],568,FALSE))</f>
        <v>Charlotte Hotz</v>
      </c>
      <c r="K72" s="766"/>
      <c r="L72" s="766"/>
      <c r="M72" s="766"/>
      <c r="N72" s="766"/>
      <c r="O72" s="767">
        <f>IF(ISBLANK(VLOOKUP('Contact Information'!$A72,Input[],569,FALSE)),"",VLOOKUP('Contact Information'!$A72,Input[],569,FALSE))</f>
        <v>1737435296</v>
      </c>
      <c r="P72" s="767"/>
      <c r="Q72" s="767"/>
      <c r="R72" s="767"/>
      <c r="S72" s="758" t="str">
        <f>IF(ISBLANK(VLOOKUP('Contact Information'!$A72,Input[],570,FALSE)),"",VLOOKUP('Contact Information'!$A72,Input[],570,FALSE))</f>
        <v>cahotz@uh.edu</v>
      </c>
      <c r="T72" s="758"/>
      <c r="U72" s="758"/>
      <c r="V72" s="758"/>
      <c r="W72" s="758"/>
      <c r="X72" s="758"/>
      <c r="Y72" s="758" t="str">
        <f>IF(ISBLANK(VLOOKUP('Contact Information'!$A72,Input[],571,FALSE)),"",VLOOKUP('Contact Information'!$A72,Input[],571,FALSE))</f>
        <v>Leslie Fluharty</v>
      </c>
      <c r="Z72" s="758"/>
      <c r="AA72" s="758"/>
      <c r="AB72" s="758"/>
      <c r="AC72" s="758"/>
      <c r="AD72" s="767">
        <f>IF(ISBLANK(VLOOKUP('Contact Information'!$A72,Input[],572,FALSE)),"",VLOOKUP('Contact Information'!$A72,Input[],572,FALSE))</f>
        <v>1737431533</v>
      </c>
      <c r="AE72" s="767"/>
      <c r="AF72" s="767"/>
      <c r="AG72" s="767"/>
      <c r="AH72" s="758" t="str">
        <f>IF(ISBLANK(VLOOKUP('Contact Information'!$A72,Input[],573,FALSE)),"",VLOOKUP('Contact Information'!$A72,Input[],573,FALSE))</f>
        <v>laskweres@uh.edu</v>
      </c>
      <c r="AI72" s="758"/>
      <c r="AJ72" s="758"/>
      <c r="AK72" s="758"/>
      <c r="AL72" s="758"/>
      <c r="AM72" s="759"/>
      <c r="AN72" s="154"/>
    </row>
    <row r="73" spans="1:40" s="203" customFormat="1" ht="27" customHeight="1" x14ac:dyDescent="0.55000000000000004">
      <c r="A73" s="760" t="s">
        <v>181</v>
      </c>
      <c r="B73" s="761"/>
      <c r="C73" s="761"/>
      <c r="D73" s="761"/>
      <c r="E73" s="761"/>
      <c r="F73" s="761"/>
      <c r="G73" s="761"/>
      <c r="H73" s="761"/>
      <c r="I73" s="761"/>
      <c r="J73" s="762" t="str">
        <f>IF(ISBLANK(VLOOKUP('Contact Information'!$A73,Input[],568,FALSE)),"",VLOOKUP('Contact Information'!$A73,Input[],568,FALSE))</f>
        <v>Hotz Charlotte</v>
      </c>
      <c r="K73" s="762"/>
      <c r="L73" s="762"/>
      <c r="M73" s="762"/>
      <c r="N73" s="762"/>
      <c r="O73" s="763">
        <f>IF(ISBLANK(VLOOKUP('Contact Information'!$A73,Input[],569,FALSE)),"",VLOOKUP('Contact Information'!$A73,Input[],569,FALSE))</f>
        <v>7137435296</v>
      </c>
      <c r="P73" s="763"/>
      <c r="Q73" s="763"/>
      <c r="R73" s="763"/>
      <c r="S73" s="761" t="str">
        <f>IF(ISBLANK(VLOOKUP('Contact Information'!$A73,Input[],570,FALSE)),"",VLOOKUP('Contact Information'!$A73,Input[],570,FALSE))</f>
        <v>cahotz@uh.edu</v>
      </c>
      <c r="T73" s="761"/>
      <c r="U73" s="761"/>
      <c r="V73" s="761"/>
      <c r="W73" s="761"/>
      <c r="X73" s="761"/>
      <c r="Y73" s="761" t="str">
        <f>IF(ISBLANK(VLOOKUP('Contact Information'!$A73,Input[],571,FALSE)),"",VLOOKUP('Contact Information'!$A73,Input[],571,FALSE))</f>
        <v>Leslie Fluharty</v>
      </c>
      <c r="Z73" s="761"/>
      <c r="AA73" s="761"/>
      <c r="AB73" s="761"/>
      <c r="AC73" s="761"/>
      <c r="AD73" s="763">
        <f>IF(ISBLANK(VLOOKUP('Contact Information'!$A73,Input[],572,FALSE)),"",VLOOKUP('Contact Information'!$A73,Input[],572,FALSE))</f>
        <v>7137431533</v>
      </c>
      <c r="AE73" s="763"/>
      <c r="AF73" s="763"/>
      <c r="AG73" s="763"/>
      <c r="AH73" s="761" t="str">
        <f>IF(ISBLANK(VLOOKUP('Contact Information'!$A73,Input[],573,FALSE)),"",VLOOKUP('Contact Information'!$A73,Input[],573,FALSE))</f>
        <v>laskweres@central.uh.edu</v>
      </c>
      <c r="AI73" s="761"/>
      <c r="AJ73" s="761"/>
      <c r="AK73" s="761"/>
      <c r="AL73" s="761"/>
      <c r="AM73" s="764"/>
      <c r="AN73" s="154"/>
    </row>
    <row r="74" spans="1:40" s="203" customFormat="1" ht="27" customHeight="1" x14ac:dyDescent="0.55000000000000004">
      <c r="A74" s="765" t="s">
        <v>745</v>
      </c>
      <c r="B74" s="758"/>
      <c r="C74" s="758"/>
      <c r="D74" s="758"/>
      <c r="E74" s="758"/>
      <c r="F74" s="758"/>
      <c r="G74" s="758"/>
      <c r="H74" s="758"/>
      <c r="I74" s="758"/>
      <c r="J74" s="766" t="str">
        <f>IF(ISBLANK(VLOOKUP('Contact Information'!$A74,Input[],568,FALSE)),"",VLOOKUP('Contact Information'!$A74,Input[],568,FALSE))</f>
        <v>Hotz Charlotte</v>
      </c>
      <c r="K74" s="766"/>
      <c r="L74" s="766"/>
      <c r="M74" s="766"/>
      <c r="N74" s="766"/>
      <c r="O74" s="767">
        <f>IF(ISBLANK(VLOOKUP('Contact Information'!$A74,Input[],569,FALSE)),"",VLOOKUP('Contact Information'!$A74,Input[],569,FALSE))</f>
        <v>7137435296</v>
      </c>
      <c r="P74" s="767"/>
      <c r="Q74" s="767"/>
      <c r="R74" s="767"/>
      <c r="S74" s="758" t="str">
        <f>IF(ISBLANK(VLOOKUP('Contact Information'!$A74,Input[],570,FALSE)),"",VLOOKUP('Contact Information'!$A74,Input[],570,FALSE))</f>
        <v>cahotz@uh.edu</v>
      </c>
      <c r="T74" s="758"/>
      <c r="U74" s="758"/>
      <c r="V74" s="758"/>
      <c r="W74" s="758"/>
      <c r="X74" s="758"/>
      <c r="Y74" s="758" t="str">
        <f>IF(ISBLANK(VLOOKUP('Contact Information'!$A74,Input[],571,FALSE)),"",VLOOKUP('Contact Information'!$A74,Input[],571,FALSE))</f>
        <v>Leslie Fluharty</v>
      </c>
      <c r="Z74" s="758"/>
      <c r="AA74" s="758"/>
      <c r="AB74" s="758"/>
      <c r="AC74" s="758"/>
      <c r="AD74" s="767">
        <f>IF(ISBLANK(VLOOKUP('Contact Information'!$A74,Input[],572,FALSE)),"",VLOOKUP('Contact Information'!$A74,Input[],572,FALSE))</f>
        <v>7137431533</v>
      </c>
      <c r="AE74" s="767"/>
      <c r="AF74" s="767"/>
      <c r="AG74" s="767"/>
      <c r="AH74" s="758" t="str">
        <f>IF(ISBLANK(VLOOKUP('Contact Information'!$A74,Input[],573,FALSE)),"",VLOOKUP('Contact Information'!$A74,Input[],573,FALSE))</f>
        <v>laskweres@uh.edu</v>
      </c>
      <c r="AI74" s="758"/>
      <c r="AJ74" s="758"/>
      <c r="AK74" s="758"/>
      <c r="AL74" s="758"/>
      <c r="AM74" s="759"/>
      <c r="AN74" s="154"/>
    </row>
    <row r="75" spans="1:40" s="203" customFormat="1" ht="27" customHeight="1" x14ac:dyDescent="0.55000000000000004">
      <c r="A75" s="760" t="s">
        <v>709</v>
      </c>
      <c r="B75" s="761"/>
      <c r="C75" s="761"/>
      <c r="D75" s="761"/>
      <c r="E75" s="761"/>
      <c r="F75" s="761"/>
      <c r="G75" s="761"/>
      <c r="H75" s="761"/>
      <c r="I75" s="761"/>
      <c r="J75" s="762" t="str">
        <f>IF(ISBLANK(VLOOKUP('Contact Information'!$A75,Input[],568,FALSE)),"",VLOOKUP('Contact Information'!$A75,Input[],568,FALSE))</f>
        <v>Folasade Baker</v>
      </c>
      <c r="K75" s="762"/>
      <c r="L75" s="762"/>
      <c r="M75" s="762"/>
      <c r="N75" s="762"/>
      <c r="O75" s="763">
        <f>IF(ISBLANK(VLOOKUP('Contact Information'!$A75,Input[],569,FALSE)),"",VLOOKUP('Contact Information'!$A75,Input[],569,FALSE))</f>
        <v>7137438188</v>
      </c>
      <c r="P75" s="763"/>
      <c r="Q75" s="763"/>
      <c r="R75" s="763"/>
      <c r="S75" s="761" t="str">
        <f>IF(ISBLANK(VLOOKUP('Contact Information'!$A75,Input[],570,FALSE)),"",VLOOKUP('Contact Information'!$A75,Input[],570,FALSE))</f>
        <v>fbaker@central.uh.edu</v>
      </c>
      <c r="T75" s="761"/>
      <c r="U75" s="761"/>
      <c r="V75" s="761"/>
      <c r="W75" s="761"/>
      <c r="X75" s="761"/>
      <c r="Y75" s="761" t="str">
        <f>IF(ISBLANK(VLOOKUP('Contact Information'!$A75,Input[],571,FALSE)),"",VLOOKUP('Contact Information'!$A75,Input[],571,FALSE))</f>
        <v>Charlotte Hotz Hotz</v>
      </c>
      <c r="Z75" s="761"/>
      <c r="AA75" s="761"/>
      <c r="AB75" s="761"/>
      <c r="AC75" s="761"/>
      <c r="AD75" s="763">
        <f>IF(ISBLANK(VLOOKUP('Contact Information'!$A75,Input[],572,FALSE)),"",VLOOKUP('Contact Information'!$A75,Input[],572,FALSE))</f>
        <v>7137435296</v>
      </c>
      <c r="AE75" s="763"/>
      <c r="AF75" s="763"/>
      <c r="AG75" s="763"/>
      <c r="AH75" s="761" t="str">
        <f>IF(ISBLANK(VLOOKUP('Contact Information'!$A75,Input[],573,FALSE)),"",VLOOKUP('Contact Information'!$A75,Input[],573,FALSE))</f>
        <v>cahotz@central.uh.edu</v>
      </c>
      <c r="AI75" s="761"/>
      <c r="AJ75" s="761"/>
      <c r="AK75" s="761"/>
      <c r="AL75" s="761"/>
      <c r="AM75" s="764"/>
      <c r="AN75" s="154"/>
    </row>
    <row r="76" spans="1:40" s="203" customFormat="1" ht="27" customHeight="1" x14ac:dyDescent="0.55000000000000004">
      <c r="A76" s="765" t="s">
        <v>87</v>
      </c>
      <c r="B76" s="758"/>
      <c r="C76" s="758"/>
      <c r="D76" s="758"/>
      <c r="E76" s="758"/>
      <c r="F76" s="758"/>
      <c r="G76" s="758"/>
      <c r="H76" s="758"/>
      <c r="I76" s="758"/>
      <c r="J76" s="766" t="str">
        <f>IF(ISBLANK(VLOOKUP('Contact Information'!$A76,Input[],568,FALSE)),"",VLOOKUP('Contact Information'!$A76,Input[],568,FALSE))</f>
        <v>Rafiu Fashina</v>
      </c>
      <c r="K76" s="766"/>
      <c r="L76" s="766"/>
      <c r="M76" s="766"/>
      <c r="N76" s="766"/>
      <c r="O76" s="767">
        <f>IF(ISBLANK(VLOOKUP('Contact Information'!$A76,Input[],569,FALSE)),"",VLOOKUP('Contact Information'!$A76,Input[],569,FALSE))</f>
        <v>9403695518</v>
      </c>
      <c r="P76" s="767"/>
      <c r="Q76" s="767"/>
      <c r="R76" s="767"/>
      <c r="S76" s="758" t="str">
        <f>IF(ISBLANK(VLOOKUP('Contact Information'!$A76,Input[],570,FALSE)),"",VLOOKUP('Contact Information'!$A76,Input[],570,FALSE))</f>
        <v>rafiu.fashina@unt.edu</v>
      </c>
      <c r="T76" s="758"/>
      <c r="U76" s="758"/>
      <c r="V76" s="758"/>
      <c r="W76" s="758"/>
      <c r="X76" s="758"/>
      <c r="Y76" s="758" t="str">
        <f>IF(ISBLANK(VLOOKUP('Contact Information'!$A76,Input[],571,FALSE)),"",VLOOKUP('Contact Information'!$A76,Input[],571,FALSE))</f>
        <v>Kristel Mcclaran</v>
      </c>
      <c r="Z76" s="758"/>
      <c r="AA76" s="758"/>
      <c r="AB76" s="758"/>
      <c r="AC76" s="758"/>
      <c r="AD76" s="767">
        <f>IF(ISBLANK(VLOOKUP('Contact Information'!$A76,Input[],572,FALSE)),"",VLOOKUP('Contact Information'!$A76,Input[],572,FALSE))</f>
        <v>9403695095</v>
      </c>
      <c r="AE76" s="767"/>
      <c r="AF76" s="767"/>
      <c r="AG76" s="767"/>
      <c r="AH76" s="758" t="str">
        <f>IF(ISBLANK(VLOOKUP('Contact Information'!$A76,Input[],573,FALSE)),"",VLOOKUP('Contact Information'!$A76,Input[],573,FALSE))</f>
        <v>kristel.mcclaran@unt.edu</v>
      </c>
      <c r="AI76" s="758"/>
      <c r="AJ76" s="758"/>
      <c r="AK76" s="758"/>
      <c r="AL76" s="758"/>
      <c r="AM76" s="759"/>
      <c r="AN76" s="154"/>
    </row>
    <row r="77" spans="1:40" s="203" customFormat="1" ht="27" customHeight="1" x14ac:dyDescent="0.55000000000000004">
      <c r="A77" s="760" t="s">
        <v>88</v>
      </c>
      <c r="B77" s="761"/>
      <c r="C77" s="761"/>
      <c r="D77" s="761"/>
      <c r="E77" s="761"/>
      <c r="F77" s="761"/>
      <c r="G77" s="761"/>
      <c r="H77" s="761"/>
      <c r="I77" s="761"/>
      <c r="J77" s="762" t="str">
        <f>IF(ISBLANK(VLOOKUP('Contact Information'!$A77,Input[],568,FALSE)),"",VLOOKUP('Contact Information'!$A77,Input[],568,FALSE))</f>
        <v>April Barnes</v>
      </c>
      <c r="K77" s="762"/>
      <c r="L77" s="762"/>
      <c r="M77" s="762"/>
      <c r="N77" s="762"/>
      <c r="O77" s="763">
        <f>IF(ISBLANK(VLOOKUP('Contact Information'!$A77,Input[],569,FALSE)),"",VLOOKUP('Contact Information'!$A77,Input[],569,FALSE))</f>
        <v>9723381425</v>
      </c>
      <c r="P77" s="763"/>
      <c r="Q77" s="763"/>
      <c r="R77" s="763"/>
      <c r="S77" s="761" t="str">
        <f>IF(ISBLANK(VLOOKUP('Contact Information'!$A77,Input[],570,FALSE)),"",VLOOKUP('Contact Information'!$A77,Input[],570,FALSE))</f>
        <v>april.barnes@untdallas.edu</v>
      </c>
      <c r="T77" s="761"/>
      <c r="U77" s="761"/>
      <c r="V77" s="761"/>
      <c r="W77" s="761"/>
      <c r="X77" s="761"/>
      <c r="Y77" s="761" t="str">
        <f>IF(ISBLANK(VLOOKUP('Contact Information'!$A77,Input[],571,FALSE)),"",VLOOKUP('Contact Information'!$A77,Input[],571,FALSE))</f>
        <v>Gia Doss</v>
      </c>
      <c r="Z77" s="761"/>
      <c r="AA77" s="761"/>
      <c r="AB77" s="761"/>
      <c r="AC77" s="761"/>
      <c r="AD77" s="763" t="str">
        <f>IF(ISBLANK(VLOOKUP('Contact Information'!$A77,Input[],572,FALSE)),"",VLOOKUP('Contact Information'!$A77,Input[],572,FALSE))</f>
        <v/>
      </c>
      <c r="AE77" s="763"/>
      <c r="AF77" s="763"/>
      <c r="AG77" s="763"/>
      <c r="AH77" s="761" t="str">
        <f>IF(ISBLANK(VLOOKUP('Contact Information'!$A77,Input[],573,FALSE)),"",VLOOKUP('Contact Information'!$A77,Input[],573,FALSE))</f>
        <v>gia.doss@untdallas.edu</v>
      </c>
      <c r="AI77" s="761"/>
      <c r="AJ77" s="761"/>
      <c r="AK77" s="761"/>
      <c r="AL77" s="761"/>
      <c r="AM77" s="764"/>
      <c r="AN77" s="154"/>
    </row>
    <row r="78" spans="1:40" s="203" customFormat="1" ht="27" customHeight="1" x14ac:dyDescent="0.55000000000000004">
      <c r="A78" s="765" t="s">
        <v>46</v>
      </c>
      <c r="B78" s="758"/>
      <c r="C78" s="758"/>
      <c r="D78" s="758"/>
      <c r="E78" s="758"/>
      <c r="F78" s="758"/>
      <c r="G78" s="758"/>
      <c r="H78" s="758"/>
      <c r="I78" s="758"/>
      <c r="J78" s="766" t="str">
        <f>IF(ISBLANK(VLOOKUP('Contact Information'!$A78,Input[],568,FALSE)),"",VLOOKUP('Contact Information'!$A78,Input[],568,FALSE))</f>
        <v>Julie Meisinger</v>
      </c>
      <c r="K78" s="766"/>
      <c r="L78" s="766"/>
      <c r="M78" s="766"/>
      <c r="N78" s="766"/>
      <c r="O78" s="767">
        <f>IF(ISBLANK(VLOOKUP('Contact Information'!$A78,Input[],569,FALSE)),"",VLOOKUP('Contact Information'!$A78,Input[],569,FALSE))</f>
        <v>8177352609</v>
      </c>
      <c r="P78" s="767"/>
      <c r="Q78" s="767"/>
      <c r="R78" s="767"/>
      <c r="S78" s="758" t="str">
        <f>IF(ISBLANK(VLOOKUP('Contact Information'!$A78,Input[],570,FALSE)),"",VLOOKUP('Contact Information'!$A78,Input[],570,FALSE))</f>
        <v>julie.meisinger@unthsc.edu</v>
      </c>
      <c r="T78" s="758"/>
      <c r="U78" s="758"/>
      <c r="V78" s="758"/>
      <c r="W78" s="758"/>
      <c r="X78" s="758"/>
      <c r="Y78" s="758" t="str">
        <f>IF(ISBLANK(VLOOKUP('Contact Information'!$A78,Input[],571,FALSE)),"",VLOOKUP('Contact Information'!$A78,Input[],571,FALSE))</f>
        <v>Tom Spencer</v>
      </c>
      <c r="Z78" s="758"/>
      <c r="AA78" s="758"/>
      <c r="AB78" s="758"/>
      <c r="AC78" s="758"/>
      <c r="AD78" s="767">
        <f>IF(ISBLANK(VLOOKUP('Contact Information'!$A78,Input[],572,FALSE)),"",VLOOKUP('Contact Information'!$A78,Input[],572,FALSE))</f>
        <v>8177352536</v>
      </c>
      <c r="AE78" s="767"/>
      <c r="AF78" s="767"/>
      <c r="AG78" s="767"/>
      <c r="AH78" s="758" t="str">
        <f>IF(ISBLANK(VLOOKUP('Contact Information'!$A78,Input[],573,FALSE)),"",VLOOKUP('Contact Information'!$A78,Input[],573,FALSE))</f>
        <v>tom.spencer@unthsc.edu</v>
      </c>
      <c r="AI78" s="758"/>
      <c r="AJ78" s="758"/>
      <c r="AK78" s="758"/>
      <c r="AL78" s="758"/>
      <c r="AM78" s="759"/>
      <c r="AN78" s="154"/>
    </row>
    <row r="79" spans="1:40" s="203" customFormat="1" ht="27" customHeight="1" x14ac:dyDescent="0.55000000000000004">
      <c r="A79" s="760" t="s">
        <v>719</v>
      </c>
      <c r="B79" s="761"/>
      <c r="C79" s="761"/>
      <c r="D79" s="761"/>
      <c r="E79" s="761"/>
      <c r="F79" s="761"/>
      <c r="G79" s="761"/>
      <c r="H79" s="761"/>
      <c r="I79" s="761"/>
      <c r="J79" s="762" t="str">
        <f>IF(ISBLANK(VLOOKUP('Contact Information'!$A79,Input[],568,FALSE)),"",VLOOKUP('Contact Information'!$A79,Input[],568,FALSE))</f>
        <v>Michael Hensley</v>
      </c>
      <c r="K79" s="762"/>
      <c r="L79" s="762"/>
      <c r="M79" s="762"/>
      <c r="N79" s="762"/>
      <c r="O79" s="763">
        <f>IF(ISBLANK(VLOOKUP('Contact Information'!$A79,Input[],569,FALSE)),"",VLOOKUP('Contact Information'!$A79,Input[],569,FALSE))</f>
        <v>9403695097</v>
      </c>
      <c r="P79" s="763"/>
      <c r="Q79" s="763"/>
      <c r="R79" s="763"/>
      <c r="S79" s="761" t="str">
        <f>IF(ISBLANK(VLOOKUP('Contact Information'!$A79,Input[],570,FALSE)),"",VLOOKUP('Contact Information'!$A79,Input[],570,FALSE))</f>
        <v>michael.hensley@untsystem.edu</v>
      </c>
      <c r="T79" s="761"/>
      <c r="U79" s="761"/>
      <c r="V79" s="761"/>
      <c r="W79" s="761"/>
      <c r="X79" s="761"/>
      <c r="Y79" s="761" t="str">
        <f>IF(ISBLANK(VLOOKUP('Contact Information'!$A79,Input[],571,FALSE)),"",VLOOKUP('Contact Information'!$A79,Input[],571,FALSE))</f>
        <v>Brittany Wisdom</v>
      </c>
      <c r="Z79" s="761"/>
      <c r="AA79" s="761"/>
      <c r="AB79" s="761"/>
      <c r="AC79" s="761"/>
      <c r="AD79" s="763">
        <f>IF(ISBLANK(VLOOKUP('Contact Information'!$A79,Input[],572,FALSE)),"",VLOOKUP('Contact Information'!$A79,Input[],572,FALSE))</f>
        <v>9403695524</v>
      </c>
      <c r="AE79" s="763"/>
      <c r="AF79" s="763"/>
      <c r="AG79" s="763"/>
      <c r="AH79" s="761" t="str">
        <f>IF(ISBLANK(VLOOKUP('Contact Information'!$A79,Input[],573,FALSE)),"",VLOOKUP('Contact Information'!$A79,Input[],573,FALSE))</f>
        <v>brittany.wisdom@untsystem.edu</v>
      </c>
      <c r="AI79" s="761"/>
      <c r="AJ79" s="761"/>
      <c r="AK79" s="761"/>
      <c r="AL79" s="761"/>
      <c r="AM79" s="764"/>
      <c r="AN79" s="154"/>
    </row>
    <row r="80" spans="1:40" s="203" customFormat="1" ht="27" customHeight="1" x14ac:dyDescent="0.55000000000000004">
      <c r="A80" s="755" t="s">
        <v>73</v>
      </c>
      <c r="B80" s="753"/>
      <c r="C80" s="753"/>
      <c r="D80" s="753"/>
      <c r="E80" s="753"/>
      <c r="F80" s="753"/>
      <c r="G80" s="753"/>
      <c r="H80" s="753"/>
      <c r="I80" s="753"/>
      <c r="J80" s="756" t="str">
        <f>IF(ISBLANK(VLOOKUP('Contact Information'!$A80,Input[],568,FALSE)),"",VLOOKUP('Contact Information'!$A80,Input[],568,FALSE))</f>
        <v>Nancy Hranicky</v>
      </c>
      <c r="K80" s="756"/>
      <c r="L80" s="756"/>
      <c r="M80" s="756"/>
      <c r="N80" s="756"/>
      <c r="O80" s="757">
        <f>IF(ISBLANK(VLOOKUP('Contact Information'!$A80,Input[],569,FALSE)),"",VLOOKUP('Contact Information'!$A80,Input[],569,FALSE))</f>
        <v>9798459761</v>
      </c>
      <c r="P80" s="757"/>
      <c r="Q80" s="757"/>
      <c r="R80" s="757"/>
      <c r="S80" s="753" t="str">
        <f>IF(ISBLANK(VLOOKUP('Contact Information'!$A80,Input[],570,FALSE)),"",VLOOKUP('Contact Information'!$A80,Input[],570,FALSE))</f>
        <v>nhranicky@tamus.edu</v>
      </c>
      <c r="T80" s="753"/>
      <c r="U80" s="753"/>
      <c r="V80" s="753"/>
      <c r="W80" s="753"/>
      <c r="X80" s="753"/>
      <c r="Y80" s="753" t="str">
        <f>IF(ISBLANK(VLOOKUP('Contact Information'!$A80,Input[],571,FALSE)),"",VLOOKUP('Contact Information'!$A80,Input[],571,FALSE))</f>
        <v>Todd Mcneill</v>
      </c>
      <c r="Z80" s="753"/>
      <c r="AA80" s="753"/>
      <c r="AB80" s="753"/>
      <c r="AC80" s="753"/>
      <c r="AD80" s="757">
        <f>IF(ISBLANK(VLOOKUP('Contact Information'!$A80,Input[],572,FALSE)),"",VLOOKUP('Contact Information'!$A80,Input[],572,FALSE))</f>
        <v>8066512078</v>
      </c>
      <c r="AE80" s="757"/>
      <c r="AF80" s="757"/>
      <c r="AG80" s="757"/>
      <c r="AH80" s="753" t="str">
        <f>IF(ISBLANK(VLOOKUP('Contact Information'!$A80,Input[],573,FALSE)),"",VLOOKUP('Contact Information'!$A80,Input[],573,FALSE))</f>
        <v>tmcneill@wtamu.edu</v>
      </c>
      <c r="AI80" s="753"/>
      <c r="AJ80" s="753"/>
      <c r="AK80" s="753"/>
      <c r="AL80" s="753"/>
      <c r="AM80" s="754"/>
      <c r="AN80" s="154"/>
    </row>
    <row r="81" spans="1:40" ht="27" customHeight="1" x14ac:dyDescent="0.55000000000000004">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row>
  </sheetData>
  <sheetProtection algorithmName="SHA-512" hashValue="/2Zvag+S5QbJSmJHq59bHDFS6/+vlPODT94T3sX9pdazxF15VGJr83DFgXQsMtnVxxgLlys+WmyJ5V4r1BPFPw==" saltValue="CHcxR6jNwrgva5hvYonERw==" spinCount="100000" sheet="1" objects="1" scenarios="1" formatColumns="0" formatRows="0"/>
  <mergeCells count="560">
    <mergeCell ref="A1:I1"/>
    <mergeCell ref="AH1:AM1"/>
    <mergeCell ref="AD1:AG1"/>
    <mergeCell ref="Y1:AC1"/>
    <mergeCell ref="S1:X1"/>
    <mergeCell ref="O1:R1"/>
    <mergeCell ref="J1:N1"/>
    <mergeCell ref="A3:I3"/>
    <mergeCell ref="J3:N3"/>
    <mergeCell ref="O3:R3"/>
    <mergeCell ref="S3:X3"/>
    <mergeCell ref="Y3:AC3"/>
    <mergeCell ref="AD3:AG3"/>
    <mergeCell ref="AH3:AM3"/>
    <mergeCell ref="A2:I2"/>
    <mergeCell ref="AH2:AM2"/>
    <mergeCell ref="AD2:AG2"/>
    <mergeCell ref="Y2:AC2"/>
    <mergeCell ref="S2:X2"/>
    <mergeCell ref="O2:R2"/>
    <mergeCell ref="J2:N2"/>
    <mergeCell ref="AH4:AM4"/>
    <mergeCell ref="A5:I5"/>
    <mergeCell ref="J5:N5"/>
    <mergeCell ref="O5:R5"/>
    <mergeCell ref="S5:X5"/>
    <mergeCell ref="Y5:AC5"/>
    <mergeCell ref="AD5:AG5"/>
    <mergeCell ref="AH5:AM5"/>
    <mergeCell ref="A4:I4"/>
    <mergeCell ref="J4:N4"/>
    <mergeCell ref="O4:R4"/>
    <mergeCell ref="S4:X4"/>
    <mergeCell ref="Y4:AC4"/>
    <mergeCell ref="AD4:AG4"/>
    <mergeCell ref="AH6:AM6"/>
    <mergeCell ref="A7:I7"/>
    <mergeCell ref="J7:N7"/>
    <mergeCell ref="O7:R7"/>
    <mergeCell ref="S7:X7"/>
    <mergeCell ref="Y7:AC7"/>
    <mergeCell ref="AD7:AG7"/>
    <mergeCell ref="AH7:AM7"/>
    <mergeCell ref="A6:I6"/>
    <mergeCell ref="J6:N6"/>
    <mergeCell ref="O6:R6"/>
    <mergeCell ref="S6:X6"/>
    <mergeCell ref="Y6:AC6"/>
    <mergeCell ref="AD6:AG6"/>
    <mergeCell ref="AH8:AM8"/>
    <mergeCell ref="A9:I9"/>
    <mergeCell ref="J9:N9"/>
    <mergeCell ref="O9:R9"/>
    <mergeCell ref="S9:X9"/>
    <mergeCell ref="Y9:AC9"/>
    <mergeCell ref="AD9:AG9"/>
    <mergeCell ref="AH9:AM9"/>
    <mergeCell ref="A8:I8"/>
    <mergeCell ref="J8:N8"/>
    <mergeCell ref="O8:R8"/>
    <mergeCell ref="S8:X8"/>
    <mergeCell ref="Y8:AC8"/>
    <mergeCell ref="AD8:AG8"/>
    <mergeCell ref="AH10:AM10"/>
    <mergeCell ref="A11:I11"/>
    <mergeCell ref="J11:N11"/>
    <mergeCell ref="O11:R11"/>
    <mergeCell ref="S11:X11"/>
    <mergeCell ref="Y11:AC11"/>
    <mergeCell ref="AD11:AG11"/>
    <mergeCell ref="AH11:AM11"/>
    <mergeCell ref="A10:I10"/>
    <mergeCell ref="J10:N10"/>
    <mergeCell ref="O10:R10"/>
    <mergeCell ref="S10:X10"/>
    <mergeCell ref="Y10:AC10"/>
    <mergeCell ref="AD10:AG10"/>
    <mergeCell ref="AH12:AM12"/>
    <mergeCell ref="A13:I13"/>
    <mergeCell ref="J13:N13"/>
    <mergeCell ref="O13:R13"/>
    <mergeCell ref="S13:X13"/>
    <mergeCell ref="Y13:AC13"/>
    <mergeCell ref="AD13:AG13"/>
    <mergeCell ref="AH13:AM13"/>
    <mergeCell ref="A12:I12"/>
    <mergeCell ref="J12:N12"/>
    <mergeCell ref="O12:R12"/>
    <mergeCell ref="S12:X12"/>
    <mergeCell ref="Y12:AC12"/>
    <mergeCell ref="AD12:AG12"/>
    <mergeCell ref="AH14:AM14"/>
    <mergeCell ref="A15:I15"/>
    <mergeCell ref="J15:N15"/>
    <mergeCell ref="O15:R15"/>
    <mergeCell ref="S15:X15"/>
    <mergeCell ref="Y15:AC15"/>
    <mergeCell ref="AD15:AG15"/>
    <mergeCell ref="AH15:AM15"/>
    <mergeCell ref="A14:I14"/>
    <mergeCell ref="J14:N14"/>
    <mergeCell ref="O14:R14"/>
    <mergeCell ref="S14:X14"/>
    <mergeCell ref="Y14:AC14"/>
    <mergeCell ref="AD14:AG14"/>
    <mergeCell ref="AH16:AM16"/>
    <mergeCell ref="A17:I17"/>
    <mergeCell ref="J17:N17"/>
    <mergeCell ref="O17:R17"/>
    <mergeCell ref="S17:X17"/>
    <mergeCell ref="Y17:AC17"/>
    <mergeCell ref="AD17:AG17"/>
    <mergeCell ref="AH17:AM17"/>
    <mergeCell ref="A16:I16"/>
    <mergeCell ref="J16:N16"/>
    <mergeCell ref="O16:R16"/>
    <mergeCell ref="S16:X16"/>
    <mergeCell ref="Y16:AC16"/>
    <mergeCell ref="AD16:AG16"/>
    <mergeCell ref="AH18:AM18"/>
    <mergeCell ref="A19:I19"/>
    <mergeCell ref="J19:N19"/>
    <mergeCell ref="O19:R19"/>
    <mergeCell ref="S19:X19"/>
    <mergeCell ref="Y19:AC19"/>
    <mergeCell ref="AD19:AG19"/>
    <mergeCell ref="AH19:AM19"/>
    <mergeCell ref="A18:I18"/>
    <mergeCell ref="J18:N18"/>
    <mergeCell ref="O18:R18"/>
    <mergeCell ref="S18:X18"/>
    <mergeCell ref="Y18:AC18"/>
    <mergeCell ref="AD18:AG18"/>
    <mergeCell ref="AH20:AM20"/>
    <mergeCell ref="A21:I21"/>
    <mergeCell ref="J21:N21"/>
    <mergeCell ref="O21:R21"/>
    <mergeCell ref="S21:X21"/>
    <mergeCell ref="Y21:AC21"/>
    <mergeCell ref="AD21:AG21"/>
    <mergeCell ref="AH21:AM21"/>
    <mergeCell ref="A20:I20"/>
    <mergeCell ref="J20:N20"/>
    <mergeCell ref="O20:R20"/>
    <mergeCell ref="S20:X20"/>
    <mergeCell ref="Y20:AC20"/>
    <mergeCell ref="AD20:AG20"/>
    <mergeCell ref="AH22:AM22"/>
    <mergeCell ref="A23:I23"/>
    <mergeCell ref="J23:N23"/>
    <mergeCell ref="O23:R23"/>
    <mergeCell ref="S23:X23"/>
    <mergeCell ref="Y23:AC23"/>
    <mergeCell ref="AD23:AG23"/>
    <mergeCell ref="AH23:AM23"/>
    <mergeCell ref="A22:I22"/>
    <mergeCell ref="J22:N22"/>
    <mergeCell ref="O22:R22"/>
    <mergeCell ref="S22:X22"/>
    <mergeCell ref="Y22:AC22"/>
    <mergeCell ref="AD22:AG22"/>
    <mergeCell ref="AH24:AM24"/>
    <mergeCell ref="A25:I25"/>
    <mergeCell ref="J25:N25"/>
    <mergeCell ref="O25:R25"/>
    <mergeCell ref="S25:X25"/>
    <mergeCell ref="Y25:AC25"/>
    <mergeCell ref="AD25:AG25"/>
    <mergeCell ref="AH25:AM25"/>
    <mergeCell ref="A24:I24"/>
    <mergeCell ref="J24:N24"/>
    <mergeCell ref="O24:R24"/>
    <mergeCell ref="S24:X24"/>
    <mergeCell ref="Y24:AC24"/>
    <mergeCell ref="AD24:AG24"/>
    <mergeCell ref="AH26:AM26"/>
    <mergeCell ref="A27:I27"/>
    <mergeCell ref="J27:N27"/>
    <mergeCell ref="O27:R27"/>
    <mergeCell ref="S27:X27"/>
    <mergeCell ref="Y27:AC27"/>
    <mergeCell ref="AD27:AG27"/>
    <mergeCell ref="AH27:AM27"/>
    <mergeCell ref="A26:I26"/>
    <mergeCell ref="J26:N26"/>
    <mergeCell ref="O26:R26"/>
    <mergeCell ref="S26:X26"/>
    <mergeCell ref="Y26:AC26"/>
    <mergeCell ref="AD26:AG26"/>
    <mergeCell ref="AH28:AM28"/>
    <mergeCell ref="A29:I29"/>
    <mergeCell ref="J29:N29"/>
    <mergeCell ref="O29:R29"/>
    <mergeCell ref="S29:X29"/>
    <mergeCell ref="Y29:AC29"/>
    <mergeCell ref="AD29:AG29"/>
    <mergeCell ref="AH29:AM29"/>
    <mergeCell ref="A28:I28"/>
    <mergeCell ref="J28:N28"/>
    <mergeCell ref="O28:R28"/>
    <mergeCell ref="S28:X28"/>
    <mergeCell ref="Y28:AC28"/>
    <mergeCell ref="AD28:AG28"/>
    <mergeCell ref="AH30:AM30"/>
    <mergeCell ref="A31:I31"/>
    <mergeCell ref="J31:N31"/>
    <mergeCell ref="O31:R31"/>
    <mergeCell ref="S31:X31"/>
    <mergeCell ref="Y31:AC31"/>
    <mergeCell ref="AD31:AG31"/>
    <mergeCell ref="AH31:AM31"/>
    <mergeCell ref="A30:I30"/>
    <mergeCell ref="J30:N30"/>
    <mergeCell ref="O30:R30"/>
    <mergeCell ref="S30:X30"/>
    <mergeCell ref="Y30:AC30"/>
    <mergeCell ref="AD30:AG30"/>
    <mergeCell ref="AH32:AM32"/>
    <mergeCell ref="A33:I33"/>
    <mergeCell ref="J33:N33"/>
    <mergeCell ref="O33:R33"/>
    <mergeCell ref="S33:X33"/>
    <mergeCell ref="Y33:AC33"/>
    <mergeCell ref="AD33:AG33"/>
    <mergeCell ref="AH33:AM33"/>
    <mergeCell ref="A32:I32"/>
    <mergeCell ref="J32:N32"/>
    <mergeCell ref="O32:R32"/>
    <mergeCell ref="S32:X32"/>
    <mergeCell ref="Y32:AC32"/>
    <mergeCell ref="AD32:AG32"/>
    <mergeCell ref="AH34:AM34"/>
    <mergeCell ref="A35:I35"/>
    <mergeCell ref="J35:N35"/>
    <mergeCell ref="O35:R35"/>
    <mergeCell ref="S35:X35"/>
    <mergeCell ref="Y35:AC35"/>
    <mergeCell ref="AD35:AG35"/>
    <mergeCell ref="AH35:AM35"/>
    <mergeCell ref="A34:I34"/>
    <mergeCell ref="J34:N34"/>
    <mergeCell ref="O34:R34"/>
    <mergeCell ref="S34:X34"/>
    <mergeCell ref="Y34:AC34"/>
    <mergeCell ref="AD34:AG34"/>
    <mergeCell ref="AH36:AM36"/>
    <mergeCell ref="A37:I37"/>
    <mergeCell ref="J37:N37"/>
    <mergeCell ref="O37:R37"/>
    <mergeCell ref="S37:X37"/>
    <mergeCell ref="Y37:AC37"/>
    <mergeCell ref="AD37:AG37"/>
    <mergeCell ref="AH37:AM37"/>
    <mergeCell ref="A36:I36"/>
    <mergeCell ref="J36:N36"/>
    <mergeCell ref="O36:R36"/>
    <mergeCell ref="S36:X36"/>
    <mergeCell ref="Y36:AC36"/>
    <mergeCell ref="AD36:AG36"/>
    <mergeCell ref="AH38:AM38"/>
    <mergeCell ref="A39:I39"/>
    <mergeCell ref="J39:N39"/>
    <mergeCell ref="O39:R39"/>
    <mergeCell ref="S39:X39"/>
    <mergeCell ref="Y39:AC39"/>
    <mergeCell ref="AD39:AG39"/>
    <mergeCell ref="AH39:AM39"/>
    <mergeCell ref="A38:I38"/>
    <mergeCell ref="J38:N38"/>
    <mergeCell ref="O38:R38"/>
    <mergeCell ref="S38:X38"/>
    <mergeCell ref="Y38:AC38"/>
    <mergeCell ref="AD38:AG38"/>
    <mergeCell ref="AH40:AM40"/>
    <mergeCell ref="A41:I41"/>
    <mergeCell ref="J41:N41"/>
    <mergeCell ref="O41:R41"/>
    <mergeCell ref="S41:X41"/>
    <mergeCell ref="Y41:AC41"/>
    <mergeCell ref="AD41:AG41"/>
    <mergeCell ref="AH41:AM41"/>
    <mergeCell ref="A40:I40"/>
    <mergeCell ref="J40:N40"/>
    <mergeCell ref="O40:R40"/>
    <mergeCell ref="S40:X40"/>
    <mergeCell ref="Y40:AC40"/>
    <mergeCell ref="AD40:AG40"/>
    <mergeCell ref="AH42:AM42"/>
    <mergeCell ref="A43:I43"/>
    <mergeCell ref="J43:N43"/>
    <mergeCell ref="O43:R43"/>
    <mergeCell ref="S43:X43"/>
    <mergeCell ref="Y43:AC43"/>
    <mergeCell ref="AD43:AG43"/>
    <mergeCell ref="AH43:AM43"/>
    <mergeCell ref="A42:I42"/>
    <mergeCell ref="J42:N42"/>
    <mergeCell ref="O42:R42"/>
    <mergeCell ref="S42:X42"/>
    <mergeCell ref="Y42:AC42"/>
    <mergeCell ref="AD42:AG42"/>
    <mergeCell ref="AH44:AM44"/>
    <mergeCell ref="A45:I45"/>
    <mergeCell ref="J45:N45"/>
    <mergeCell ref="O45:R45"/>
    <mergeCell ref="S45:X45"/>
    <mergeCell ref="Y45:AC45"/>
    <mergeCell ref="AD45:AG45"/>
    <mergeCell ref="AH45:AM45"/>
    <mergeCell ref="A44:I44"/>
    <mergeCell ref="J44:N44"/>
    <mergeCell ref="O44:R44"/>
    <mergeCell ref="S44:X44"/>
    <mergeCell ref="Y44:AC44"/>
    <mergeCell ref="AD44:AG44"/>
    <mergeCell ref="AH46:AM46"/>
    <mergeCell ref="A47:I47"/>
    <mergeCell ref="J47:N47"/>
    <mergeCell ref="O47:R47"/>
    <mergeCell ref="S47:X47"/>
    <mergeCell ref="Y47:AC47"/>
    <mergeCell ref="AD47:AG47"/>
    <mergeCell ref="AH47:AM47"/>
    <mergeCell ref="A46:I46"/>
    <mergeCell ref="J46:N46"/>
    <mergeCell ref="O46:R46"/>
    <mergeCell ref="S46:X46"/>
    <mergeCell ref="Y46:AC46"/>
    <mergeCell ref="AD46:AG46"/>
    <mergeCell ref="AH48:AM48"/>
    <mergeCell ref="A49:I49"/>
    <mergeCell ref="J49:N49"/>
    <mergeCell ref="O49:R49"/>
    <mergeCell ref="S49:X49"/>
    <mergeCell ref="Y49:AC49"/>
    <mergeCell ref="AD49:AG49"/>
    <mergeCell ref="AH49:AM49"/>
    <mergeCell ref="A48:I48"/>
    <mergeCell ref="J48:N48"/>
    <mergeCell ref="O48:R48"/>
    <mergeCell ref="S48:X48"/>
    <mergeCell ref="Y48:AC48"/>
    <mergeCell ref="AD48:AG48"/>
    <mergeCell ref="AH50:AM50"/>
    <mergeCell ref="A51:I51"/>
    <mergeCell ref="J51:N51"/>
    <mergeCell ref="O51:R51"/>
    <mergeCell ref="S51:X51"/>
    <mergeCell ref="Y51:AC51"/>
    <mergeCell ref="AD51:AG51"/>
    <mergeCell ref="AH51:AM51"/>
    <mergeCell ref="A50:I50"/>
    <mergeCell ref="J50:N50"/>
    <mergeCell ref="O50:R50"/>
    <mergeCell ref="S50:X50"/>
    <mergeCell ref="Y50:AC50"/>
    <mergeCell ref="AD50:AG50"/>
    <mergeCell ref="AH52:AM52"/>
    <mergeCell ref="A53:I53"/>
    <mergeCell ref="J53:N53"/>
    <mergeCell ref="O53:R53"/>
    <mergeCell ref="S53:X53"/>
    <mergeCell ref="Y53:AC53"/>
    <mergeCell ref="AD53:AG53"/>
    <mergeCell ref="AH53:AM53"/>
    <mergeCell ref="A52:I52"/>
    <mergeCell ref="J52:N52"/>
    <mergeCell ref="O52:R52"/>
    <mergeCell ref="S52:X52"/>
    <mergeCell ref="Y52:AC52"/>
    <mergeCell ref="AD52:AG52"/>
    <mergeCell ref="AH54:AM54"/>
    <mergeCell ref="A55:I55"/>
    <mergeCell ref="J55:N55"/>
    <mergeCell ref="O55:R55"/>
    <mergeCell ref="S55:X55"/>
    <mergeCell ref="Y55:AC55"/>
    <mergeCell ref="AD55:AG55"/>
    <mergeCell ref="AH55:AM55"/>
    <mergeCell ref="A54:I54"/>
    <mergeCell ref="J54:N54"/>
    <mergeCell ref="O54:R54"/>
    <mergeCell ref="S54:X54"/>
    <mergeCell ref="Y54:AC54"/>
    <mergeCell ref="AD54:AG54"/>
    <mergeCell ref="AH56:AM56"/>
    <mergeCell ref="A57:I57"/>
    <mergeCell ref="J57:N57"/>
    <mergeCell ref="O57:R57"/>
    <mergeCell ref="S57:X57"/>
    <mergeCell ref="Y57:AC57"/>
    <mergeCell ref="AD57:AG57"/>
    <mergeCell ref="AH57:AM57"/>
    <mergeCell ref="A56:I56"/>
    <mergeCell ref="J56:N56"/>
    <mergeCell ref="O56:R56"/>
    <mergeCell ref="S56:X56"/>
    <mergeCell ref="Y56:AC56"/>
    <mergeCell ref="AD56:AG56"/>
    <mergeCell ref="AH58:AM58"/>
    <mergeCell ref="A59:I59"/>
    <mergeCell ref="J59:N59"/>
    <mergeCell ref="O59:R59"/>
    <mergeCell ref="S59:X59"/>
    <mergeCell ref="Y59:AC59"/>
    <mergeCell ref="AD59:AG59"/>
    <mergeCell ref="AH59:AM59"/>
    <mergeCell ref="A58:I58"/>
    <mergeCell ref="J58:N58"/>
    <mergeCell ref="O58:R58"/>
    <mergeCell ref="S58:X58"/>
    <mergeCell ref="Y58:AC58"/>
    <mergeCell ref="AD58:AG58"/>
    <mergeCell ref="AH60:AM60"/>
    <mergeCell ref="A61:I61"/>
    <mergeCell ref="J61:N61"/>
    <mergeCell ref="O61:R61"/>
    <mergeCell ref="S61:X61"/>
    <mergeCell ref="Y61:AC61"/>
    <mergeCell ref="AD61:AG61"/>
    <mergeCell ref="AH61:AM61"/>
    <mergeCell ref="A60:I60"/>
    <mergeCell ref="J60:N60"/>
    <mergeCell ref="O60:R60"/>
    <mergeCell ref="S60:X60"/>
    <mergeCell ref="Y60:AC60"/>
    <mergeCell ref="AD60:AG60"/>
    <mergeCell ref="AH62:AM62"/>
    <mergeCell ref="A63:I63"/>
    <mergeCell ref="J63:N63"/>
    <mergeCell ref="O63:R63"/>
    <mergeCell ref="S63:X63"/>
    <mergeCell ref="Y63:AC63"/>
    <mergeCell ref="AD63:AG63"/>
    <mergeCell ref="AH63:AM63"/>
    <mergeCell ref="A62:I62"/>
    <mergeCell ref="J62:N62"/>
    <mergeCell ref="O62:R62"/>
    <mergeCell ref="S62:X62"/>
    <mergeCell ref="Y62:AC62"/>
    <mergeCell ref="AD62:AG62"/>
    <mergeCell ref="AH64:AM64"/>
    <mergeCell ref="A65:I65"/>
    <mergeCell ref="J65:N65"/>
    <mergeCell ref="O65:R65"/>
    <mergeCell ref="S65:X65"/>
    <mergeCell ref="Y65:AC65"/>
    <mergeCell ref="AD65:AG65"/>
    <mergeCell ref="AH65:AM65"/>
    <mergeCell ref="A64:I64"/>
    <mergeCell ref="J64:N64"/>
    <mergeCell ref="O64:R64"/>
    <mergeCell ref="S64:X64"/>
    <mergeCell ref="Y64:AC64"/>
    <mergeCell ref="AD64:AG64"/>
    <mergeCell ref="AH66:AM66"/>
    <mergeCell ref="A67:I67"/>
    <mergeCell ref="J67:N67"/>
    <mergeCell ref="O67:R67"/>
    <mergeCell ref="S67:X67"/>
    <mergeCell ref="Y67:AC67"/>
    <mergeCell ref="AD67:AG67"/>
    <mergeCell ref="AH67:AM67"/>
    <mergeCell ref="A66:I66"/>
    <mergeCell ref="J66:N66"/>
    <mergeCell ref="O66:R66"/>
    <mergeCell ref="S66:X66"/>
    <mergeCell ref="Y66:AC66"/>
    <mergeCell ref="AD66:AG66"/>
    <mergeCell ref="AH68:AM68"/>
    <mergeCell ref="A69:I69"/>
    <mergeCell ref="J69:N69"/>
    <mergeCell ref="O69:R69"/>
    <mergeCell ref="S69:X69"/>
    <mergeCell ref="Y69:AC69"/>
    <mergeCell ref="AD69:AG69"/>
    <mergeCell ref="AH69:AM69"/>
    <mergeCell ref="A68:I68"/>
    <mergeCell ref="J68:N68"/>
    <mergeCell ref="O68:R68"/>
    <mergeCell ref="S68:X68"/>
    <mergeCell ref="Y68:AC68"/>
    <mergeCell ref="AD68:AG68"/>
    <mergeCell ref="AH70:AM70"/>
    <mergeCell ref="A71:I71"/>
    <mergeCell ref="J71:N71"/>
    <mergeCell ref="O71:R71"/>
    <mergeCell ref="S71:X71"/>
    <mergeCell ref="Y71:AC71"/>
    <mergeCell ref="AD71:AG71"/>
    <mergeCell ref="AH71:AM71"/>
    <mergeCell ref="A70:I70"/>
    <mergeCell ref="J70:N70"/>
    <mergeCell ref="O70:R70"/>
    <mergeCell ref="S70:X70"/>
    <mergeCell ref="Y70:AC70"/>
    <mergeCell ref="AD70:AG70"/>
    <mergeCell ref="AH72:AM72"/>
    <mergeCell ref="A73:I73"/>
    <mergeCell ref="J73:N73"/>
    <mergeCell ref="O73:R73"/>
    <mergeCell ref="S73:X73"/>
    <mergeCell ref="Y73:AC73"/>
    <mergeCell ref="AD73:AG73"/>
    <mergeCell ref="AH73:AM73"/>
    <mergeCell ref="A72:I72"/>
    <mergeCell ref="J72:N72"/>
    <mergeCell ref="O72:R72"/>
    <mergeCell ref="S72:X72"/>
    <mergeCell ref="Y72:AC72"/>
    <mergeCell ref="AD72:AG72"/>
    <mergeCell ref="AH74:AM74"/>
    <mergeCell ref="A75:I75"/>
    <mergeCell ref="J75:N75"/>
    <mergeCell ref="O75:R75"/>
    <mergeCell ref="S75:X75"/>
    <mergeCell ref="Y75:AC75"/>
    <mergeCell ref="AD75:AG75"/>
    <mergeCell ref="AH75:AM75"/>
    <mergeCell ref="A74:I74"/>
    <mergeCell ref="J74:N74"/>
    <mergeCell ref="O74:R74"/>
    <mergeCell ref="S74:X74"/>
    <mergeCell ref="Y74:AC74"/>
    <mergeCell ref="AD74:AG74"/>
    <mergeCell ref="AH76:AM76"/>
    <mergeCell ref="A77:I77"/>
    <mergeCell ref="J77:N77"/>
    <mergeCell ref="O77:R77"/>
    <mergeCell ref="S77:X77"/>
    <mergeCell ref="Y77:AC77"/>
    <mergeCell ref="AD77:AG77"/>
    <mergeCell ref="AH77:AM77"/>
    <mergeCell ref="A76:I76"/>
    <mergeCell ref="J76:N76"/>
    <mergeCell ref="O76:R76"/>
    <mergeCell ref="S76:X76"/>
    <mergeCell ref="Y76:AC76"/>
    <mergeCell ref="AD76:AG76"/>
    <mergeCell ref="AH80:AM80"/>
    <mergeCell ref="A80:I80"/>
    <mergeCell ref="J80:N80"/>
    <mergeCell ref="O80:R80"/>
    <mergeCell ref="S80:X80"/>
    <mergeCell ref="Y80:AC80"/>
    <mergeCell ref="AD80:AG80"/>
    <mergeCell ref="AH78:AM78"/>
    <mergeCell ref="A79:I79"/>
    <mergeCell ref="J79:N79"/>
    <mergeCell ref="O79:R79"/>
    <mergeCell ref="S79:X79"/>
    <mergeCell ref="Y79:AC79"/>
    <mergeCell ref="AD79:AG79"/>
    <mergeCell ref="AH79:AM79"/>
    <mergeCell ref="A78:I78"/>
    <mergeCell ref="J78:N78"/>
    <mergeCell ref="O78:R78"/>
    <mergeCell ref="S78:X78"/>
    <mergeCell ref="Y78:AC78"/>
    <mergeCell ref="AD78:AG78"/>
  </mergeCell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10</vt:i4>
      </vt:variant>
    </vt:vector>
  </HeadingPairs>
  <TitlesOfParts>
    <vt:vector size="23" baseType="lpstr">
      <vt:lpstr>Table of Contents</vt:lpstr>
      <vt:lpstr>Fund Group Detail (FGD)</vt:lpstr>
      <vt:lpstr>Summary (by Institution)</vt:lpstr>
      <vt:lpstr>Summary (by Institution Type)</vt:lpstr>
      <vt:lpstr>Summary (by System)</vt:lpstr>
      <vt:lpstr>Comparison (by Institution)</vt:lpstr>
      <vt:lpstr>Sources (Revenue)</vt:lpstr>
      <vt:lpstr>Uses (Expenditures)</vt:lpstr>
      <vt:lpstr>Contact Information</vt:lpstr>
      <vt:lpstr>Definitions</vt:lpstr>
      <vt:lpstr>Tuition &amp; Fees</vt:lpstr>
      <vt:lpstr>Academic Cost Study Report</vt:lpstr>
      <vt:lpstr>FTSE | FTFE</vt:lpstr>
      <vt:lpstr>LimitedEdition</vt:lpstr>
      <vt:lpstr>NameDropdown</vt:lpstr>
      <vt:lpstr>'Uses (Expenditures)'!Print_Area</vt:lpstr>
      <vt:lpstr>'Uses (Expenditures)'!Print_Titles</vt:lpstr>
      <vt:lpstr>SearchNames</vt:lpstr>
      <vt:lpstr>SearchSystems</vt:lpstr>
      <vt:lpstr>SearchTypes</vt:lpstr>
      <vt:lpstr>StmtSU</vt:lpstr>
      <vt:lpstr>SystemDropdown</vt:lpstr>
      <vt:lpstr>TypeDropdown</vt:lpstr>
    </vt:vector>
  </TitlesOfParts>
  <Manager/>
  <Company>THECB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Sources and Uses Detail All Sectors - FY 2024</dc:title>
  <dc:subject>Sources and Uses of Funds</dc:subject>
  <dc:creator>Funding and Resource Planning</dc:creator>
  <cp:keywords>Sources and Uses, Universities, Health-Related Institutions, State Colleges, Technical Colleges</cp:keywords>
  <dc:description/>
  <cp:lastModifiedBy>King, Clifford</cp:lastModifiedBy>
  <cp:revision/>
  <cp:lastPrinted>2025-03-06T17:57:54Z</cp:lastPrinted>
  <dcterms:created xsi:type="dcterms:W3CDTF">2024-02-23T14:55:42Z</dcterms:created>
  <dcterms:modified xsi:type="dcterms:W3CDTF">2025-04-23T22:32:03Z</dcterms:modified>
  <cp:category/>
  <cp:contentStatus/>
</cp:coreProperties>
</file>