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FINANCE\Formula Funding and Advisory Committees\2026-2027 Biennium\"/>
    </mc:Choice>
  </mc:AlternateContent>
  <xr:revisionPtr revIDLastSave="0" documentId="13_ncr:1_{C755BD5A-D06C-429F-B0C3-12455B3521B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llocation Summary" sheetId="5" r:id="rId1"/>
    <sheet name="Hours" sheetId="7" r:id="rId2"/>
    <sheet name="Cost Study" sheetId="14" r:id="rId3"/>
    <sheet name="Space Support" sheetId="18" r:id="rId4"/>
    <sheet name="Utilities" sheetId="11" state="hidden" r:id="rId5"/>
    <sheet name="SIS" sheetId="13" r:id="rId6"/>
    <sheet name="Comparison" sheetId="17" r:id="rId7"/>
    <sheet name="Contact Hours DM" sheetId="16" state="hidden" r:id="rId8"/>
  </sheets>
  <definedNames>
    <definedName name="_Fill" hidden="1">#REF!</definedName>
    <definedName name="_xlnm._FilterDatabase" localSheetId="1" hidden="1">Hours!$A$1:$Q$81</definedName>
    <definedName name="_Order1" hidden="1">255</definedName>
    <definedName name="_Order2" hidden="1">255</definedName>
    <definedName name="MATCHINST">#REF!</definedName>
    <definedName name="_xlnm.Print_Area" localSheetId="4">Utilities!$A$1:$AB$52</definedName>
    <definedName name="_xlnm.Print_Titles" localSheetId="1">Hours!$A:$B,Hours!$3:$3</definedName>
    <definedName name="_xlnm.Print_Titles" localSheetId="4">Utilities!$A:$B</definedName>
    <definedName name="solver_adj" localSheetId="3" hidden="1">'Space Support'!$F$16</definedName>
    <definedName name="solver_adj" hidden="1">#REF!</definedName>
    <definedName name="solver_adj2" hidden="1">#REF!</definedName>
    <definedName name="solver_cvg" localSheetId="3" hidden="1">0.0001</definedName>
    <definedName name="solver_cvg" hidden="1">0.0001</definedName>
    <definedName name="solver_drv" localSheetId="3" hidden="1">1</definedName>
    <definedName name="solver_drv" hidden="1">1</definedName>
    <definedName name="solver_est" localSheetId="3" hidden="1">1</definedName>
    <definedName name="solver_est" hidden="1">1</definedName>
    <definedName name="solver_itr" localSheetId="3" hidden="1">100</definedName>
    <definedName name="solver_itr" hidden="1">100</definedName>
    <definedName name="solver_lin" localSheetId="3" hidden="1">2</definedName>
    <definedName name="solver_lin" hidden="1">2</definedName>
    <definedName name="solver_neg" localSheetId="3" hidden="1">2</definedName>
    <definedName name="solver_neg" hidden="1">2</definedName>
    <definedName name="solver_num" localSheetId="3" hidden="1">0</definedName>
    <definedName name="solver_num" hidden="1">0</definedName>
    <definedName name="solver_nwt" localSheetId="3" hidden="1">1</definedName>
    <definedName name="solver_nwt" hidden="1">1</definedName>
    <definedName name="solver_opt" localSheetId="3" hidden="1">'Space Support'!#REF!</definedName>
    <definedName name="solver_opt" hidden="1">#REF!</definedName>
    <definedName name="solver_pre" localSheetId="3" hidden="1">0.000001</definedName>
    <definedName name="solver_pre" hidden="1">0.000001</definedName>
    <definedName name="solver_scl" localSheetId="3" hidden="1">2</definedName>
    <definedName name="solver_scl" hidden="1">2</definedName>
    <definedName name="solver_sho" localSheetId="3" hidden="1">2</definedName>
    <definedName name="solver_sho" hidden="1">2</definedName>
    <definedName name="solver_tim" localSheetId="3" hidden="1">100</definedName>
    <definedName name="solver_tim" hidden="1">100</definedName>
    <definedName name="solver_tol" localSheetId="3" hidden="1">0.05</definedName>
    <definedName name="solver_tol" hidden="1">0.05</definedName>
    <definedName name="solver_typ" localSheetId="3" hidden="1">3</definedName>
    <definedName name="solver_typ" hidden="1">3</definedName>
    <definedName name="solver_val" localSheetId="3" hidden="1">0</definedName>
    <definedName name="solver_val" hidden="1">0</definedName>
    <definedName name="WAGEGROUP0607">#REF!</definedName>
    <definedName name="WAGETOTGR0607">#REF!</definedName>
    <definedName name="Z_175A74B9_04D8_4168_BE0E_B9F6D216804E_.wvu.Cols" hidden="1">#REF!</definedName>
    <definedName name="Z_175A74B9_04D8_4168_BE0E_B9F6D216804E_.wvu.PrintArea" localSheetId="3" hidden="1">'Space Support'!$J$4:$L$10</definedName>
    <definedName name="Z_175A74B9_04D8_4168_BE0E_B9F6D216804E_.wvu.PrintTitles" localSheetId="5" hidden="1">#REF!,#REF!</definedName>
    <definedName name="Z_175A74B9_04D8_4168_BE0E_B9F6D216804E_.wvu.PrintTitles" localSheetId="3" hidden="1">'Space Support'!$B:$K,'Space Support'!$3:$3</definedName>
    <definedName name="Z_175A74B9_04D8_4168_BE0E_B9F6D216804E_.wvu.PrintTitles" hidden="1">#REF!,#REF!</definedName>
    <definedName name="Z_3B4A1CD3_71A7_41D8_BB20_2C00DD672F4C_.wvu.Cols" hidden="1">#REF!</definedName>
    <definedName name="Z_3B4A1CD3_71A7_41D8_BB20_2C00DD672F4C_.wvu.PrintTitles" localSheetId="5" hidden="1">#REF!,#REF!</definedName>
    <definedName name="Z_3B4A1CD3_71A7_41D8_BB20_2C00DD672F4C_.wvu.PrintTitles" localSheetId="3" hidden="1">'Space Support'!$B:$K,'Space Support'!$3:$3</definedName>
    <definedName name="Z_3B4A1CD3_71A7_41D8_BB20_2C00DD672F4C_.wvu.PrintTitles" hidden="1">#REF!,#REF!</definedName>
    <definedName name="Z_5F15871F_1F9D_454B_B820_06244E250857_.wvu.Cols" hidden="1">#REF!</definedName>
    <definedName name="Z_5F15871F_1F9D_454B_B820_06244E250857_.wvu.PrintTitles" localSheetId="5" hidden="1">#REF!,#REF!</definedName>
    <definedName name="Z_5F15871F_1F9D_454B_B820_06244E250857_.wvu.PrintTitles" localSheetId="3" hidden="1">'Space Support'!$B:$K,'Space Support'!$3:$3</definedName>
    <definedName name="Z_5F15871F_1F9D_454B_B820_06244E250857_.wvu.PrintTitles" hidden="1">#REF!,#REF!</definedName>
    <definedName name="Z_82D93351_CB79_47D8_8AE8_2B10EACDB89E_.wvu.Cols" hidden="1">#REF!</definedName>
    <definedName name="Z_82D93351_CB79_47D8_8AE8_2B10EACDB89E_.wvu.PrintArea" localSheetId="3" hidden="1">'Space Support'!$J$4:$L$10</definedName>
    <definedName name="Z_82D93351_CB79_47D8_8AE8_2B10EACDB89E_.wvu.PrintTitles" localSheetId="5" hidden="1">#REF!,#REF!</definedName>
    <definedName name="Z_82D93351_CB79_47D8_8AE8_2B10EACDB89E_.wvu.PrintTitles" localSheetId="3" hidden="1">'Space Support'!$B:$K,'Space Support'!$3:$3</definedName>
    <definedName name="Z_82D93351_CB79_47D8_8AE8_2B10EACDB89E_.wvu.PrintTitles" hidden="1">#REF!,#REF!</definedName>
    <definedName name="Z_92B8DB46_18BE_4736_A438_5C0EAAC214A3_.wvu.PrintArea" localSheetId="3" hidden="1">'Space Support'!$J$4:$L$10</definedName>
    <definedName name="Z_92B8DB46_18BE_4736_A438_5C0EAAC214A3_.wvu.PrintTitles" localSheetId="3" hidden="1">'Space Support'!$B:$K,'Space Support'!$3:$3</definedName>
    <definedName name="Z_ABB4BCFE_4E5B_46EB_9CDF_31A49DC3C3DC_.wvu.PrintArea" localSheetId="3" hidden="1">'Space Support'!$J$4:$L$10</definedName>
    <definedName name="Z_ABB4BCFE_4E5B_46EB_9CDF_31A49DC3C3DC_.wvu.PrintTitles" localSheetId="3" hidden="1">'Space Support'!$B:$K,'Space Support'!$3:$3</definedName>
    <definedName name="Z_E3BB4C3D_F6B5_4D70_B069_1A7C5F76D2BD_.wvu.PrintArea" localSheetId="3" hidden="1">'Space Support'!$J$4:$L$10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81" i="7" l="1"/>
  <c r="M81" i="7"/>
  <c r="N81" i="7"/>
  <c r="O80" i="7"/>
  <c r="M80" i="7"/>
  <c r="Q80" i="7" s="1"/>
  <c r="N80" i="7"/>
  <c r="L80" i="7"/>
  <c r="O79" i="7"/>
  <c r="N79" i="7"/>
  <c r="L79" i="7"/>
  <c r="M78" i="7"/>
  <c r="N78" i="7"/>
  <c r="L78" i="7"/>
  <c r="P78" i="7" s="1"/>
  <c r="O77" i="7"/>
  <c r="N77" i="7"/>
  <c r="O76" i="7"/>
  <c r="N76" i="7"/>
  <c r="O75" i="7"/>
  <c r="N75" i="7"/>
  <c r="M75" i="7"/>
  <c r="Q75" i="7" s="1"/>
  <c r="O74" i="7"/>
  <c r="M74" i="7"/>
  <c r="Q74" i="7" s="1"/>
  <c r="N74" i="7"/>
  <c r="O73" i="7"/>
  <c r="N73" i="7"/>
  <c r="L73" i="7"/>
  <c r="P73" i="7" s="1"/>
  <c r="N72" i="7"/>
  <c r="L72" i="7"/>
  <c r="P72" i="7" s="1"/>
  <c r="O71" i="7"/>
  <c r="L71" i="7"/>
  <c r="O70" i="7"/>
  <c r="M70" i="7"/>
  <c r="Q70" i="7" s="1"/>
  <c r="N70" i="7"/>
  <c r="L70" i="7"/>
  <c r="O69" i="7"/>
  <c r="M69" i="7"/>
  <c r="N69" i="7"/>
  <c r="M68" i="7"/>
  <c r="N68" i="7"/>
  <c r="L68" i="7"/>
  <c r="O67" i="7"/>
  <c r="M67" i="7"/>
  <c r="N67" i="7"/>
  <c r="L67" i="7"/>
  <c r="P67" i="7" s="1"/>
  <c r="N66" i="7"/>
  <c r="L66" i="7"/>
  <c r="P66" i="7" s="1"/>
  <c r="O65" i="7"/>
  <c r="N65" i="7"/>
  <c r="N64" i="7"/>
  <c r="O64" i="7"/>
  <c r="M64" i="7"/>
  <c r="Q64" i="7" s="1"/>
  <c r="L64" i="7"/>
  <c r="O63" i="7"/>
  <c r="N63" i="7"/>
  <c r="O62" i="7"/>
  <c r="M62" i="7"/>
  <c r="Q62" i="7" s="1"/>
  <c r="N62" i="7"/>
  <c r="L62" i="7"/>
  <c r="O61" i="7"/>
  <c r="L60" i="7"/>
  <c r="N60" i="7"/>
  <c r="O59" i="7"/>
  <c r="M59" i="7"/>
  <c r="N59" i="7"/>
  <c r="L59" i="7"/>
  <c r="O58" i="7"/>
  <c r="M58" i="7"/>
  <c r="Q58" i="7" s="1"/>
  <c r="L58" i="7"/>
  <c r="N58" i="7"/>
  <c r="O57" i="7"/>
  <c r="N57" i="7"/>
  <c r="O56" i="7"/>
  <c r="N56" i="7"/>
  <c r="L56" i="7"/>
  <c r="O55" i="7"/>
  <c r="Q55" i="7" s="1"/>
  <c r="M55" i="7"/>
  <c r="M54" i="7"/>
  <c r="N54" i="7"/>
  <c r="L54" i="7"/>
  <c r="P54" i="7" s="1"/>
  <c r="O53" i="7"/>
  <c r="M53" i="7"/>
  <c r="N53" i="7"/>
  <c r="O52" i="7"/>
  <c r="N52" i="7"/>
  <c r="L52" i="7"/>
  <c r="P52" i="7" s="1"/>
  <c r="O51" i="7"/>
  <c r="O50" i="7"/>
  <c r="M50" i="7"/>
  <c r="N50" i="7"/>
  <c r="L50" i="7"/>
  <c r="P50" i="7" s="1"/>
  <c r="O49" i="7"/>
  <c r="N49" i="7"/>
  <c r="L48" i="7"/>
  <c r="N48" i="7"/>
  <c r="O47" i="7"/>
  <c r="N47" i="7"/>
  <c r="O46" i="7"/>
  <c r="M46" i="7"/>
  <c r="N46" i="7"/>
  <c r="L46" i="7"/>
  <c r="O45" i="7"/>
  <c r="M45" i="7"/>
  <c r="Q45" i="7" s="1"/>
  <c r="N45" i="7"/>
  <c r="N44" i="7"/>
  <c r="O43" i="7"/>
  <c r="O42" i="7"/>
  <c r="M42" i="7"/>
  <c r="N42" i="7"/>
  <c r="L42" i="7"/>
  <c r="P42" i="7" s="1"/>
  <c r="O41" i="7"/>
  <c r="N41" i="7"/>
  <c r="L40" i="7"/>
  <c r="N40" i="7"/>
  <c r="O39" i="7"/>
  <c r="N39" i="7"/>
  <c r="O38" i="7"/>
  <c r="M38" i="7"/>
  <c r="N38" i="7"/>
  <c r="L38" i="7"/>
  <c r="P38" i="7" s="1"/>
  <c r="O37" i="7"/>
  <c r="M37" i="7"/>
  <c r="Q37" i="7" s="1"/>
  <c r="N37" i="7"/>
  <c r="N36" i="7"/>
  <c r="O35" i="7"/>
  <c r="N35" i="7"/>
  <c r="O34" i="7"/>
  <c r="N34" i="7"/>
  <c r="M34" i="7"/>
  <c r="L34" i="7"/>
  <c r="O33" i="7"/>
  <c r="N33" i="7"/>
  <c r="L32" i="7"/>
  <c r="N32" i="7"/>
  <c r="O31" i="7"/>
  <c r="N31" i="7"/>
  <c r="O30" i="7"/>
  <c r="M30" i="7"/>
  <c r="N30" i="7"/>
  <c r="L30" i="7"/>
  <c r="O29" i="7"/>
  <c r="M29" i="7"/>
  <c r="Q29" i="7" s="1"/>
  <c r="N29" i="7"/>
  <c r="O28" i="7"/>
  <c r="M28" i="7"/>
  <c r="Q28" i="7" s="1"/>
  <c r="L28" i="7"/>
  <c r="N28" i="7"/>
  <c r="O27" i="7"/>
  <c r="O26" i="7"/>
  <c r="N26" i="7"/>
  <c r="L26" i="7"/>
  <c r="O25" i="7"/>
  <c r="N25" i="7"/>
  <c r="O24" i="7"/>
  <c r="N24" i="7"/>
  <c r="L24" i="7"/>
  <c r="O23" i="7"/>
  <c r="N23" i="7"/>
  <c r="O22" i="7"/>
  <c r="N22" i="7"/>
  <c r="L22" i="7"/>
  <c r="O21" i="7"/>
  <c r="N21" i="7"/>
  <c r="M21" i="7"/>
  <c r="L20" i="7"/>
  <c r="N20" i="7"/>
  <c r="O19" i="7"/>
  <c r="O18" i="7"/>
  <c r="N18" i="7"/>
  <c r="L18" i="7"/>
  <c r="O17" i="7"/>
  <c r="M17" i="7"/>
  <c r="N17" i="7"/>
  <c r="N16" i="7"/>
  <c r="O16" i="7"/>
  <c r="M16" i="7"/>
  <c r="Q16" i="7" s="1"/>
  <c r="L16" i="7"/>
  <c r="O15" i="7"/>
  <c r="O14" i="7"/>
  <c r="N14" i="7"/>
  <c r="L14" i="7"/>
  <c r="O13" i="7"/>
  <c r="N13" i="7"/>
  <c r="O12" i="7"/>
  <c r="N12" i="7"/>
  <c r="L12" i="7"/>
  <c r="O11" i="7"/>
  <c r="N11" i="7"/>
  <c r="O10" i="7"/>
  <c r="N10" i="7"/>
  <c r="L10" i="7"/>
  <c r="O9" i="7"/>
  <c r="N9" i="7"/>
  <c r="M9" i="7"/>
  <c r="L8" i="7"/>
  <c r="N8" i="7"/>
  <c r="O7" i="7"/>
  <c r="O6" i="7"/>
  <c r="N6" i="7"/>
  <c r="L6" i="7"/>
  <c r="O5" i="7"/>
  <c r="M5" i="7"/>
  <c r="N5" i="7"/>
  <c r="N4" i="7"/>
  <c r="K82" i="7"/>
  <c r="J82" i="7"/>
  <c r="O4" i="7"/>
  <c r="M4" i="7"/>
  <c r="Q4" i="7" s="1"/>
  <c r="G82" i="7"/>
  <c r="F82" i="7"/>
  <c r="E82" i="7"/>
  <c r="D82" i="7"/>
  <c r="N82" i="7" l="1"/>
  <c r="P46" i="7"/>
  <c r="Q38" i="7"/>
  <c r="Q81" i="7"/>
  <c r="Q53" i="7"/>
  <c r="P60" i="7"/>
  <c r="Q69" i="7"/>
  <c r="M14" i="7"/>
  <c r="Q14" i="7" s="1"/>
  <c r="M26" i="7"/>
  <c r="Q26" i="7" s="1"/>
  <c r="M36" i="7"/>
  <c r="M44" i="7"/>
  <c r="M52" i="7"/>
  <c r="L61" i="7"/>
  <c r="M63" i="7"/>
  <c r="Q63" i="7" s="1"/>
  <c r="L76" i="7"/>
  <c r="P76" i="7" s="1"/>
  <c r="M13" i="7"/>
  <c r="Q13" i="7" s="1"/>
  <c r="M25" i="7"/>
  <c r="Q25" i="7" s="1"/>
  <c r="O36" i="7"/>
  <c r="N43" i="7"/>
  <c r="O44" i="7"/>
  <c r="N51" i="7"/>
  <c r="L55" i="7"/>
  <c r="M57" i="7"/>
  <c r="Q57" i="7" s="1"/>
  <c r="N61" i="7"/>
  <c r="O68" i="7"/>
  <c r="Q68" i="7" s="1"/>
  <c r="M79" i="7"/>
  <c r="Q79" i="7" s="1"/>
  <c r="Q5" i="7"/>
  <c r="Q30" i="7"/>
  <c r="Q46" i="7"/>
  <c r="Q59" i="7"/>
  <c r="N27" i="7"/>
  <c r="L4" i="7"/>
  <c r="M12" i="7"/>
  <c r="Q12" i="7" s="1"/>
  <c r="M24" i="7"/>
  <c r="Q24" i="7" s="1"/>
  <c r="N55" i="7"/>
  <c r="M73" i="7"/>
  <c r="Q73" i="7" s="1"/>
  <c r="L77" i="7"/>
  <c r="P77" i="7" s="1"/>
  <c r="I82" i="7"/>
  <c r="Q42" i="7"/>
  <c r="Q50" i="7"/>
  <c r="H82" i="7"/>
  <c r="Q34" i="7"/>
  <c r="L74" i="7"/>
  <c r="P74" i="7" s="1"/>
  <c r="M10" i="7"/>
  <c r="Q10" i="7" s="1"/>
  <c r="M22" i="7"/>
  <c r="Q22" i="7" s="1"/>
  <c r="M33" i="7"/>
  <c r="Q33" i="7" s="1"/>
  <c r="L36" i="7"/>
  <c r="M41" i="7"/>
  <c r="Q41" i="7" s="1"/>
  <c r="L44" i="7"/>
  <c r="P44" i="7" s="1"/>
  <c r="M49" i="7"/>
  <c r="Q49" i="7" s="1"/>
  <c r="M61" i="7"/>
  <c r="Q61" i="7" s="1"/>
  <c r="L65" i="7"/>
  <c r="N71" i="7"/>
  <c r="P71" i="7" s="1"/>
  <c r="P65" i="7"/>
  <c r="Q17" i="7"/>
  <c r="N15" i="7"/>
  <c r="N7" i="7"/>
  <c r="M8" i="7"/>
  <c r="N19" i="7"/>
  <c r="M20" i="7"/>
  <c r="M32" i="7"/>
  <c r="Q32" i="7" s="1"/>
  <c r="M40" i="7"/>
  <c r="Q40" i="7" s="1"/>
  <c r="M48" i="7"/>
  <c r="Q48" i="7" s="1"/>
  <c r="L53" i="7"/>
  <c r="P53" i="7" s="1"/>
  <c r="P59" i="7"/>
  <c r="M72" i="7"/>
  <c r="M77" i="7"/>
  <c r="Q77" i="7" s="1"/>
  <c r="Q9" i="7"/>
  <c r="O8" i="7"/>
  <c r="O82" i="7" s="1"/>
  <c r="O20" i="7"/>
  <c r="O32" i="7"/>
  <c r="O40" i="7"/>
  <c r="O48" i="7"/>
  <c r="M56" i="7"/>
  <c r="Q56" i="7" s="1"/>
  <c r="M66" i="7"/>
  <c r="Q67" i="7"/>
  <c r="M71" i="7"/>
  <c r="Q71" i="7" s="1"/>
  <c r="Q21" i="7"/>
  <c r="M6" i="7"/>
  <c r="Q6" i="7" s="1"/>
  <c r="M18" i="7"/>
  <c r="Q18" i="7" s="1"/>
  <c r="M60" i="7"/>
  <c r="Q60" i="7" s="1"/>
  <c r="M65" i="7"/>
  <c r="Q65" i="7" s="1"/>
  <c r="M76" i="7"/>
  <c r="Q76" i="7" s="1"/>
  <c r="Q78" i="7"/>
  <c r="Q72" i="7"/>
  <c r="P79" i="7"/>
  <c r="Q36" i="7"/>
  <c r="Q44" i="7"/>
  <c r="Q52" i="7"/>
  <c r="P61" i="7"/>
  <c r="M7" i="7"/>
  <c r="Q7" i="7" s="1"/>
  <c r="M11" i="7"/>
  <c r="Q11" i="7" s="1"/>
  <c r="M15" i="7"/>
  <c r="Q15" i="7" s="1"/>
  <c r="M19" i="7"/>
  <c r="Q19" i="7" s="1"/>
  <c r="M23" i="7"/>
  <c r="Q23" i="7" s="1"/>
  <c r="M27" i="7"/>
  <c r="Q27" i="7" s="1"/>
  <c r="M31" i="7"/>
  <c r="Q31" i="7" s="1"/>
  <c r="M35" i="7"/>
  <c r="Q35" i="7" s="1"/>
  <c r="M39" i="7"/>
  <c r="Q39" i="7" s="1"/>
  <c r="M43" i="7"/>
  <c r="Q43" i="7" s="1"/>
  <c r="M47" i="7"/>
  <c r="Q47" i="7" s="1"/>
  <c r="M51" i="7"/>
  <c r="Q51" i="7" s="1"/>
  <c r="L9" i="7"/>
  <c r="P9" i="7" s="1"/>
  <c r="P10" i="7"/>
  <c r="P14" i="7"/>
  <c r="L21" i="7"/>
  <c r="P21" i="7" s="1"/>
  <c r="L25" i="7"/>
  <c r="P25" i="7" s="1"/>
  <c r="L29" i="7"/>
  <c r="P29" i="7" s="1"/>
  <c r="L33" i="7"/>
  <c r="P33" i="7" s="1"/>
  <c r="P34" i="7"/>
  <c r="L37" i="7"/>
  <c r="P37" i="7" s="1"/>
  <c r="L45" i="7"/>
  <c r="P45" i="7" s="1"/>
  <c r="L49" i="7"/>
  <c r="P49" i="7" s="1"/>
  <c r="L5" i="7"/>
  <c r="P5" i="7" s="1"/>
  <c r="P6" i="7"/>
  <c r="L13" i="7"/>
  <c r="P13" i="7" s="1"/>
  <c r="L17" i="7"/>
  <c r="P17" i="7" s="1"/>
  <c r="P18" i="7"/>
  <c r="P22" i="7"/>
  <c r="P26" i="7"/>
  <c r="P30" i="7"/>
  <c r="L41" i="7"/>
  <c r="P41" i="7" s="1"/>
  <c r="P56" i="7"/>
  <c r="P62" i="7"/>
  <c r="P68" i="7"/>
  <c r="P80" i="7"/>
  <c r="L7" i="7"/>
  <c r="P7" i="7" s="1"/>
  <c r="P8" i="7"/>
  <c r="L11" i="7"/>
  <c r="P11" i="7" s="1"/>
  <c r="P12" i="7"/>
  <c r="L15" i="7"/>
  <c r="P15" i="7" s="1"/>
  <c r="P16" i="7"/>
  <c r="L19" i="7"/>
  <c r="P19" i="7" s="1"/>
  <c r="P20" i="7"/>
  <c r="L23" i="7"/>
  <c r="P23" i="7" s="1"/>
  <c r="P24" i="7"/>
  <c r="L27" i="7"/>
  <c r="P27" i="7" s="1"/>
  <c r="P28" i="7"/>
  <c r="L31" i="7"/>
  <c r="P31" i="7" s="1"/>
  <c r="P32" i="7"/>
  <c r="L35" i="7"/>
  <c r="P35" i="7" s="1"/>
  <c r="P36" i="7"/>
  <c r="L39" i="7"/>
  <c r="P39" i="7" s="1"/>
  <c r="P40" i="7"/>
  <c r="L43" i="7"/>
  <c r="P43" i="7" s="1"/>
  <c r="L47" i="7"/>
  <c r="P47" i="7" s="1"/>
  <c r="P48" i="7"/>
  <c r="L51" i="7"/>
  <c r="P51" i="7" s="1"/>
  <c r="P58" i="7"/>
  <c r="P64" i="7"/>
  <c r="P70" i="7"/>
  <c r="O54" i="7"/>
  <c r="Q54" i="7" s="1"/>
  <c r="L57" i="7"/>
  <c r="P57" i="7" s="1"/>
  <c r="O60" i="7"/>
  <c r="L63" i="7"/>
  <c r="P63" i="7" s="1"/>
  <c r="O66" i="7"/>
  <c r="L69" i="7"/>
  <c r="P69" i="7" s="1"/>
  <c r="O72" i="7"/>
  <c r="L75" i="7"/>
  <c r="P75" i="7" s="1"/>
  <c r="O78" i="7"/>
  <c r="L81" i="7"/>
  <c r="P81" i="7" s="1"/>
  <c r="P55" i="7" l="1"/>
  <c r="L82" i="7"/>
  <c r="M82" i="7"/>
  <c r="Q8" i="7"/>
  <c r="Q20" i="7"/>
  <c r="Q66" i="7"/>
  <c r="P4" i="7"/>
  <c r="P82" i="7" l="1"/>
  <c r="Q82" i="7"/>
  <c r="T31" i="5" l="1"/>
  <c r="T30" i="5"/>
  <c r="G63" i="18"/>
  <c r="H42" i="18" s="1"/>
  <c r="G42" i="18" s="1"/>
  <c r="I62" i="18"/>
  <c r="H62" i="18"/>
  <c r="G62" i="18"/>
  <c r="E62" i="18"/>
  <c r="M51" i="18" s="1"/>
  <c r="D62" i="18"/>
  <c r="G61" i="18"/>
  <c r="I61" i="18" s="1"/>
  <c r="F61" i="18"/>
  <c r="E61" i="18"/>
  <c r="E53" i="18" s="1"/>
  <c r="L54" i="18"/>
  <c r="L55" i="18" s="1"/>
  <c r="M53" i="18"/>
  <c r="K53" i="18"/>
  <c r="K52" i="18"/>
  <c r="E52" i="18"/>
  <c r="D52" i="18" s="1"/>
  <c r="K51" i="18"/>
  <c r="E51" i="18"/>
  <c r="D51" i="18"/>
  <c r="C50" i="18"/>
  <c r="M50" i="18"/>
  <c r="K50" i="18"/>
  <c r="E50" i="18"/>
  <c r="D50" i="18" s="1"/>
  <c r="M49" i="18"/>
  <c r="K49" i="18"/>
  <c r="M48" i="18"/>
  <c r="K48" i="18"/>
  <c r="E48" i="18"/>
  <c r="K47" i="18"/>
  <c r="E47" i="18"/>
  <c r="K46" i="18"/>
  <c r="E46" i="18"/>
  <c r="M45" i="18"/>
  <c r="K45" i="18"/>
  <c r="M44" i="18"/>
  <c r="K44" i="18"/>
  <c r="L43" i="18"/>
  <c r="M42" i="18"/>
  <c r="E42" i="18"/>
  <c r="D42" i="18"/>
  <c r="M41" i="18"/>
  <c r="H41" i="18"/>
  <c r="G41" i="18"/>
  <c r="E41" i="18"/>
  <c r="D41" i="18"/>
  <c r="C41" i="18" s="1"/>
  <c r="K40" i="18"/>
  <c r="D40" i="18"/>
  <c r="E40" i="18"/>
  <c r="K39" i="18"/>
  <c r="D39" i="18"/>
  <c r="E39" i="18"/>
  <c r="M38" i="18"/>
  <c r="K38" i="18"/>
  <c r="M37" i="18"/>
  <c r="K37" i="18"/>
  <c r="K36" i="18"/>
  <c r="D36" i="18"/>
  <c r="E36" i="18"/>
  <c r="K35" i="18"/>
  <c r="E35" i="18"/>
  <c r="D35" i="18"/>
  <c r="M34" i="18"/>
  <c r="K34" i="18"/>
  <c r="M33" i="18"/>
  <c r="K33" i="18"/>
  <c r="K32" i="18"/>
  <c r="D32" i="18"/>
  <c r="E32" i="18"/>
  <c r="K31" i="18"/>
  <c r="E31" i="18"/>
  <c r="D31" i="18"/>
  <c r="M30" i="18"/>
  <c r="K30" i="18"/>
  <c r="M29" i="18"/>
  <c r="K29" i="18"/>
  <c r="K28" i="18"/>
  <c r="D28" i="18"/>
  <c r="E28" i="18"/>
  <c r="K27" i="18"/>
  <c r="E27" i="18"/>
  <c r="D27" i="18"/>
  <c r="M26" i="18"/>
  <c r="K26" i="18"/>
  <c r="M25" i="18"/>
  <c r="K25" i="18"/>
  <c r="K24" i="18"/>
  <c r="D24" i="18"/>
  <c r="E24" i="18"/>
  <c r="K23" i="18"/>
  <c r="E23" i="18"/>
  <c r="D23" i="18"/>
  <c r="M22" i="18"/>
  <c r="K22" i="18"/>
  <c r="M21" i="18"/>
  <c r="K21" i="18"/>
  <c r="K20" i="18"/>
  <c r="D20" i="18"/>
  <c r="E20" i="18"/>
  <c r="K19" i="18"/>
  <c r="E19" i="18"/>
  <c r="D19" i="18"/>
  <c r="M18" i="18"/>
  <c r="K18" i="18"/>
  <c r="M17" i="18"/>
  <c r="K17" i="18"/>
  <c r="K16" i="18"/>
  <c r="D16" i="18"/>
  <c r="E16" i="18"/>
  <c r="K15" i="18"/>
  <c r="E15" i="18"/>
  <c r="D15" i="18"/>
  <c r="M14" i="18"/>
  <c r="K14" i="18"/>
  <c r="M13" i="18"/>
  <c r="K13" i="18"/>
  <c r="K12" i="18"/>
  <c r="D12" i="18"/>
  <c r="E12" i="18"/>
  <c r="K11" i="18"/>
  <c r="E11" i="18"/>
  <c r="D11" i="18"/>
  <c r="M10" i="18"/>
  <c r="K10" i="18"/>
  <c r="M9" i="18"/>
  <c r="K9" i="18"/>
  <c r="K8" i="18"/>
  <c r="D8" i="18"/>
  <c r="E8" i="18"/>
  <c r="K7" i="18"/>
  <c r="E7" i="18"/>
  <c r="D7" i="18"/>
  <c r="M6" i="18"/>
  <c r="K6" i="18"/>
  <c r="M5" i="18"/>
  <c r="K5" i="18"/>
  <c r="K4" i="18"/>
  <c r="E4" i="18"/>
  <c r="G3" i="18"/>
  <c r="C42" i="18" l="1"/>
  <c r="D53" i="18"/>
  <c r="T32" i="5" s="1"/>
  <c r="D46" i="18"/>
  <c r="D48" i="18"/>
  <c r="K54" i="18"/>
  <c r="D47" i="18"/>
  <c r="I54" i="18"/>
  <c r="I43" i="18"/>
  <c r="I55" i="18" s="1"/>
  <c r="K43" i="18"/>
  <c r="K55" i="18" s="1"/>
  <c r="M12" i="18"/>
  <c r="M16" i="18"/>
  <c r="M20" i="18"/>
  <c r="M24" i="18"/>
  <c r="E30" i="18"/>
  <c r="D30" i="18" s="1"/>
  <c r="M36" i="18"/>
  <c r="F43" i="18"/>
  <c r="M52" i="18"/>
  <c r="M4" i="18"/>
  <c r="E49" i="18"/>
  <c r="H61" i="18"/>
  <c r="E6" i="18"/>
  <c r="D6" i="18" s="1"/>
  <c r="E10" i="18"/>
  <c r="D10" i="18" s="1"/>
  <c r="E14" i="18"/>
  <c r="D14" i="18" s="1"/>
  <c r="M28" i="18"/>
  <c r="M32" i="18"/>
  <c r="E5" i="18"/>
  <c r="M7" i="18"/>
  <c r="E9" i="18"/>
  <c r="D9" i="18" s="1"/>
  <c r="M11" i="18"/>
  <c r="E13" i="18"/>
  <c r="D13" i="18" s="1"/>
  <c r="M15" i="18"/>
  <c r="E17" i="18"/>
  <c r="D17" i="18" s="1"/>
  <c r="M19" i="18"/>
  <c r="E21" i="18"/>
  <c r="D21" i="18" s="1"/>
  <c r="M23" i="18"/>
  <c r="E25" i="18"/>
  <c r="D25" i="18" s="1"/>
  <c r="M27" i="18"/>
  <c r="E29" i="18"/>
  <c r="D29" i="18" s="1"/>
  <c r="M31" i="18"/>
  <c r="E33" i="18"/>
  <c r="D33" i="18" s="1"/>
  <c r="M35" i="18"/>
  <c r="E37" i="18"/>
  <c r="D37" i="18" s="1"/>
  <c r="M39" i="18"/>
  <c r="E44" i="18"/>
  <c r="M46" i="18"/>
  <c r="M8" i="18"/>
  <c r="E18" i="18"/>
  <c r="D18" i="18" s="1"/>
  <c r="E22" i="18"/>
  <c r="E26" i="18"/>
  <c r="E34" i="18"/>
  <c r="E38" i="18"/>
  <c r="D38" i="18" s="1"/>
  <c r="M40" i="18"/>
  <c r="E45" i="18"/>
  <c r="M47" i="18"/>
  <c r="D4" i="18"/>
  <c r="D34" i="18" l="1"/>
  <c r="D26" i="18"/>
  <c r="D22" i="18"/>
  <c r="C38" i="18"/>
  <c r="E43" i="18"/>
  <c r="D5" i="18"/>
  <c r="C18" i="18"/>
  <c r="C25" i="18"/>
  <c r="M54" i="18"/>
  <c r="C6" i="18"/>
  <c r="F54" i="18"/>
  <c r="F55" i="18" s="1"/>
  <c r="D44" i="18"/>
  <c r="E54" i="18"/>
  <c r="C17" i="18"/>
  <c r="H44" i="18"/>
  <c r="H37" i="18"/>
  <c r="G37" i="18" s="1"/>
  <c r="C37" i="18" s="1"/>
  <c r="H33" i="18"/>
  <c r="G33" i="18" s="1"/>
  <c r="C33" i="18" s="1"/>
  <c r="H29" i="18"/>
  <c r="G29" i="18" s="1"/>
  <c r="C29" i="18" s="1"/>
  <c r="H25" i="18"/>
  <c r="G25" i="18" s="1"/>
  <c r="H21" i="18"/>
  <c r="G21" i="18" s="1"/>
  <c r="C21" i="18" s="1"/>
  <c r="H17" i="18"/>
  <c r="G17" i="18" s="1"/>
  <c r="H13" i="18"/>
  <c r="G13" i="18" s="1"/>
  <c r="C13" i="18" s="1"/>
  <c r="H9" i="18"/>
  <c r="G9" i="18" s="1"/>
  <c r="C9" i="18" s="1"/>
  <c r="H5" i="18"/>
  <c r="G5" i="18" s="1"/>
  <c r="H49" i="18"/>
  <c r="G49" i="18" s="1"/>
  <c r="H31" i="18"/>
  <c r="G31" i="18" s="1"/>
  <c r="C31" i="18" s="1"/>
  <c r="H27" i="18"/>
  <c r="G27" i="18" s="1"/>
  <c r="C27" i="18" s="1"/>
  <c r="H15" i="18"/>
  <c r="G15" i="18" s="1"/>
  <c r="C15" i="18" s="1"/>
  <c r="H11" i="18"/>
  <c r="G11" i="18" s="1"/>
  <c r="C11" i="18" s="1"/>
  <c r="H52" i="18"/>
  <c r="G52" i="18" s="1"/>
  <c r="H36" i="18"/>
  <c r="G36" i="18" s="1"/>
  <c r="C36" i="18" s="1"/>
  <c r="H16" i="18"/>
  <c r="G16" i="18" s="1"/>
  <c r="C16" i="18" s="1"/>
  <c r="H4" i="18"/>
  <c r="H48" i="18"/>
  <c r="G48" i="18" s="1"/>
  <c r="C48" i="18" s="1"/>
  <c r="H45" i="18"/>
  <c r="G45" i="18" s="1"/>
  <c r="H38" i="18"/>
  <c r="G38" i="18" s="1"/>
  <c r="H34" i="18"/>
  <c r="G34" i="18" s="1"/>
  <c r="C34" i="18" s="1"/>
  <c r="H30" i="18"/>
  <c r="G30" i="18" s="1"/>
  <c r="C30" i="18" s="1"/>
  <c r="H26" i="18"/>
  <c r="G26" i="18" s="1"/>
  <c r="H22" i="18"/>
  <c r="G22" i="18" s="1"/>
  <c r="H18" i="18"/>
  <c r="G18" i="18" s="1"/>
  <c r="H14" i="18"/>
  <c r="G14" i="18" s="1"/>
  <c r="C14" i="18" s="1"/>
  <c r="H10" i="18"/>
  <c r="G10" i="18" s="1"/>
  <c r="C10" i="18" s="1"/>
  <c r="H6" i="18"/>
  <c r="G6" i="18" s="1"/>
  <c r="H46" i="18"/>
  <c r="G46" i="18" s="1"/>
  <c r="C46" i="18" s="1"/>
  <c r="H39" i="18"/>
  <c r="G39" i="18" s="1"/>
  <c r="C39" i="18" s="1"/>
  <c r="H35" i="18"/>
  <c r="G35" i="18" s="1"/>
  <c r="C35" i="18" s="1"/>
  <c r="H23" i="18"/>
  <c r="G23" i="18" s="1"/>
  <c r="C23" i="18" s="1"/>
  <c r="H19" i="18"/>
  <c r="G19" i="18" s="1"/>
  <c r="C19" i="18" s="1"/>
  <c r="H47" i="18"/>
  <c r="G47" i="18" s="1"/>
  <c r="N47" i="18" s="1"/>
  <c r="P47" i="18" s="1"/>
  <c r="C47" i="18" s="1"/>
  <c r="H32" i="18"/>
  <c r="G32" i="18" s="1"/>
  <c r="C32" i="18" s="1"/>
  <c r="H28" i="18"/>
  <c r="G28" i="18" s="1"/>
  <c r="C28" i="18" s="1"/>
  <c r="H24" i="18"/>
  <c r="G24" i="18" s="1"/>
  <c r="C24" i="18" s="1"/>
  <c r="H8" i="18"/>
  <c r="G8" i="18" s="1"/>
  <c r="C8" i="18" s="1"/>
  <c r="H50" i="18"/>
  <c r="G50" i="18" s="1"/>
  <c r="N50" i="18" s="1"/>
  <c r="H40" i="18"/>
  <c r="G40" i="18" s="1"/>
  <c r="C40" i="18" s="1"/>
  <c r="H12" i="18"/>
  <c r="G12" i="18" s="1"/>
  <c r="C12" i="18" s="1"/>
  <c r="H53" i="18"/>
  <c r="G53" i="18" s="1"/>
  <c r="H51" i="18"/>
  <c r="G51" i="18" s="1"/>
  <c r="H7" i="18"/>
  <c r="G7" i="18" s="1"/>
  <c r="C7" i="18" s="1"/>
  <c r="H20" i="18"/>
  <c r="G20" i="18" s="1"/>
  <c r="C20" i="18" s="1"/>
  <c r="D49" i="18"/>
  <c r="C49" i="18" s="1"/>
  <c r="D45" i="18"/>
  <c r="M43" i="18"/>
  <c r="C51" i="18" l="1"/>
  <c r="U30" i="5"/>
  <c r="C53" i="18"/>
  <c r="U32" i="5"/>
  <c r="C52" i="18"/>
  <c r="U31" i="5"/>
  <c r="C5" i="18"/>
  <c r="C22" i="18"/>
  <c r="C45" i="18"/>
  <c r="C26" i="18"/>
  <c r="G44" i="18"/>
  <c r="G54" i="18" s="1"/>
  <c r="H54" i="18"/>
  <c r="E55" i="18"/>
  <c r="H43" i="18"/>
  <c r="G4" i="18"/>
  <c r="M55" i="18"/>
  <c r="D54" i="18"/>
  <c r="D43" i="18"/>
  <c r="C44" i="18" l="1"/>
  <c r="C54" i="18" s="1"/>
  <c r="G43" i="18"/>
  <c r="C4" i="18"/>
  <c r="C43" i="18" s="1"/>
  <c r="H55" i="18"/>
  <c r="B60" i="18" l="1"/>
  <c r="B61" i="18" s="1"/>
  <c r="B62" i="18" s="1"/>
  <c r="C55" i="18"/>
  <c r="M62" i="18" l="1"/>
  <c r="D55" i="18"/>
  <c r="L62" i="18"/>
  <c r="G55" i="18"/>
  <c r="C58" i="18"/>
  <c r="C60" i="18" s="1"/>
  <c r="K38" i="5" l="1"/>
  <c r="K37" i="5"/>
  <c r="K36" i="5"/>
  <c r="K39" i="5" s="1"/>
  <c r="AK32" i="16"/>
  <c r="AJ32" i="16"/>
  <c r="AI32" i="16"/>
  <c r="AH32" i="16"/>
  <c r="AG32" i="16"/>
  <c r="AF32" i="16"/>
  <c r="AE32" i="16"/>
  <c r="AD32" i="16"/>
  <c r="AA49" i="11" l="1"/>
  <c r="AB49" i="11"/>
  <c r="AD49" i="11" s="1"/>
  <c r="M49" i="11"/>
  <c r="Q49" i="11"/>
  <c r="U49" i="11"/>
  <c r="D5" i="13" l="1"/>
  <c r="E5" i="13" s="1"/>
  <c r="D6" i="13"/>
  <c r="D4" i="13"/>
  <c r="E4" i="13" s="1"/>
  <c r="E6" i="13"/>
  <c r="E7" i="13" l="1"/>
  <c r="E32" i="14"/>
  <c r="F31" i="14"/>
  <c r="G31" i="14" s="1"/>
  <c r="C29" i="7" s="1"/>
  <c r="F30" i="14"/>
  <c r="G30" i="14" s="1"/>
  <c r="C28" i="7" s="1"/>
  <c r="F29" i="14"/>
  <c r="G29" i="14" s="1"/>
  <c r="C27" i="7" s="1"/>
  <c r="F28" i="14"/>
  <c r="G28" i="14" s="1"/>
  <c r="C26" i="7" s="1"/>
  <c r="F27" i="14"/>
  <c r="G27" i="14" s="1"/>
  <c r="C25" i="7" s="1"/>
  <c r="F26" i="14"/>
  <c r="G26" i="14" s="1"/>
  <c r="C24" i="7" s="1"/>
  <c r="F25" i="14"/>
  <c r="G25" i="14" s="1"/>
  <c r="C23" i="7" s="1"/>
  <c r="F24" i="14"/>
  <c r="G24" i="14" s="1"/>
  <c r="C22" i="7" s="1"/>
  <c r="F23" i="14"/>
  <c r="G23" i="14" s="1"/>
  <c r="C21" i="7" s="1"/>
  <c r="F22" i="14"/>
  <c r="G22" i="14" s="1"/>
  <c r="C20" i="7" s="1"/>
  <c r="F21" i="14"/>
  <c r="G21" i="14" s="1"/>
  <c r="C19" i="7" s="1"/>
  <c r="F20" i="14"/>
  <c r="G20" i="14" s="1"/>
  <c r="C18" i="7" s="1"/>
  <c r="F19" i="14"/>
  <c r="G19" i="14" s="1"/>
  <c r="C17" i="7" s="1"/>
  <c r="F18" i="14"/>
  <c r="G18" i="14" s="1"/>
  <c r="C16" i="7" s="1"/>
  <c r="F17" i="14"/>
  <c r="G17" i="14" s="1"/>
  <c r="C15" i="7" s="1"/>
  <c r="F16" i="14"/>
  <c r="G16" i="14" s="1"/>
  <c r="C14" i="7" s="1"/>
  <c r="F15" i="14"/>
  <c r="G15" i="14" s="1"/>
  <c r="C13" i="7" s="1"/>
  <c r="F14" i="14"/>
  <c r="G14" i="14" s="1"/>
  <c r="C12" i="7" s="1"/>
  <c r="F13" i="14"/>
  <c r="G13" i="14" s="1"/>
  <c r="C11" i="7" s="1"/>
  <c r="F12" i="14"/>
  <c r="G12" i="14" s="1"/>
  <c r="C10" i="7" s="1"/>
  <c r="F11" i="14"/>
  <c r="G11" i="14" s="1"/>
  <c r="C9" i="7" s="1"/>
  <c r="F10" i="14"/>
  <c r="G10" i="14" s="1"/>
  <c r="C8" i="7" s="1"/>
  <c r="F9" i="14"/>
  <c r="G9" i="14" s="1"/>
  <c r="C7" i="7" s="1"/>
  <c r="F8" i="14"/>
  <c r="G8" i="14" s="1"/>
  <c r="C6" i="7" s="1"/>
  <c r="F7" i="14"/>
  <c r="G7" i="14" s="1"/>
  <c r="C5" i="7" s="1"/>
  <c r="F6" i="14"/>
  <c r="G6" i="14" s="1"/>
  <c r="C4" i="7" s="1"/>
  <c r="C35" i="7" l="1"/>
  <c r="T9" i="7"/>
  <c r="S9" i="7"/>
  <c r="R9" i="7"/>
  <c r="R11" i="7"/>
  <c r="S11" i="7"/>
  <c r="T11" i="7"/>
  <c r="C37" i="7"/>
  <c r="C50" i="7"/>
  <c r="T24" i="7"/>
  <c r="S24" i="7"/>
  <c r="R24" i="7"/>
  <c r="C46" i="7"/>
  <c r="T20" i="7"/>
  <c r="R20" i="7"/>
  <c r="S20" i="7"/>
  <c r="C51" i="7"/>
  <c r="S25" i="7"/>
  <c r="T25" i="7"/>
  <c r="R25" i="7"/>
  <c r="C34" i="7"/>
  <c r="R8" i="7"/>
  <c r="T8" i="7"/>
  <c r="S8" i="7"/>
  <c r="C47" i="7"/>
  <c r="T21" i="7"/>
  <c r="S21" i="7"/>
  <c r="R21" i="7"/>
  <c r="T22" i="7"/>
  <c r="C48" i="7"/>
  <c r="R22" i="7"/>
  <c r="S22" i="7"/>
  <c r="C39" i="7"/>
  <c r="R13" i="7"/>
  <c r="T13" i="7"/>
  <c r="S13" i="7"/>
  <c r="T26" i="7"/>
  <c r="S26" i="7"/>
  <c r="C52" i="7"/>
  <c r="R26" i="7"/>
  <c r="C30" i="7"/>
  <c r="S4" i="7"/>
  <c r="T4" i="7"/>
  <c r="R4" i="7"/>
  <c r="C44" i="7"/>
  <c r="S18" i="7"/>
  <c r="T18" i="7"/>
  <c r="R18" i="7"/>
  <c r="C36" i="7"/>
  <c r="T10" i="7"/>
  <c r="S10" i="7"/>
  <c r="R10" i="7"/>
  <c r="T23" i="7"/>
  <c r="C49" i="7"/>
  <c r="S23" i="7"/>
  <c r="R23" i="7"/>
  <c r="T12" i="7"/>
  <c r="C38" i="7"/>
  <c r="S12" i="7"/>
  <c r="R12" i="7"/>
  <c r="C40" i="7"/>
  <c r="T14" i="7"/>
  <c r="S14" i="7"/>
  <c r="R14" i="7"/>
  <c r="R15" i="7"/>
  <c r="C41" i="7"/>
  <c r="T15" i="7"/>
  <c r="S15" i="7"/>
  <c r="C53" i="7"/>
  <c r="R27" i="7"/>
  <c r="T27" i="7"/>
  <c r="S27" i="7"/>
  <c r="C42" i="7"/>
  <c r="S16" i="7"/>
  <c r="T16" i="7"/>
  <c r="R16" i="7"/>
  <c r="S28" i="7"/>
  <c r="T28" i="7"/>
  <c r="C54" i="7"/>
  <c r="R28" i="7"/>
  <c r="T5" i="7"/>
  <c r="R5" i="7"/>
  <c r="C31" i="7"/>
  <c r="S5" i="7"/>
  <c r="C43" i="7"/>
  <c r="T17" i="7"/>
  <c r="S17" i="7"/>
  <c r="R17" i="7"/>
  <c r="T29" i="7"/>
  <c r="C55" i="7"/>
  <c r="S29" i="7"/>
  <c r="R29" i="7"/>
  <c r="C32" i="7"/>
  <c r="S6" i="7"/>
  <c r="T6" i="7"/>
  <c r="R6" i="7"/>
  <c r="T7" i="7"/>
  <c r="C33" i="7"/>
  <c r="R7" i="7"/>
  <c r="S7" i="7"/>
  <c r="T19" i="7"/>
  <c r="C45" i="7"/>
  <c r="R19" i="7"/>
  <c r="S19" i="7"/>
  <c r="D32" i="14"/>
  <c r="F32" i="14" s="1"/>
  <c r="D5" i="16"/>
  <c r="E5" i="16"/>
  <c r="F5" i="16"/>
  <c r="G5" i="16"/>
  <c r="H5" i="16"/>
  <c r="I5" i="16"/>
  <c r="J5" i="16"/>
  <c r="K5" i="16"/>
  <c r="L5" i="16"/>
  <c r="D6" i="16"/>
  <c r="E6" i="16"/>
  <c r="F6" i="16"/>
  <c r="G6" i="16"/>
  <c r="H6" i="16"/>
  <c r="I6" i="16"/>
  <c r="J6" i="16"/>
  <c r="K6" i="16"/>
  <c r="L6" i="16"/>
  <c r="D7" i="16"/>
  <c r="E7" i="16"/>
  <c r="F7" i="16"/>
  <c r="G7" i="16"/>
  <c r="H7" i="16"/>
  <c r="I7" i="16"/>
  <c r="J7" i="16"/>
  <c r="K7" i="16"/>
  <c r="L7" i="16"/>
  <c r="D8" i="16"/>
  <c r="E8" i="16"/>
  <c r="F8" i="16"/>
  <c r="G8" i="16"/>
  <c r="H8" i="16"/>
  <c r="I8" i="16"/>
  <c r="J8" i="16"/>
  <c r="K8" i="16"/>
  <c r="L8" i="16"/>
  <c r="D9" i="16"/>
  <c r="E9" i="16"/>
  <c r="F9" i="16"/>
  <c r="G9" i="16"/>
  <c r="H9" i="16"/>
  <c r="I9" i="16"/>
  <c r="J9" i="16"/>
  <c r="K9" i="16"/>
  <c r="L9" i="16"/>
  <c r="D10" i="16"/>
  <c r="E10" i="16"/>
  <c r="F10" i="16"/>
  <c r="G10" i="16"/>
  <c r="H10" i="16"/>
  <c r="I10" i="16"/>
  <c r="J10" i="16"/>
  <c r="K10" i="16"/>
  <c r="L10" i="16"/>
  <c r="D11" i="16"/>
  <c r="E11" i="16"/>
  <c r="F11" i="16"/>
  <c r="G11" i="16"/>
  <c r="H11" i="16"/>
  <c r="I11" i="16"/>
  <c r="J11" i="16"/>
  <c r="K11" i="16"/>
  <c r="L11" i="16"/>
  <c r="D12" i="16"/>
  <c r="E12" i="16"/>
  <c r="F12" i="16"/>
  <c r="G12" i="16"/>
  <c r="H12" i="16"/>
  <c r="I12" i="16"/>
  <c r="J12" i="16"/>
  <c r="K12" i="16"/>
  <c r="L12" i="16"/>
  <c r="D13" i="16"/>
  <c r="E13" i="16"/>
  <c r="F13" i="16"/>
  <c r="G13" i="16"/>
  <c r="H13" i="16"/>
  <c r="I13" i="16"/>
  <c r="J13" i="16"/>
  <c r="K13" i="16"/>
  <c r="L13" i="16"/>
  <c r="D14" i="16"/>
  <c r="E14" i="16"/>
  <c r="F14" i="16"/>
  <c r="G14" i="16"/>
  <c r="H14" i="16"/>
  <c r="I14" i="16"/>
  <c r="J14" i="16"/>
  <c r="K14" i="16"/>
  <c r="L14" i="16"/>
  <c r="D15" i="16"/>
  <c r="E15" i="16"/>
  <c r="F15" i="16"/>
  <c r="G15" i="16"/>
  <c r="H15" i="16"/>
  <c r="I15" i="16"/>
  <c r="J15" i="16"/>
  <c r="K15" i="16"/>
  <c r="L15" i="16"/>
  <c r="D16" i="16"/>
  <c r="E16" i="16"/>
  <c r="F16" i="16"/>
  <c r="G16" i="16"/>
  <c r="H16" i="16"/>
  <c r="I16" i="16"/>
  <c r="J16" i="16"/>
  <c r="K16" i="16"/>
  <c r="L16" i="16"/>
  <c r="D17" i="16"/>
  <c r="E17" i="16"/>
  <c r="F17" i="16"/>
  <c r="G17" i="16"/>
  <c r="H17" i="16"/>
  <c r="I17" i="16"/>
  <c r="J17" i="16"/>
  <c r="K17" i="16"/>
  <c r="L17" i="16"/>
  <c r="D18" i="16"/>
  <c r="E18" i="16"/>
  <c r="F18" i="16"/>
  <c r="G18" i="16"/>
  <c r="H18" i="16"/>
  <c r="I18" i="16"/>
  <c r="J18" i="16"/>
  <c r="K18" i="16"/>
  <c r="L18" i="16"/>
  <c r="D19" i="16"/>
  <c r="E19" i="16"/>
  <c r="F19" i="16"/>
  <c r="G19" i="16"/>
  <c r="H19" i="16"/>
  <c r="I19" i="16"/>
  <c r="J19" i="16"/>
  <c r="K19" i="16"/>
  <c r="L19" i="16"/>
  <c r="D20" i="16"/>
  <c r="E20" i="16"/>
  <c r="F20" i="16"/>
  <c r="G20" i="16"/>
  <c r="H20" i="16"/>
  <c r="I20" i="16"/>
  <c r="J20" i="16"/>
  <c r="K20" i="16"/>
  <c r="L20" i="16"/>
  <c r="D21" i="16"/>
  <c r="E21" i="16"/>
  <c r="F21" i="16"/>
  <c r="G21" i="16"/>
  <c r="H21" i="16"/>
  <c r="I21" i="16"/>
  <c r="J21" i="16"/>
  <c r="K21" i="16"/>
  <c r="L21" i="16"/>
  <c r="D22" i="16"/>
  <c r="E22" i="16"/>
  <c r="F22" i="16"/>
  <c r="G22" i="16"/>
  <c r="H22" i="16"/>
  <c r="I22" i="16"/>
  <c r="J22" i="16"/>
  <c r="K22" i="16"/>
  <c r="L22" i="16"/>
  <c r="D23" i="16"/>
  <c r="E23" i="16"/>
  <c r="F23" i="16"/>
  <c r="G23" i="16"/>
  <c r="H23" i="16"/>
  <c r="I23" i="16"/>
  <c r="J23" i="16"/>
  <c r="K23" i="16"/>
  <c r="L23" i="16"/>
  <c r="D24" i="16"/>
  <c r="E24" i="16"/>
  <c r="F24" i="16"/>
  <c r="G24" i="16"/>
  <c r="H24" i="16"/>
  <c r="I24" i="16"/>
  <c r="J24" i="16"/>
  <c r="K24" i="16"/>
  <c r="L24" i="16"/>
  <c r="D25" i="16"/>
  <c r="E25" i="16"/>
  <c r="F25" i="16"/>
  <c r="G25" i="16"/>
  <c r="H25" i="16"/>
  <c r="I25" i="16"/>
  <c r="J25" i="16"/>
  <c r="K25" i="16"/>
  <c r="L25" i="16"/>
  <c r="D26" i="16"/>
  <c r="E26" i="16"/>
  <c r="F26" i="16"/>
  <c r="G26" i="16"/>
  <c r="H26" i="16"/>
  <c r="I26" i="16"/>
  <c r="J26" i="16"/>
  <c r="K26" i="16"/>
  <c r="L26" i="16"/>
  <c r="D27" i="16"/>
  <c r="E27" i="16"/>
  <c r="F27" i="16"/>
  <c r="G27" i="16"/>
  <c r="H27" i="16"/>
  <c r="I27" i="16"/>
  <c r="J27" i="16"/>
  <c r="K27" i="16"/>
  <c r="L27" i="16"/>
  <c r="D28" i="16"/>
  <c r="E28" i="16"/>
  <c r="F28" i="16"/>
  <c r="G28" i="16"/>
  <c r="H28" i="16"/>
  <c r="I28" i="16"/>
  <c r="J28" i="16"/>
  <c r="K28" i="16"/>
  <c r="L28" i="16"/>
  <c r="D29" i="16"/>
  <c r="E29" i="16"/>
  <c r="F29" i="16"/>
  <c r="G29" i="16"/>
  <c r="H29" i="16"/>
  <c r="I29" i="16"/>
  <c r="J29" i="16"/>
  <c r="K29" i="16"/>
  <c r="L29" i="16"/>
  <c r="D30" i="16"/>
  <c r="E30" i="16"/>
  <c r="F30" i="16"/>
  <c r="G30" i="16"/>
  <c r="H30" i="16"/>
  <c r="I30" i="16"/>
  <c r="J30" i="16"/>
  <c r="K30" i="16"/>
  <c r="L30" i="16"/>
  <c r="D31" i="16"/>
  <c r="E31" i="16"/>
  <c r="F31" i="16"/>
  <c r="G31" i="16"/>
  <c r="H31" i="16"/>
  <c r="I31" i="16"/>
  <c r="J31" i="16"/>
  <c r="K31" i="16"/>
  <c r="L31" i="16"/>
  <c r="D32" i="16"/>
  <c r="E32" i="16"/>
  <c r="F32" i="16"/>
  <c r="G32" i="16"/>
  <c r="H32" i="16"/>
  <c r="I32" i="16"/>
  <c r="J32" i="16"/>
  <c r="K32" i="16"/>
  <c r="L32" i="16"/>
  <c r="D34" i="16"/>
  <c r="E34" i="16"/>
  <c r="F34" i="16"/>
  <c r="G34" i="16"/>
  <c r="H34" i="16"/>
  <c r="I34" i="16"/>
  <c r="J34" i="16"/>
  <c r="K34" i="16"/>
  <c r="L34" i="16"/>
  <c r="D35" i="16"/>
  <c r="E35" i="16"/>
  <c r="F35" i="16"/>
  <c r="G35" i="16"/>
  <c r="H35" i="16"/>
  <c r="I35" i="16"/>
  <c r="J35" i="16"/>
  <c r="K35" i="16"/>
  <c r="L35" i="16"/>
  <c r="D36" i="16"/>
  <c r="E36" i="16"/>
  <c r="F36" i="16"/>
  <c r="G36" i="16"/>
  <c r="H36" i="16"/>
  <c r="I36" i="16"/>
  <c r="J36" i="16"/>
  <c r="K36" i="16"/>
  <c r="L36" i="16"/>
  <c r="D37" i="16"/>
  <c r="E37" i="16"/>
  <c r="F37" i="16"/>
  <c r="G37" i="16"/>
  <c r="H37" i="16"/>
  <c r="I37" i="16"/>
  <c r="J37" i="16"/>
  <c r="K37" i="16"/>
  <c r="L37" i="16"/>
  <c r="D38" i="16"/>
  <c r="E38" i="16"/>
  <c r="F38" i="16"/>
  <c r="G38" i="16"/>
  <c r="H38" i="16"/>
  <c r="I38" i="16"/>
  <c r="J38" i="16"/>
  <c r="K38" i="16"/>
  <c r="L38" i="16"/>
  <c r="D39" i="16"/>
  <c r="E39" i="16"/>
  <c r="F39" i="16"/>
  <c r="G39" i="16"/>
  <c r="H39" i="16"/>
  <c r="I39" i="16"/>
  <c r="J39" i="16"/>
  <c r="K39" i="16"/>
  <c r="L39" i="16"/>
  <c r="D40" i="16"/>
  <c r="E40" i="16"/>
  <c r="F40" i="16"/>
  <c r="G40" i="16"/>
  <c r="H40" i="16"/>
  <c r="I40" i="16"/>
  <c r="J40" i="16"/>
  <c r="K40" i="16"/>
  <c r="L40" i="16"/>
  <c r="D41" i="16"/>
  <c r="E41" i="16"/>
  <c r="F41" i="16"/>
  <c r="G41" i="16"/>
  <c r="H41" i="16"/>
  <c r="I41" i="16"/>
  <c r="J41" i="16"/>
  <c r="K41" i="16"/>
  <c r="L41" i="16"/>
  <c r="D47" i="16"/>
  <c r="E47" i="16"/>
  <c r="F47" i="16"/>
  <c r="G47" i="16"/>
  <c r="H47" i="16"/>
  <c r="I47" i="16"/>
  <c r="J47" i="16"/>
  <c r="K47" i="16"/>
  <c r="L47" i="16"/>
  <c r="D48" i="16"/>
  <c r="E48" i="16"/>
  <c r="F48" i="16"/>
  <c r="G48" i="16"/>
  <c r="H48" i="16"/>
  <c r="I48" i="16"/>
  <c r="J48" i="16"/>
  <c r="K48" i="16"/>
  <c r="L48" i="16"/>
  <c r="D49" i="16"/>
  <c r="E49" i="16"/>
  <c r="F49" i="16"/>
  <c r="G49" i="16"/>
  <c r="H49" i="16"/>
  <c r="I49" i="16"/>
  <c r="J49" i="16"/>
  <c r="K49" i="16"/>
  <c r="L49" i="16"/>
  <c r="D50" i="16"/>
  <c r="E50" i="16"/>
  <c r="F50" i="16"/>
  <c r="G50" i="16"/>
  <c r="H50" i="16"/>
  <c r="I50" i="16"/>
  <c r="J50" i="16"/>
  <c r="K50" i="16"/>
  <c r="L50" i="16"/>
  <c r="D51" i="16"/>
  <c r="E51" i="16"/>
  <c r="F51" i="16"/>
  <c r="G51" i="16"/>
  <c r="H51" i="16"/>
  <c r="I51" i="16"/>
  <c r="J51" i="16"/>
  <c r="K51" i="16"/>
  <c r="L51" i="16"/>
  <c r="D52" i="16"/>
  <c r="E52" i="16"/>
  <c r="F52" i="16"/>
  <c r="G52" i="16"/>
  <c r="H52" i="16"/>
  <c r="I52" i="16"/>
  <c r="J52" i="16"/>
  <c r="K52" i="16"/>
  <c r="L52" i="16"/>
  <c r="D53" i="16"/>
  <c r="E53" i="16"/>
  <c r="F53" i="16"/>
  <c r="G53" i="16"/>
  <c r="H53" i="16"/>
  <c r="I53" i="16"/>
  <c r="J53" i="16"/>
  <c r="K53" i="16"/>
  <c r="L53" i="16"/>
  <c r="D54" i="16"/>
  <c r="E54" i="16"/>
  <c r="F54" i="16"/>
  <c r="G54" i="16"/>
  <c r="H54" i="16"/>
  <c r="I54" i="16"/>
  <c r="J54" i="16"/>
  <c r="K54" i="16"/>
  <c r="L54" i="16"/>
  <c r="D55" i="16"/>
  <c r="E55" i="16"/>
  <c r="F55" i="16"/>
  <c r="G55" i="16"/>
  <c r="H55" i="16"/>
  <c r="I55" i="16"/>
  <c r="J55" i="16"/>
  <c r="K55" i="16"/>
  <c r="L55" i="16"/>
  <c r="D56" i="16"/>
  <c r="E56" i="16"/>
  <c r="F56" i="16"/>
  <c r="G56" i="16"/>
  <c r="H56" i="16"/>
  <c r="I56" i="16"/>
  <c r="J56" i="16"/>
  <c r="K56" i="16"/>
  <c r="L56" i="16"/>
  <c r="D57" i="16"/>
  <c r="E57" i="16"/>
  <c r="F57" i="16"/>
  <c r="G57" i="16"/>
  <c r="H57" i="16"/>
  <c r="I57" i="16"/>
  <c r="J57" i="16"/>
  <c r="K57" i="16"/>
  <c r="L57" i="16"/>
  <c r="D58" i="16"/>
  <c r="E58" i="16"/>
  <c r="F58" i="16"/>
  <c r="G58" i="16"/>
  <c r="H58" i="16"/>
  <c r="I58" i="16"/>
  <c r="J58" i="16"/>
  <c r="K58" i="16"/>
  <c r="L58" i="16"/>
  <c r="D59" i="16"/>
  <c r="E59" i="16"/>
  <c r="F59" i="16"/>
  <c r="G59" i="16"/>
  <c r="H59" i="16"/>
  <c r="I59" i="16"/>
  <c r="J59" i="16"/>
  <c r="K59" i="16"/>
  <c r="L59" i="16"/>
  <c r="D60" i="16"/>
  <c r="E60" i="16"/>
  <c r="F60" i="16"/>
  <c r="G60" i="16"/>
  <c r="H60" i="16"/>
  <c r="I60" i="16"/>
  <c r="J60" i="16"/>
  <c r="K60" i="16"/>
  <c r="L60" i="16"/>
  <c r="D61" i="16"/>
  <c r="E61" i="16"/>
  <c r="F61" i="16"/>
  <c r="G61" i="16"/>
  <c r="H61" i="16"/>
  <c r="I61" i="16"/>
  <c r="J61" i="16"/>
  <c r="K61" i="16"/>
  <c r="L61" i="16"/>
  <c r="D62" i="16"/>
  <c r="E62" i="16"/>
  <c r="F62" i="16"/>
  <c r="G62" i="16"/>
  <c r="H62" i="16"/>
  <c r="I62" i="16"/>
  <c r="J62" i="16"/>
  <c r="K62" i="16"/>
  <c r="L62" i="16"/>
  <c r="D63" i="16"/>
  <c r="E63" i="16"/>
  <c r="F63" i="16"/>
  <c r="G63" i="16"/>
  <c r="H63" i="16"/>
  <c r="I63" i="16"/>
  <c r="J63" i="16"/>
  <c r="K63" i="16"/>
  <c r="L63" i="16"/>
  <c r="D64" i="16"/>
  <c r="E64" i="16"/>
  <c r="F64" i="16"/>
  <c r="G64" i="16"/>
  <c r="H64" i="16"/>
  <c r="I64" i="16"/>
  <c r="J64" i="16"/>
  <c r="K64" i="16"/>
  <c r="L64" i="16"/>
  <c r="D65" i="16"/>
  <c r="E65" i="16"/>
  <c r="F65" i="16"/>
  <c r="G65" i="16"/>
  <c r="H65" i="16"/>
  <c r="I65" i="16"/>
  <c r="J65" i="16"/>
  <c r="K65" i="16"/>
  <c r="L65" i="16"/>
  <c r="D66" i="16"/>
  <c r="E66" i="16"/>
  <c r="F66" i="16"/>
  <c r="G66" i="16"/>
  <c r="H66" i="16"/>
  <c r="I66" i="16"/>
  <c r="J66" i="16"/>
  <c r="K66" i="16"/>
  <c r="L66" i="16"/>
  <c r="D67" i="16"/>
  <c r="E67" i="16"/>
  <c r="F67" i="16"/>
  <c r="G67" i="16"/>
  <c r="H67" i="16"/>
  <c r="I67" i="16"/>
  <c r="J67" i="16"/>
  <c r="K67" i="16"/>
  <c r="L67" i="16"/>
  <c r="D68" i="16"/>
  <c r="E68" i="16"/>
  <c r="F68" i="16"/>
  <c r="G68" i="16"/>
  <c r="H68" i="16"/>
  <c r="I68" i="16"/>
  <c r="J68" i="16"/>
  <c r="K68" i="16"/>
  <c r="L68" i="16"/>
  <c r="D69" i="16"/>
  <c r="E69" i="16"/>
  <c r="F69" i="16"/>
  <c r="G69" i="16"/>
  <c r="H69" i="16"/>
  <c r="I69" i="16"/>
  <c r="J69" i="16"/>
  <c r="K69" i="16"/>
  <c r="L69" i="16"/>
  <c r="D70" i="16"/>
  <c r="E70" i="16"/>
  <c r="F70" i="16"/>
  <c r="G70" i="16"/>
  <c r="H70" i="16"/>
  <c r="I70" i="16"/>
  <c r="J70" i="16"/>
  <c r="K70" i="16"/>
  <c r="L70" i="16"/>
  <c r="D71" i="16"/>
  <c r="E71" i="16"/>
  <c r="F71" i="16"/>
  <c r="G71" i="16"/>
  <c r="H71" i="16"/>
  <c r="I71" i="16"/>
  <c r="J71" i="16"/>
  <c r="K71" i="16"/>
  <c r="L71" i="16"/>
  <c r="D72" i="16"/>
  <c r="E72" i="16"/>
  <c r="F72" i="16"/>
  <c r="G72" i="16"/>
  <c r="H72" i="16"/>
  <c r="I72" i="16"/>
  <c r="J72" i="16"/>
  <c r="K72" i="16"/>
  <c r="L72" i="16"/>
  <c r="D73" i="16"/>
  <c r="E73" i="16"/>
  <c r="F73" i="16"/>
  <c r="G73" i="16"/>
  <c r="H73" i="16"/>
  <c r="I73" i="16"/>
  <c r="J73" i="16"/>
  <c r="K73" i="16"/>
  <c r="L73" i="16"/>
  <c r="D74" i="16"/>
  <c r="E74" i="16"/>
  <c r="F74" i="16"/>
  <c r="G74" i="16"/>
  <c r="H74" i="16"/>
  <c r="I74" i="16"/>
  <c r="J74" i="16"/>
  <c r="K74" i="16"/>
  <c r="L74" i="16"/>
  <c r="D89" i="16"/>
  <c r="E89" i="16"/>
  <c r="F89" i="16"/>
  <c r="G89" i="16"/>
  <c r="H89" i="16"/>
  <c r="I89" i="16"/>
  <c r="J89" i="16"/>
  <c r="K89" i="16"/>
  <c r="L89" i="16"/>
  <c r="D90" i="16"/>
  <c r="E90" i="16"/>
  <c r="F90" i="16"/>
  <c r="G90" i="16"/>
  <c r="H90" i="16"/>
  <c r="I90" i="16"/>
  <c r="J90" i="16"/>
  <c r="K90" i="16"/>
  <c r="L90" i="16"/>
  <c r="D91" i="16"/>
  <c r="E91" i="16"/>
  <c r="F91" i="16"/>
  <c r="G91" i="16"/>
  <c r="H91" i="16"/>
  <c r="I91" i="16"/>
  <c r="J91" i="16"/>
  <c r="K91" i="16"/>
  <c r="L91" i="16"/>
  <c r="D92" i="16"/>
  <c r="E92" i="16"/>
  <c r="F92" i="16"/>
  <c r="G92" i="16"/>
  <c r="H92" i="16"/>
  <c r="I92" i="16"/>
  <c r="J92" i="16"/>
  <c r="K92" i="16"/>
  <c r="L92" i="16"/>
  <c r="D93" i="16"/>
  <c r="E93" i="16"/>
  <c r="F93" i="16"/>
  <c r="G93" i="16"/>
  <c r="H93" i="16"/>
  <c r="I93" i="16"/>
  <c r="J93" i="16"/>
  <c r="K93" i="16"/>
  <c r="L93" i="16"/>
  <c r="D94" i="16"/>
  <c r="E94" i="16"/>
  <c r="F94" i="16"/>
  <c r="G94" i="16"/>
  <c r="H94" i="16"/>
  <c r="I94" i="16"/>
  <c r="J94" i="16"/>
  <c r="K94" i="16"/>
  <c r="L94" i="16"/>
  <c r="D95" i="16"/>
  <c r="E95" i="16"/>
  <c r="F95" i="16"/>
  <c r="G95" i="16"/>
  <c r="H95" i="16"/>
  <c r="I95" i="16"/>
  <c r="J95" i="16"/>
  <c r="K95" i="16"/>
  <c r="L95" i="16"/>
  <c r="D96" i="16"/>
  <c r="E96" i="16"/>
  <c r="F96" i="16"/>
  <c r="G96" i="16"/>
  <c r="H96" i="16"/>
  <c r="I96" i="16"/>
  <c r="J96" i="16"/>
  <c r="K96" i="16"/>
  <c r="L96" i="16"/>
  <c r="D97" i="16"/>
  <c r="E97" i="16"/>
  <c r="F97" i="16"/>
  <c r="G97" i="16"/>
  <c r="H97" i="16"/>
  <c r="I97" i="16"/>
  <c r="J97" i="16"/>
  <c r="K97" i="16"/>
  <c r="L97" i="16"/>
  <c r="D98" i="16"/>
  <c r="E98" i="16"/>
  <c r="F98" i="16"/>
  <c r="G98" i="16"/>
  <c r="H98" i="16"/>
  <c r="I98" i="16"/>
  <c r="J98" i="16"/>
  <c r="K98" i="16"/>
  <c r="L98" i="16"/>
  <c r="D99" i="16"/>
  <c r="E99" i="16"/>
  <c r="F99" i="16"/>
  <c r="G99" i="16"/>
  <c r="H99" i="16"/>
  <c r="I99" i="16"/>
  <c r="J99" i="16"/>
  <c r="K99" i="16"/>
  <c r="L99" i="16"/>
  <c r="D100" i="16"/>
  <c r="E100" i="16"/>
  <c r="F100" i="16"/>
  <c r="G100" i="16"/>
  <c r="H100" i="16"/>
  <c r="I100" i="16"/>
  <c r="J100" i="16"/>
  <c r="K100" i="16"/>
  <c r="L100" i="16"/>
  <c r="D101" i="16"/>
  <c r="E101" i="16"/>
  <c r="F101" i="16"/>
  <c r="G101" i="16"/>
  <c r="H101" i="16"/>
  <c r="I101" i="16"/>
  <c r="J101" i="16"/>
  <c r="K101" i="16"/>
  <c r="L101" i="16"/>
  <c r="D102" i="16"/>
  <c r="E102" i="16"/>
  <c r="F102" i="16"/>
  <c r="G102" i="16"/>
  <c r="H102" i="16"/>
  <c r="I102" i="16"/>
  <c r="J102" i="16"/>
  <c r="K102" i="16"/>
  <c r="L102" i="16"/>
  <c r="D103" i="16"/>
  <c r="E103" i="16"/>
  <c r="F103" i="16"/>
  <c r="G103" i="16"/>
  <c r="H103" i="16"/>
  <c r="I103" i="16"/>
  <c r="J103" i="16"/>
  <c r="K103" i="16"/>
  <c r="L103" i="16"/>
  <c r="D104" i="16"/>
  <c r="E104" i="16"/>
  <c r="F104" i="16"/>
  <c r="G104" i="16"/>
  <c r="H104" i="16"/>
  <c r="I104" i="16"/>
  <c r="J104" i="16"/>
  <c r="K104" i="16"/>
  <c r="L104" i="16"/>
  <c r="D105" i="16"/>
  <c r="E105" i="16"/>
  <c r="F105" i="16"/>
  <c r="G105" i="16"/>
  <c r="H105" i="16"/>
  <c r="I105" i="16"/>
  <c r="J105" i="16"/>
  <c r="K105" i="16"/>
  <c r="L105" i="16"/>
  <c r="D106" i="16"/>
  <c r="E106" i="16"/>
  <c r="F106" i="16"/>
  <c r="G106" i="16"/>
  <c r="H106" i="16"/>
  <c r="I106" i="16"/>
  <c r="J106" i="16"/>
  <c r="K106" i="16"/>
  <c r="L106" i="16"/>
  <c r="D107" i="16"/>
  <c r="E107" i="16"/>
  <c r="F107" i="16"/>
  <c r="G107" i="16"/>
  <c r="H107" i="16"/>
  <c r="I107" i="16"/>
  <c r="J107" i="16"/>
  <c r="K107" i="16"/>
  <c r="L107" i="16"/>
  <c r="D108" i="16"/>
  <c r="E108" i="16"/>
  <c r="F108" i="16"/>
  <c r="G108" i="16"/>
  <c r="H108" i="16"/>
  <c r="I108" i="16"/>
  <c r="J108" i="16"/>
  <c r="K108" i="16"/>
  <c r="L108" i="16"/>
  <c r="D109" i="16"/>
  <c r="E109" i="16"/>
  <c r="F109" i="16"/>
  <c r="G109" i="16"/>
  <c r="H109" i="16"/>
  <c r="I109" i="16"/>
  <c r="J109" i="16"/>
  <c r="K109" i="16"/>
  <c r="L109" i="16"/>
  <c r="D110" i="16"/>
  <c r="E110" i="16"/>
  <c r="F110" i="16"/>
  <c r="G110" i="16"/>
  <c r="H110" i="16"/>
  <c r="I110" i="16"/>
  <c r="J110" i="16"/>
  <c r="K110" i="16"/>
  <c r="L110" i="16"/>
  <c r="D111" i="16"/>
  <c r="E111" i="16"/>
  <c r="F111" i="16"/>
  <c r="G111" i="16"/>
  <c r="H111" i="16"/>
  <c r="I111" i="16"/>
  <c r="J111" i="16"/>
  <c r="K111" i="16"/>
  <c r="L111" i="16"/>
  <c r="D112" i="16"/>
  <c r="E112" i="16"/>
  <c r="F112" i="16"/>
  <c r="G112" i="16"/>
  <c r="H112" i="16"/>
  <c r="I112" i="16"/>
  <c r="J112" i="16"/>
  <c r="K112" i="16"/>
  <c r="L112" i="16"/>
  <c r="D113" i="16"/>
  <c r="E113" i="16"/>
  <c r="F113" i="16"/>
  <c r="G113" i="16"/>
  <c r="H113" i="16"/>
  <c r="I113" i="16"/>
  <c r="J113" i="16"/>
  <c r="K113" i="16"/>
  <c r="L113" i="16"/>
  <c r="D114" i="16"/>
  <c r="E114" i="16"/>
  <c r="F114" i="16"/>
  <c r="G114" i="16"/>
  <c r="H114" i="16"/>
  <c r="I114" i="16"/>
  <c r="J114" i="16"/>
  <c r="K114" i="16"/>
  <c r="L114" i="16"/>
  <c r="D115" i="16"/>
  <c r="E115" i="16"/>
  <c r="F115" i="16"/>
  <c r="G115" i="16"/>
  <c r="H115" i="16"/>
  <c r="I115" i="16"/>
  <c r="J115" i="16"/>
  <c r="K115" i="16"/>
  <c r="L115" i="16"/>
  <c r="D116" i="16"/>
  <c r="E116" i="16"/>
  <c r="F116" i="16"/>
  <c r="G116" i="16"/>
  <c r="H116" i="16"/>
  <c r="I116" i="16"/>
  <c r="J116" i="16"/>
  <c r="K116" i="16"/>
  <c r="L116" i="16"/>
  <c r="T31" i="7" l="1"/>
  <c r="C57" i="7"/>
  <c r="R31" i="7"/>
  <c r="S31" i="7"/>
  <c r="T38" i="7"/>
  <c r="R38" i="7"/>
  <c r="C64" i="7"/>
  <c r="S38" i="7"/>
  <c r="C58" i="7"/>
  <c r="T32" i="7"/>
  <c r="S32" i="7"/>
  <c r="R32" i="7"/>
  <c r="C79" i="7"/>
  <c r="S53" i="7"/>
  <c r="R53" i="7"/>
  <c r="T53" i="7"/>
  <c r="T44" i="7"/>
  <c r="C70" i="7"/>
  <c r="S44" i="7"/>
  <c r="R44" i="7"/>
  <c r="T39" i="7"/>
  <c r="C65" i="7"/>
  <c r="S39" i="7"/>
  <c r="R39" i="7"/>
  <c r="C60" i="7"/>
  <c r="T34" i="7"/>
  <c r="S34" i="7"/>
  <c r="R34" i="7"/>
  <c r="S50" i="7"/>
  <c r="R50" i="7"/>
  <c r="C76" i="7"/>
  <c r="T50" i="7"/>
  <c r="T37" i="7"/>
  <c r="C63" i="7"/>
  <c r="S37" i="7"/>
  <c r="R37" i="7"/>
  <c r="C80" i="7"/>
  <c r="T54" i="7"/>
  <c r="R54" i="7"/>
  <c r="S54" i="7"/>
  <c r="T30" i="7"/>
  <c r="C56" i="7"/>
  <c r="R30" i="7"/>
  <c r="S30" i="7"/>
  <c r="S52" i="7"/>
  <c r="R52" i="7"/>
  <c r="C78" i="7"/>
  <c r="T52" i="7"/>
  <c r="C71" i="7"/>
  <c r="T45" i="7"/>
  <c r="S45" i="7"/>
  <c r="R45" i="7"/>
  <c r="R48" i="7"/>
  <c r="T48" i="7"/>
  <c r="S48" i="7"/>
  <c r="C74" i="7"/>
  <c r="C77" i="7"/>
  <c r="R51" i="7"/>
  <c r="T51" i="7"/>
  <c r="S51" i="7"/>
  <c r="T33" i="7"/>
  <c r="S33" i="7"/>
  <c r="R33" i="7"/>
  <c r="C59" i="7"/>
  <c r="S55" i="7"/>
  <c r="T55" i="7"/>
  <c r="C81" i="7"/>
  <c r="R55" i="7"/>
  <c r="T41" i="7"/>
  <c r="C67" i="7"/>
  <c r="S41" i="7"/>
  <c r="R41" i="7"/>
  <c r="T49" i="7"/>
  <c r="S49" i="7"/>
  <c r="R49" i="7"/>
  <c r="C75" i="7"/>
  <c r="C69" i="7"/>
  <c r="T43" i="7"/>
  <c r="R43" i="7"/>
  <c r="S43" i="7"/>
  <c r="C68" i="7"/>
  <c r="T42" i="7"/>
  <c r="R42" i="7"/>
  <c r="S42" i="7"/>
  <c r="T40" i="7"/>
  <c r="C66" i="7"/>
  <c r="R40" i="7"/>
  <c r="S40" i="7"/>
  <c r="R36" i="7"/>
  <c r="S36" i="7"/>
  <c r="T36" i="7"/>
  <c r="C62" i="7"/>
  <c r="C73" i="7"/>
  <c r="R47" i="7"/>
  <c r="S47" i="7"/>
  <c r="T47" i="7"/>
  <c r="R46" i="7"/>
  <c r="T46" i="7"/>
  <c r="S46" i="7"/>
  <c r="C72" i="7"/>
  <c r="C61" i="7"/>
  <c r="R35" i="7"/>
  <c r="T35" i="7"/>
  <c r="S35" i="7"/>
  <c r="AC53" i="11"/>
  <c r="Y53" i="11"/>
  <c r="W53" i="11"/>
  <c r="T53" i="11"/>
  <c r="S53" i="11"/>
  <c r="U53" i="11" s="1"/>
  <c r="P53" i="11"/>
  <c r="O53" i="11"/>
  <c r="L53" i="11"/>
  <c r="K53" i="11"/>
  <c r="H53" i="11"/>
  <c r="G53" i="11"/>
  <c r="I53" i="11" s="1"/>
  <c r="D53" i="11"/>
  <c r="C53" i="11"/>
  <c r="AB52" i="11"/>
  <c r="AD52" i="11" s="1"/>
  <c r="U52" i="11"/>
  <c r="Q52" i="11"/>
  <c r="M52" i="11"/>
  <c r="I52" i="11"/>
  <c r="E52" i="11"/>
  <c r="AB51" i="11"/>
  <c r="X51" i="11" s="1"/>
  <c r="U51" i="11"/>
  <c r="Q51" i="11"/>
  <c r="M51" i="11"/>
  <c r="I51" i="11"/>
  <c r="E51" i="11"/>
  <c r="AB50" i="11"/>
  <c r="U50" i="11"/>
  <c r="Q50" i="11"/>
  <c r="M50" i="11"/>
  <c r="I50" i="11"/>
  <c r="E50" i="11"/>
  <c r="AB48" i="11"/>
  <c r="AD48" i="11" s="1"/>
  <c r="AA48" i="11"/>
  <c r="U48" i="11"/>
  <c r="Q48" i="11"/>
  <c r="M48" i="11"/>
  <c r="I48" i="11"/>
  <c r="E48" i="11"/>
  <c r="AB47" i="11"/>
  <c r="U47" i="11"/>
  <c r="Q47" i="11"/>
  <c r="M47" i="11"/>
  <c r="I47" i="11"/>
  <c r="E47" i="11"/>
  <c r="AB46" i="11"/>
  <c r="AD46" i="11" s="1"/>
  <c r="Z46" i="11"/>
  <c r="U46" i="11"/>
  <c r="Q46" i="11"/>
  <c r="M46" i="11"/>
  <c r="I46" i="11"/>
  <c r="E46" i="11"/>
  <c r="AB45" i="11"/>
  <c r="Z45" i="11" s="1"/>
  <c r="U45" i="11"/>
  <c r="Q45" i="11"/>
  <c r="M45" i="11"/>
  <c r="I45" i="11"/>
  <c r="E45" i="11"/>
  <c r="AB44" i="11"/>
  <c r="U44" i="11"/>
  <c r="Q44" i="11"/>
  <c r="M44" i="11"/>
  <c r="I44" i="11"/>
  <c r="E44" i="11"/>
  <c r="AB43" i="11"/>
  <c r="AD43" i="11" s="1"/>
  <c r="U43" i="11"/>
  <c r="Q43" i="11"/>
  <c r="M43" i="11"/>
  <c r="I43" i="11"/>
  <c r="E43" i="11"/>
  <c r="AC42" i="11"/>
  <c r="AC54" i="11" s="1"/>
  <c r="Y42" i="11"/>
  <c r="W42" i="11"/>
  <c r="T42" i="11"/>
  <c r="S42" i="11"/>
  <c r="P42" i="11"/>
  <c r="O42" i="11"/>
  <c r="L42" i="11"/>
  <c r="K42" i="11"/>
  <c r="M42" i="11" s="1"/>
  <c r="H42" i="11"/>
  <c r="G42" i="11"/>
  <c r="D42" i="11"/>
  <c r="C42" i="11"/>
  <c r="AB41" i="11"/>
  <c r="U41" i="11"/>
  <c r="Q41" i="11"/>
  <c r="M41" i="11"/>
  <c r="I41" i="11"/>
  <c r="E41" i="11"/>
  <c r="AB40" i="11"/>
  <c r="AD40" i="11" s="1"/>
  <c r="U40" i="11"/>
  <c r="Q40" i="11"/>
  <c r="M40" i="11"/>
  <c r="I40" i="11"/>
  <c r="E40" i="11"/>
  <c r="AB39" i="11"/>
  <c r="X39" i="11" s="1"/>
  <c r="U39" i="11"/>
  <c r="Q39" i="11"/>
  <c r="M39" i="11"/>
  <c r="I39" i="11"/>
  <c r="E39" i="11"/>
  <c r="AB38" i="11"/>
  <c r="AD38" i="11" s="1"/>
  <c r="U38" i="11"/>
  <c r="Q38" i="11"/>
  <c r="M38" i="11"/>
  <c r="I38" i="11"/>
  <c r="E38" i="11"/>
  <c r="AB37" i="11"/>
  <c r="AD37" i="11" s="1"/>
  <c r="U37" i="11"/>
  <c r="Q37" i="11"/>
  <c r="M37" i="11"/>
  <c r="I37" i="11"/>
  <c r="E37" i="11"/>
  <c r="AB36" i="11"/>
  <c r="AD36" i="11" s="1"/>
  <c r="U36" i="11"/>
  <c r="Q36" i="11"/>
  <c r="M36" i="11"/>
  <c r="I36" i="11"/>
  <c r="E36" i="11"/>
  <c r="AB35" i="11"/>
  <c r="AD35" i="11" s="1"/>
  <c r="U35" i="11"/>
  <c r="Q35" i="11"/>
  <c r="M35" i="11"/>
  <c r="I35" i="11"/>
  <c r="E35" i="11"/>
  <c r="AB34" i="11"/>
  <c r="AD34" i="11" s="1"/>
  <c r="U34" i="11"/>
  <c r="Q34" i="11"/>
  <c r="M34" i="11"/>
  <c r="I34" i="11"/>
  <c r="E34" i="11"/>
  <c r="AB33" i="11"/>
  <c r="AD33" i="11" s="1"/>
  <c r="U33" i="11"/>
  <c r="Q33" i="11"/>
  <c r="M33" i="11"/>
  <c r="I33" i="11"/>
  <c r="E33" i="11"/>
  <c r="AB32" i="11"/>
  <c r="U32" i="11"/>
  <c r="Q32" i="11"/>
  <c r="M32" i="11"/>
  <c r="I32" i="11"/>
  <c r="E32" i="11"/>
  <c r="AB31" i="11"/>
  <c r="AD31" i="11" s="1"/>
  <c r="U31" i="11"/>
  <c r="Q31" i="11"/>
  <c r="M31" i="11"/>
  <c r="I31" i="11"/>
  <c r="E31" i="11"/>
  <c r="AB30" i="11"/>
  <c r="AD30" i="11" s="1"/>
  <c r="U30" i="11"/>
  <c r="Q30" i="11"/>
  <c r="M30" i="11"/>
  <c r="I30" i="11"/>
  <c r="E30" i="11"/>
  <c r="AB29" i="11"/>
  <c r="AD29" i="11" s="1"/>
  <c r="U29" i="11"/>
  <c r="Q29" i="11"/>
  <c r="M29" i="11"/>
  <c r="I29" i="11"/>
  <c r="E29" i="11"/>
  <c r="AB28" i="11"/>
  <c r="AD28" i="11" s="1"/>
  <c r="U28" i="11"/>
  <c r="Q28" i="11"/>
  <c r="M28" i="11"/>
  <c r="I28" i="11"/>
  <c r="E28" i="11"/>
  <c r="AB27" i="11"/>
  <c r="AD27" i="11" s="1"/>
  <c r="X27" i="11"/>
  <c r="U27" i="11"/>
  <c r="Q27" i="11"/>
  <c r="M27" i="11"/>
  <c r="I27" i="11"/>
  <c r="E27" i="11"/>
  <c r="AB26" i="11"/>
  <c r="U26" i="11"/>
  <c r="Q26" i="11"/>
  <c r="M26" i="11"/>
  <c r="I26" i="11"/>
  <c r="E26" i="11"/>
  <c r="AB25" i="11"/>
  <c r="AD25" i="11" s="1"/>
  <c r="U25" i="11"/>
  <c r="Q25" i="11"/>
  <c r="M25" i="11"/>
  <c r="I25" i="11"/>
  <c r="E25" i="11"/>
  <c r="AB24" i="11"/>
  <c r="AD24" i="11" s="1"/>
  <c r="U24" i="11"/>
  <c r="Q24" i="11"/>
  <c r="M24" i="11"/>
  <c r="I24" i="11"/>
  <c r="E24" i="11"/>
  <c r="AB23" i="11"/>
  <c r="U23" i="11"/>
  <c r="Q23" i="11"/>
  <c r="M23" i="11"/>
  <c r="I23" i="11"/>
  <c r="E23" i="11"/>
  <c r="AB22" i="11"/>
  <c r="AD22" i="11" s="1"/>
  <c r="U22" i="11"/>
  <c r="Q22" i="11"/>
  <c r="M22" i="11"/>
  <c r="I22" i="11"/>
  <c r="E22" i="11"/>
  <c r="AB21" i="11"/>
  <c r="AD21" i="11" s="1"/>
  <c r="U21" i="11"/>
  <c r="Q21" i="11"/>
  <c r="M21" i="11"/>
  <c r="I21" i="11"/>
  <c r="E21" i="11"/>
  <c r="AB20" i="11"/>
  <c r="AD20" i="11" s="1"/>
  <c r="U20" i="11"/>
  <c r="Q20" i="11"/>
  <c r="M20" i="11"/>
  <c r="I20" i="11"/>
  <c r="E20" i="11"/>
  <c r="AB19" i="11"/>
  <c r="AD19" i="11" s="1"/>
  <c r="U19" i="11"/>
  <c r="Q19" i="11"/>
  <c r="M19" i="11"/>
  <c r="I19" i="11"/>
  <c r="E19" i="11"/>
  <c r="AB18" i="11"/>
  <c r="AD18" i="11" s="1"/>
  <c r="U18" i="11"/>
  <c r="Q18" i="11"/>
  <c r="M18" i="11"/>
  <c r="I18" i="11"/>
  <c r="E18" i="11"/>
  <c r="AB17" i="11"/>
  <c r="AD17" i="11" s="1"/>
  <c r="U17" i="11"/>
  <c r="Q17" i="11"/>
  <c r="M17" i="11"/>
  <c r="I17" i="11"/>
  <c r="E17" i="11"/>
  <c r="AB16" i="11"/>
  <c r="AD16" i="11" s="1"/>
  <c r="U16" i="11"/>
  <c r="Q16" i="11"/>
  <c r="M16" i="11"/>
  <c r="I16" i="11"/>
  <c r="E16" i="11"/>
  <c r="AB15" i="11"/>
  <c r="AD15" i="11" s="1"/>
  <c r="U15" i="11"/>
  <c r="Q15" i="11"/>
  <c r="M15" i="11"/>
  <c r="I15" i="11"/>
  <c r="E15" i="11"/>
  <c r="AB14" i="11"/>
  <c r="X14" i="11" s="1"/>
  <c r="U14" i="11"/>
  <c r="Q14" i="11"/>
  <c r="M14" i="11"/>
  <c r="I14" i="11"/>
  <c r="E14" i="11"/>
  <c r="AB13" i="11"/>
  <c r="AD13" i="11" s="1"/>
  <c r="U13" i="11"/>
  <c r="Q13" i="11"/>
  <c r="M13" i="11"/>
  <c r="I13" i="11"/>
  <c r="E13" i="11"/>
  <c r="AB12" i="11"/>
  <c r="AD12" i="11" s="1"/>
  <c r="U12" i="11"/>
  <c r="Q12" i="11"/>
  <c r="M12" i="11"/>
  <c r="I12" i="11"/>
  <c r="E12" i="11"/>
  <c r="AB11" i="11"/>
  <c r="X11" i="11" s="1"/>
  <c r="U11" i="11"/>
  <c r="Q11" i="11"/>
  <c r="M11" i="11"/>
  <c r="I11" i="11"/>
  <c r="E11" i="11"/>
  <c r="AB10" i="11"/>
  <c r="AD10" i="11" s="1"/>
  <c r="U10" i="11"/>
  <c r="Q10" i="11"/>
  <c r="M10" i="11"/>
  <c r="I10" i="11"/>
  <c r="E10" i="11"/>
  <c r="AB9" i="11"/>
  <c r="AD9" i="11" s="1"/>
  <c r="U9" i="11"/>
  <c r="Q9" i="11"/>
  <c r="M9" i="11"/>
  <c r="I9" i="11"/>
  <c r="E9" i="11"/>
  <c r="AB8" i="11"/>
  <c r="X8" i="11" s="1"/>
  <c r="U8" i="11"/>
  <c r="Q8" i="11"/>
  <c r="M8" i="11"/>
  <c r="I8" i="11"/>
  <c r="E8" i="11"/>
  <c r="AB7" i="11"/>
  <c r="AD7" i="11" s="1"/>
  <c r="U7" i="11"/>
  <c r="Q7" i="11"/>
  <c r="M7" i="11"/>
  <c r="I7" i="11"/>
  <c r="E7" i="11"/>
  <c r="AB6" i="11"/>
  <c r="AD6" i="11" s="1"/>
  <c r="U6" i="11"/>
  <c r="Q6" i="11"/>
  <c r="M6" i="11"/>
  <c r="I6" i="11"/>
  <c r="E6" i="11"/>
  <c r="AB5" i="11"/>
  <c r="X5" i="11" s="1"/>
  <c r="U5" i="11"/>
  <c r="Q5" i="11"/>
  <c r="M5" i="11"/>
  <c r="I5" i="11"/>
  <c r="E5" i="11"/>
  <c r="T65" i="7" l="1"/>
  <c r="S65" i="7"/>
  <c r="R65" i="7"/>
  <c r="T77" i="7"/>
  <c r="S77" i="7"/>
  <c r="R77" i="7"/>
  <c r="R58" i="7"/>
  <c r="S58" i="7"/>
  <c r="T58" i="7"/>
  <c r="S73" i="7"/>
  <c r="R73" i="7"/>
  <c r="T73" i="7"/>
  <c r="T74" i="7"/>
  <c r="S74" i="7"/>
  <c r="R74" i="7"/>
  <c r="T81" i="7"/>
  <c r="S81" i="7"/>
  <c r="R81" i="7"/>
  <c r="R56" i="7"/>
  <c r="S56" i="7"/>
  <c r="T56" i="7"/>
  <c r="S76" i="7"/>
  <c r="R76" i="7"/>
  <c r="T76" i="7"/>
  <c r="S64" i="7"/>
  <c r="T64" i="7"/>
  <c r="R64" i="7"/>
  <c r="T61" i="7"/>
  <c r="S61" i="7"/>
  <c r="R61" i="7"/>
  <c r="S72" i="7"/>
  <c r="T72" i="7"/>
  <c r="R72" i="7"/>
  <c r="S75" i="7"/>
  <c r="T75" i="7"/>
  <c r="R75" i="7"/>
  <c r="T59" i="7"/>
  <c r="S59" i="7"/>
  <c r="R59" i="7"/>
  <c r="S70" i="7"/>
  <c r="R70" i="7"/>
  <c r="T70" i="7"/>
  <c r="T67" i="7"/>
  <c r="S67" i="7"/>
  <c r="R67" i="7"/>
  <c r="T69" i="7"/>
  <c r="S69" i="7"/>
  <c r="R69" i="7"/>
  <c r="R66" i="7"/>
  <c r="T66" i="7"/>
  <c r="S66" i="7"/>
  <c r="S71" i="7"/>
  <c r="R71" i="7"/>
  <c r="T71" i="7"/>
  <c r="T68" i="7"/>
  <c r="S68" i="7"/>
  <c r="R68" i="7"/>
  <c r="S80" i="7"/>
  <c r="R80" i="7"/>
  <c r="T80" i="7"/>
  <c r="T57" i="7"/>
  <c r="R57" i="7"/>
  <c r="S57" i="7"/>
  <c r="T63" i="7"/>
  <c r="S63" i="7"/>
  <c r="R63" i="7"/>
  <c r="R62" i="7"/>
  <c r="S62" i="7"/>
  <c r="T62" i="7"/>
  <c r="S78" i="7"/>
  <c r="R78" i="7"/>
  <c r="T78" i="7"/>
  <c r="R60" i="7"/>
  <c r="T60" i="7"/>
  <c r="S60" i="7"/>
  <c r="T79" i="7"/>
  <c r="R79" i="7"/>
  <c r="S79" i="7"/>
  <c r="L84" i="7"/>
  <c r="Z34" i="11"/>
  <c r="X15" i="11"/>
  <c r="Z52" i="11"/>
  <c r="X22" i="11"/>
  <c r="Z51" i="11"/>
  <c r="X46" i="11"/>
  <c r="X34" i="11"/>
  <c r="Z33" i="11"/>
  <c r="Z22" i="11"/>
  <c r="Z40" i="11"/>
  <c r="Z31" i="11"/>
  <c r="O54" i="11"/>
  <c r="AD51" i="11"/>
  <c r="M53" i="11"/>
  <c r="X13" i="11"/>
  <c r="X52" i="11"/>
  <c r="X6" i="11"/>
  <c r="Z15" i="11"/>
  <c r="Z37" i="11"/>
  <c r="Z8" i="11"/>
  <c r="X19" i="11"/>
  <c r="Z28" i="11"/>
  <c r="Z12" i="11"/>
  <c r="Z19" i="11"/>
  <c r="Z7" i="11"/>
  <c r="Z16" i="11"/>
  <c r="Z27" i="11"/>
  <c r="Z6" i="11"/>
  <c r="Z25" i="11"/>
  <c r="X37" i="11"/>
  <c r="AD8" i="11"/>
  <c r="X10" i="11"/>
  <c r="X24" i="11"/>
  <c r="X36" i="11"/>
  <c r="Q53" i="11"/>
  <c r="Z10" i="11"/>
  <c r="Z24" i="11"/>
  <c r="X31" i="11"/>
  <c r="Z36" i="11"/>
  <c r="T54" i="11"/>
  <c r="AB42" i="11"/>
  <c r="AD42" i="11" s="1"/>
  <c r="W54" i="11"/>
  <c r="Y54" i="11"/>
  <c r="L54" i="11"/>
  <c r="X28" i="11"/>
  <c r="X40" i="11"/>
  <c r="E53" i="11"/>
  <c r="P54" i="11"/>
  <c r="Q54" i="11" s="1"/>
  <c r="X43" i="11"/>
  <c r="D54" i="11"/>
  <c r="X16" i="11"/>
  <c r="AD39" i="11"/>
  <c r="U42" i="11"/>
  <c r="Z43" i="11"/>
  <c r="Z13" i="11"/>
  <c r="X18" i="11"/>
  <c r="X33" i="11"/>
  <c r="AB53" i="11"/>
  <c r="Z53" i="11" s="1"/>
  <c r="Z18" i="11"/>
  <c r="C54" i="11"/>
  <c r="X7" i="11"/>
  <c r="X12" i="11"/>
  <c r="X25" i="11"/>
  <c r="I42" i="11"/>
  <c r="Z23" i="11"/>
  <c r="X23" i="11"/>
  <c r="Z41" i="11"/>
  <c r="X41" i="11"/>
  <c r="Z26" i="11"/>
  <c r="X26" i="11"/>
  <c r="E42" i="11"/>
  <c r="AD26" i="11"/>
  <c r="Z47" i="11"/>
  <c r="X47" i="11"/>
  <c r="X21" i="11"/>
  <c r="AD47" i="11"/>
  <c r="X9" i="11"/>
  <c r="Z14" i="11"/>
  <c r="Z20" i="11"/>
  <c r="X20" i="11"/>
  <c r="Z21" i="11"/>
  <c r="Z29" i="11"/>
  <c r="X29" i="11"/>
  <c r="Z30" i="11"/>
  <c r="Z38" i="11"/>
  <c r="X38" i="11"/>
  <c r="Z39" i="11"/>
  <c r="K54" i="11"/>
  <c r="S54" i="11"/>
  <c r="AD11" i="11"/>
  <c r="Z17" i="11"/>
  <c r="X17" i="11"/>
  <c r="AD45" i="11"/>
  <c r="X30" i="11"/>
  <c r="Z5" i="11"/>
  <c r="Z9" i="11"/>
  <c r="G54" i="11"/>
  <c r="Z32" i="11"/>
  <c r="X32" i="11"/>
  <c r="H54" i="11"/>
  <c r="AD14" i="11"/>
  <c r="Z11" i="11"/>
  <c r="AD23" i="11"/>
  <c r="AD32" i="11"/>
  <c r="AD41" i="11"/>
  <c r="X45" i="11"/>
  <c r="Q42" i="11"/>
  <c r="Z44" i="11"/>
  <c r="X44" i="11"/>
  <c r="Z50" i="11"/>
  <c r="X50" i="11"/>
  <c r="AD44" i="11"/>
  <c r="AD50" i="11"/>
  <c r="AD5" i="11"/>
  <c r="Z35" i="11"/>
  <c r="X35" i="11"/>
  <c r="S82" i="7" l="1"/>
  <c r="R82" i="7"/>
  <c r="S84" i="7" s="1"/>
  <c r="E35" i="14"/>
  <c r="T82" i="7"/>
  <c r="E37" i="14"/>
  <c r="X42" i="11"/>
  <c r="AD53" i="11"/>
  <c r="X53" i="11"/>
  <c r="U54" i="11"/>
  <c r="V53" i="11" s="1"/>
  <c r="M54" i="11"/>
  <c r="N43" i="11" s="1"/>
  <c r="Z42" i="11"/>
  <c r="N13" i="11"/>
  <c r="AB54" i="11"/>
  <c r="Z54" i="11" s="1"/>
  <c r="E54" i="11"/>
  <c r="F36" i="11" s="1"/>
  <c r="R14" i="11"/>
  <c r="R17" i="11"/>
  <c r="R19" i="11"/>
  <c r="R6" i="11"/>
  <c r="R40" i="11"/>
  <c r="R43" i="11"/>
  <c r="R7" i="11"/>
  <c r="R38" i="11"/>
  <c r="R21" i="11"/>
  <c r="R18" i="11"/>
  <c r="R31" i="11"/>
  <c r="R10" i="11"/>
  <c r="R28" i="11"/>
  <c r="R5" i="11"/>
  <c r="R25" i="11"/>
  <c r="R33" i="11"/>
  <c r="R8" i="11"/>
  <c r="R35" i="11"/>
  <c r="R13" i="11"/>
  <c r="R22" i="11"/>
  <c r="R51" i="11"/>
  <c r="R37" i="11"/>
  <c r="R15" i="11"/>
  <c r="R44" i="11"/>
  <c r="R29" i="11"/>
  <c r="R23" i="11"/>
  <c r="R26" i="11"/>
  <c r="R45" i="11"/>
  <c r="R12" i="11"/>
  <c r="R9" i="11"/>
  <c r="R50" i="11"/>
  <c r="R30" i="11"/>
  <c r="R11" i="11"/>
  <c r="R39" i="11"/>
  <c r="R52" i="11"/>
  <c r="R34" i="11"/>
  <c r="R46" i="11"/>
  <c r="R36" i="11"/>
  <c r="R16" i="11"/>
  <c r="R27" i="11"/>
  <c r="R32" i="11"/>
  <c r="R47" i="11"/>
  <c r="R20" i="11"/>
  <c r="R24" i="11"/>
  <c r="R41" i="11"/>
  <c r="R53" i="11"/>
  <c r="V39" i="11"/>
  <c r="V9" i="11"/>
  <c r="V42" i="11"/>
  <c r="V6" i="11"/>
  <c r="V31" i="11"/>
  <c r="R42" i="11"/>
  <c r="I54" i="11"/>
  <c r="J28" i="11" s="1"/>
  <c r="N12" i="11"/>
  <c r="V11" i="11"/>
  <c r="N51" i="11"/>
  <c r="V38" i="11"/>
  <c r="V40" i="11"/>
  <c r="N28" i="11"/>
  <c r="N26" i="11"/>
  <c r="N7" i="11"/>
  <c r="N47" i="11"/>
  <c r="F26" i="11"/>
  <c r="V35" i="11"/>
  <c r="V50" i="11"/>
  <c r="V26" i="11"/>
  <c r="V25" i="11"/>
  <c r="N35" i="11"/>
  <c r="V44" i="11"/>
  <c r="N14" i="11"/>
  <c r="J31" i="11"/>
  <c r="J9" i="11"/>
  <c r="J30" i="11"/>
  <c r="N21" i="11"/>
  <c r="N36" i="11"/>
  <c r="J11" i="11"/>
  <c r="J8" i="11"/>
  <c r="N16" i="11"/>
  <c r="N29" i="11"/>
  <c r="N20" i="11"/>
  <c r="V36" i="11"/>
  <c r="V27" i="11"/>
  <c r="V10" i="11"/>
  <c r="V43" i="11"/>
  <c r="V33" i="11"/>
  <c r="V15" i="11"/>
  <c r="V51" i="11"/>
  <c r="J23" i="11"/>
  <c r="V23" i="11"/>
  <c r="N24" i="11"/>
  <c r="V8" i="11"/>
  <c r="J45" i="11"/>
  <c r="N42" i="11"/>
  <c r="N44" i="11"/>
  <c r="N11" i="11"/>
  <c r="N40" i="11"/>
  <c r="N22" i="11"/>
  <c r="V52" i="11" l="1"/>
  <c r="V16" i="11"/>
  <c r="V32" i="11"/>
  <c r="V34" i="11"/>
  <c r="V24" i="11"/>
  <c r="V22" i="11"/>
  <c r="V7" i="11"/>
  <c r="V46" i="11"/>
  <c r="V13" i="11"/>
  <c r="V18" i="11"/>
  <c r="V12" i="11"/>
  <c r="V21" i="11"/>
  <c r="V5" i="11"/>
  <c r="V17" i="11"/>
  <c r="V28" i="11"/>
  <c r="V37" i="11"/>
  <c r="V41" i="11"/>
  <c r="V30" i="11"/>
  <c r="V19" i="11"/>
  <c r="V47" i="11"/>
  <c r="V45" i="11"/>
  <c r="V29" i="11"/>
  <c r="V14" i="11"/>
  <c r="V20" i="11"/>
  <c r="N5" i="11"/>
  <c r="N25" i="11"/>
  <c r="N33" i="11"/>
  <c r="N32" i="11"/>
  <c r="N8" i="11"/>
  <c r="N31" i="11"/>
  <c r="N18" i="11"/>
  <c r="N45" i="11"/>
  <c r="N41" i="11"/>
  <c r="N37" i="11"/>
  <c r="N50" i="11"/>
  <c r="N10" i="11"/>
  <c r="N34" i="11"/>
  <c r="N9" i="11"/>
  <c r="N46" i="11"/>
  <c r="N19" i="11"/>
  <c r="N52" i="11"/>
  <c r="N15" i="11"/>
  <c r="N27" i="11"/>
  <c r="J34" i="11"/>
  <c r="J36" i="11"/>
  <c r="AA36" i="11" s="1"/>
  <c r="J47" i="11"/>
  <c r="J24" i="11"/>
  <c r="J37" i="11"/>
  <c r="J26" i="11"/>
  <c r="AA26" i="11" s="1"/>
  <c r="J35" i="11"/>
  <c r="J27" i="11"/>
  <c r="J50" i="11"/>
  <c r="F29" i="11"/>
  <c r="F35" i="11"/>
  <c r="F20" i="11"/>
  <c r="J6" i="11"/>
  <c r="J40" i="11"/>
  <c r="F53" i="11"/>
  <c r="N17" i="11"/>
  <c r="N30" i="11"/>
  <c r="N39" i="11"/>
  <c r="N23" i="11"/>
  <c r="N38" i="11"/>
  <c r="J13" i="11"/>
  <c r="J52" i="11"/>
  <c r="N6" i="11"/>
  <c r="N53" i="11"/>
  <c r="F54" i="11"/>
  <c r="F31" i="11"/>
  <c r="F44" i="11"/>
  <c r="V54" i="11"/>
  <c r="F5" i="11"/>
  <c r="F28" i="11"/>
  <c r="AA28" i="11" s="1"/>
  <c r="F30" i="11"/>
  <c r="F19" i="11"/>
  <c r="F39" i="11"/>
  <c r="F40" i="11"/>
  <c r="R54" i="11"/>
  <c r="X54" i="11"/>
  <c r="F41" i="11"/>
  <c r="F7" i="11"/>
  <c r="F21" i="11"/>
  <c r="F34" i="11"/>
  <c r="F18" i="11"/>
  <c r="F10" i="11"/>
  <c r="F11" i="11"/>
  <c r="AA11" i="11" s="1"/>
  <c r="F37" i="11"/>
  <c r="F16" i="11"/>
  <c r="F38" i="11"/>
  <c r="F33" i="11"/>
  <c r="F12" i="11"/>
  <c r="F14" i="11"/>
  <c r="F6" i="11"/>
  <c r="AD54" i="11"/>
  <c r="F42" i="11"/>
  <c r="F43" i="11"/>
  <c r="F24" i="11"/>
  <c r="AA24" i="11" s="1"/>
  <c r="F13" i="11"/>
  <c r="F45" i="11"/>
  <c r="F25" i="11"/>
  <c r="F23" i="11"/>
  <c r="F32" i="11"/>
  <c r="F17" i="11"/>
  <c r="N54" i="11"/>
  <c r="F27" i="11"/>
  <c r="F50" i="11"/>
  <c r="F8" i="11"/>
  <c r="F15" i="11"/>
  <c r="F47" i="11"/>
  <c r="AA47" i="11" s="1"/>
  <c r="F52" i="11"/>
  <c r="F46" i="11"/>
  <c r="F51" i="11"/>
  <c r="J14" i="11"/>
  <c r="J54" i="11"/>
  <c r="J51" i="11"/>
  <c r="J44" i="11"/>
  <c r="J41" i="11"/>
  <c r="J16" i="11"/>
  <c r="J32" i="11"/>
  <c r="J33" i="11"/>
  <c r="J7" i="11"/>
  <c r="J22" i="11"/>
  <c r="J20" i="11"/>
  <c r="J29" i="11"/>
  <c r="J12" i="11"/>
  <c r="J25" i="11"/>
  <c r="F22" i="11"/>
  <c r="J19" i="11"/>
  <c r="J17" i="11"/>
  <c r="F9" i="11"/>
  <c r="J15" i="11"/>
  <c r="J38" i="11"/>
  <c r="J10" i="11"/>
  <c r="J39" i="11"/>
  <c r="J43" i="11"/>
  <c r="J53" i="11"/>
  <c r="J18" i="11"/>
  <c r="J21" i="11"/>
  <c r="J46" i="11"/>
  <c r="J5" i="11"/>
  <c r="J42" i="11"/>
  <c r="AA23" i="11" l="1"/>
  <c r="AA35" i="11"/>
  <c r="AA9" i="11"/>
  <c r="AA8" i="11"/>
  <c r="AA31" i="11"/>
  <c r="AA30" i="11"/>
  <c r="AA45" i="11"/>
  <c r="AA29" i="11"/>
  <c r="AA34" i="11"/>
  <c r="AA52" i="11"/>
  <c r="AA37" i="11"/>
  <c r="AA38" i="11"/>
  <c r="AA5" i="11"/>
  <c r="AA50" i="11"/>
  <c r="AA27" i="11"/>
  <c r="AA18" i="11"/>
  <c r="AA14" i="11"/>
  <c r="AA6" i="11"/>
  <c r="AA32" i="11"/>
  <c r="AA21" i="11"/>
  <c r="AA13" i="11"/>
  <c r="AA10" i="11"/>
  <c r="AA43" i="11"/>
  <c r="AA41" i="11"/>
  <c r="AA54" i="11"/>
  <c r="AA12" i="11"/>
  <c r="AA51" i="11"/>
  <c r="AA53" i="11"/>
  <c r="AA42" i="11"/>
  <c r="AA20" i="11"/>
  <c r="AA40" i="11"/>
  <c r="AA39" i="11"/>
  <c r="AA19" i="11"/>
  <c r="AA15" i="11"/>
  <c r="AA44" i="11"/>
  <c r="AA7" i="11"/>
  <c r="AA33" i="11"/>
  <c r="AA22" i="11"/>
  <c r="AA46" i="11"/>
  <c r="AA25" i="11"/>
  <c r="AA17" i="11"/>
  <c r="AA16" i="11"/>
  <c r="K31" i="5"/>
  <c r="K32" i="5"/>
  <c r="AG8" i="17" l="1"/>
  <c r="AC8" i="17"/>
  <c r="T8" i="17"/>
  <c r="S8" i="17"/>
  <c r="N8" i="17"/>
  <c r="M8" i="17"/>
  <c r="J8" i="17"/>
  <c r="I8" i="17"/>
  <c r="H8" i="17"/>
  <c r="E8" i="17"/>
  <c r="D8" i="17"/>
  <c r="C8" i="17"/>
  <c r="Y7" i="17"/>
  <c r="V7" i="17"/>
  <c r="W7" i="17" s="1"/>
  <c r="P7" i="17"/>
  <c r="Q7" i="17" s="1"/>
  <c r="K7" i="17"/>
  <c r="L7" i="17" s="1"/>
  <c r="F7" i="17"/>
  <c r="G7" i="17" s="1"/>
  <c r="Y6" i="17"/>
  <c r="V6" i="17"/>
  <c r="W6" i="17" s="1"/>
  <c r="P6" i="17"/>
  <c r="Q6" i="17" s="1"/>
  <c r="K6" i="17"/>
  <c r="L6" i="17" s="1"/>
  <c r="F6" i="17"/>
  <c r="G6" i="17" s="1"/>
  <c r="Y5" i="17"/>
  <c r="Y8" i="17" s="1"/>
  <c r="V5" i="17"/>
  <c r="K5" i="17"/>
  <c r="L5" i="17" s="1"/>
  <c r="F5" i="17"/>
  <c r="F8" i="17" s="1"/>
  <c r="H17" i="5"/>
  <c r="G8" i="17" l="1"/>
  <c r="G5" i="17"/>
  <c r="O8" i="17"/>
  <c r="W5" i="17"/>
  <c r="V8" i="17"/>
  <c r="W8" i="17" s="1"/>
  <c r="K8" i="17"/>
  <c r="L8" i="17" s="1"/>
  <c r="P5" i="17"/>
  <c r="U8" i="17"/>
  <c r="J27" i="5"/>
  <c r="M21" i="5"/>
  <c r="J12" i="5"/>
  <c r="Z37" i="5"/>
  <c r="Z38" i="5"/>
  <c r="Z36" i="5"/>
  <c r="Y37" i="5"/>
  <c r="Y38" i="5"/>
  <c r="Y36" i="5"/>
  <c r="P8" i="17" l="1"/>
  <c r="Q8" i="17" s="1"/>
  <c r="Q5" i="17"/>
  <c r="Y31" i="5"/>
  <c r="Y32" i="5"/>
  <c r="Y30" i="5"/>
  <c r="C39" i="5" l="1"/>
  <c r="C12" i="5" l="1"/>
  <c r="C6" i="5" s="1"/>
  <c r="A1" i="5"/>
  <c r="A1" i="17" l="1"/>
  <c r="A1" i="13"/>
  <c r="A1" i="11"/>
  <c r="A1" i="14"/>
  <c r="A1" i="7"/>
  <c r="R30" i="5"/>
  <c r="AH6" i="17" l="1"/>
  <c r="AI6" i="17" s="1"/>
  <c r="AJ6" i="17" s="1"/>
  <c r="AH7" i="17"/>
  <c r="AI7" i="17" s="1"/>
  <c r="AJ7" i="17" s="1"/>
  <c r="AH5" i="17"/>
  <c r="AD6" i="17"/>
  <c r="AD7" i="17"/>
  <c r="AD5" i="17"/>
  <c r="I13" i="5"/>
  <c r="I7" i="5" s="1"/>
  <c r="J13" i="5"/>
  <c r="J7" i="5" s="1"/>
  <c r="I14" i="5"/>
  <c r="I8" i="5" s="1"/>
  <c r="J14" i="5"/>
  <c r="J8" i="5" s="1"/>
  <c r="L13" i="5"/>
  <c r="L7" i="5" s="1"/>
  <c r="M13" i="5"/>
  <c r="L14" i="5"/>
  <c r="L8" i="5" s="1"/>
  <c r="M14" i="5"/>
  <c r="M8" i="5" s="1"/>
  <c r="L39" i="5"/>
  <c r="M39" i="5"/>
  <c r="I39" i="5"/>
  <c r="J39" i="5"/>
  <c r="M12" i="5"/>
  <c r="M6" i="5" s="1"/>
  <c r="L12" i="5"/>
  <c r="L6" i="5" s="1"/>
  <c r="J6" i="5"/>
  <c r="L27" i="5"/>
  <c r="M27" i="5"/>
  <c r="I27" i="5"/>
  <c r="L21" i="5"/>
  <c r="I21" i="5"/>
  <c r="J21" i="5"/>
  <c r="I12" i="5"/>
  <c r="I6" i="5" s="1"/>
  <c r="S31" i="5"/>
  <c r="S32" i="5"/>
  <c r="S30" i="5"/>
  <c r="R31" i="5"/>
  <c r="R32" i="5"/>
  <c r="L33" i="5"/>
  <c r="M33" i="5"/>
  <c r="I33" i="5"/>
  <c r="J33" i="5"/>
  <c r="H25" i="5"/>
  <c r="H26" i="5"/>
  <c r="K25" i="5"/>
  <c r="K26" i="5"/>
  <c r="K24" i="5"/>
  <c r="H24" i="5"/>
  <c r="H19" i="5"/>
  <c r="H20" i="5"/>
  <c r="H18" i="5"/>
  <c r="K19" i="5"/>
  <c r="K20" i="5"/>
  <c r="K18" i="5"/>
  <c r="H31" i="5"/>
  <c r="H32" i="5"/>
  <c r="H30" i="5"/>
  <c r="K30" i="5"/>
  <c r="H37" i="5"/>
  <c r="H38" i="5"/>
  <c r="H36" i="5"/>
  <c r="Z5" i="17" l="1"/>
  <c r="AD8" i="17"/>
  <c r="AE5" i="17"/>
  <c r="Z7" i="17"/>
  <c r="AA7" i="17" s="1"/>
  <c r="AB7" i="17" s="1"/>
  <c r="AE7" i="17"/>
  <c r="AF7" i="17" s="1"/>
  <c r="AE6" i="17"/>
  <c r="AF6" i="17" s="1"/>
  <c r="Z6" i="17"/>
  <c r="AA6" i="17" s="1"/>
  <c r="AB6" i="17" s="1"/>
  <c r="AI5" i="17"/>
  <c r="AH8" i="17"/>
  <c r="N30" i="5"/>
  <c r="K14" i="5"/>
  <c r="K12" i="5"/>
  <c r="N24" i="5"/>
  <c r="D24" i="5" s="1"/>
  <c r="H12" i="5"/>
  <c r="N18" i="5"/>
  <c r="D18" i="5" s="1"/>
  <c r="I9" i="5"/>
  <c r="L15" i="5"/>
  <c r="J9" i="5"/>
  <c r="L9" i="5"/>
  <c r="M15" i="5"/>
  <c r="I15" i="5"/>
  <c r="M7" i="5"/>
  <c r="M9" i="5" s="1"/>
  <c r="J15" i="5"/>
  <c r="AJ5" i="17" l="1"/>
  <c r="AI8" i="17"/>
  <c r="AJ8" i="17" s="1"/>
  <c r="AF5" i="17"/>
  <c r="AE8" i="17"/>
  <c r="AF8" i="17" s="1"/>
  <c r="AA5" i="17"/>
  <c r="Z8" i="17"/>
  <c r="N12" i="5"/>
  <c r="D12" i="5" s="1"/>
  <c r="H6" i="5"/>
  <c r="AB5" i="17" l="1"/>
  <c r="AA8" i="17"/>
  <c r="AB8" i="17" s="1"/>
  <c r="C4" i="5"/>
  <c r="U4" i="5" l="1"/>
  <c r="T4" i="5"/>
  <c r="S4" i="5"/>
  <c r="R4" i="5"/>
  <c r="Q4" i="5"/>
  <c r="P4" i="5"/>
  <c r="N4" i="5"/>
  <c r="K4" i="5"/>
  <c r="H4" i="5"/>
  <c r="D4" i="5"/>
  <c r="D42" i="5" l="1"/>
  <c r="E42" i="5" s="1"/>
  <c r="C21" i="5"/>
  <c r="AA38" i="5"/>
  <c r="AB38" i="5" s="1"/>
  <c r="Z31" i="5"/>
  <c r="Z32" i="5"/>
  <c r="Z30" i="5"/>
  <c r="Y25" i="5"/>
  <c r="Y26" i="5"/>
  <c r="Y24" i="5"/>
  <c r="Y19" i="5"/>
  <c r="Y20" i="5"/>
  <c r="Y18" i="5"/>
  <c r="AA30" i="5" l="1"/>
  <c r="AB30" i="5" s="1"/>
  <c r="AA32" i="5"/>
  <c r="AB32" i="5" s="1"/>
  <c r="AA37" i="5"/>
  <c r="AB37" i="5" s="1"/>
  <c r="AA36" i="5"/>
  <c r="Z33" i="5"/>
  <c r="Y39" i="5"/>
  <c r="Y21" i="5"/>
  <c r="F42" i="5"/>
  <c r="Y33" i="5"/>
  <c r="Y27" i="5"/>
  <c r="AA31" i="5"/>
  <c r="AB31" i="5" s="1"/>
  <c r="Z39" i="5"/>
  <c r="AA39" i="5" l="1"/>
  <c r="AB39" i="5" s="1"/>
  <c r="AA33" i="5"/>
  <c r="AB33" i="5" s="1"/>
  <c r="AB36" i="5"/>
  <c r="H39" i="5" l="1"/>
  <c r="N38" i="5"/>
  <c r="D38" i="5" s="1"/>
  <c r="E38" i="5" s="1"/>
  <c r="F38" i="5" s="1"/>
  <c r="N37" i="5"/>
  <c r="D37" i="5" s="1"/>
  <c r="E37" i="5" s="1"/>
  <c r="F37" i="5" s="1"/>
  <c r="N36" i="5"/>
  <c r="D36" i="5" s="1"/>
  <c r="H35" i="5"/>
  <c r="K33" i="5"/>
  <c r="H33" i="5"/>
  <c r="N32" i="5"/>
  <c r="D32" i="5" s="1"/>
  <c r="E32" i="5" s="1"/>
  <c r="F32" i="5" s="1"/>
  <c r="N31" i="5"/>
  <c r="D31" i="5" s="1"/>
  <c r="E31" i="5" s="1"/>
  <c r="F31" i="5" s="1"/>
  <c r="D30" i="5"/>
  <c r="K27" i="5"/>
  <c r="H27" i="5"/>
  <c r="N26" i="5"/>
  <c r="D26" i="5" s="1"/>
  <c r="N25" i="5"/>
  <c r="D25" i="5" s="1"/>
  <c r="E24" i="5"/>
  <c r="F24" i="5" s="1"/>
  <c r="H23" i="5"/>
  <c r="K21" i="5"/>
  <c r="H21" i="5"/>
  <c r="N20" i="5"/>
  <c r="D20" i="5" s="1"/>
  <c r="N19" i="5"/>
  <c r="D19" i="5" s="1"/>
  <c r="K8" i="5"/>
  <c r="H14" i="5"/>
  <c r="H8" i="5" s="1"/>
  <c r="K13" i="5"/>
  <c r="H13" i="5"/>
  <c r="H7" i="5" s="1"/>
  <c r="H5" i="5"/>
  <c r="D55" i="5"/>
  <c r="D56" i="5"/>
  <c r="D54" i="5"/>
  <c r="D49" i="5"/>
  <c r="E49" i="5" s="1"/>
  <c r="F49" i="5" s="1"/>
  <c r="D50" i="5"/>
  <c r="E50" i="5" s="1"/>
  <c r="F50" i="5" s="1"/>
  <c r="D48" i="5"/>
  <c r="E48" i="5" s="1"/>
  <c r="D43" i="5"/>
  <c r="E43" i="5" s="1"/>
  <c r="D44" i="5"/>
  <c r="E44" i="5" s="1"/>
  <c r="F44" i="5" s="1"/>
  <c r="C57" i="5"/>
  <c r="C51" i="5"/>
  <c r="C45" i="5"/>
  <c r="E30" i="5" l="1"/>
  <c r="F30" i="5" s="1"/>
  <c r="D33" i="5"/>
  <c r="E36" i="5"/>
  <c r="E39" i="5" s="1"/>
  <c r="D6" i="5"/>
  <c r="K6" i="5"/>
  <c r="N6" i="5" s="1"/>
  <c r="N13" i="5"/>
  <c r="D13" i="5" s="1"/>
  <c r="D7" i="5" s="1"/>
  <c r="F43" i="5"/>
  <c r="E45" i="5"/>
  <c r="F45" i="5" s="1"/>
  <c r="F48" i="5"/>
  <c r="E51" i="5"/>
  <c r="F51" i="5" s="1"/>
  <c r="F36" i="5"/>
  <c r="N27" i="5"/>
  <c r="N33" i="5"/>
  <c r="D51" i="5"/>
  <c r="D45" i="5"/>
  <c r="H15" i="5"/>
  <c r="K15" i="5"/>
  <c r="K7" i="5"/>
  <c r="N7" i="5" s="1"/>
  <c r="N8" i="5"/>
  <c r="N21" i="5"/>
  <c r="N14" i="5"/>
  <c r="N39" i="5"/>
  <c r="D57" i="5"/>
  <c r="N9" i="5" l="1"/>
  <c r="E12" i="5"/>
  <c r="F12" i="5" s="1"/>
  <c r="D14" i="5"/>
  <c r="K9" i="5"/>
  <c r="H9" i="5"/>
  <c r="N15" i="5"/>
  <c r="D39" i="5" l="1"/>
  <c r="C14" i="5" l="1"/>
  <c r="C13" i="5"/>
  <c r="E13" i="5" l="1"/>
  <c r="C7" i="5"/>
  <c r="E14" i="5"/>
  <c r="F14" i="5" s="1"/>
  <c r="C8" i="5"/>
  <c r="C7" i="13"/>
  <c r="T37" i="5"/>
  <c r="T36" i="5"/>
  <c r="C9" i="5" l="1"/>
  <c r="F13" i="5"/>
  <c r="E15" i="5"/>
  <c r="P36" i="5"/>
  <c r="U37" i="5"/>
  <c r="V37" i="5" s="1"/>
  <c r="W37" i="5" s="1"/>
  <c r="P37" i="5"/>
  <c r="T38" i="5"/>
  <c r="U36" i="5"/>
  <c r="D7" i="13"/>
  <c r="V36" i="5" l="1"/>
  <c r="W36" i="5" s="1"/>
  <c r="Q36" i="5"/>
  <c r="P38" i="5"/>
  <c r="U38" i="5"/>
  <c r="V38" i="5" s="1"/>
  <c r="Q37" i="5"/>
  <c r="W38" i="5" l="1"/>
  <c r="V39" i="5"/>
  <c r="W39" i="5" s="1"/>
  <c r="U39" i="5"/>
  <c r="Q38" i="5"/>
  <c r="E54" i="5" l="1"/>
  <c r="Q39" i="5"/>
  <c r="R57" i="5"/>
  <c r="R51" i="5"/>
  <c r="R45" i="5"/>
  <c r="R33" i="5"/>
  <c r="S57" i="5"/>
  <c r="S51" i="5"/>
  <c r="S45" i="5"/>
  <c r="T39" i="5"/>
  <c r="P39" i="5"/>
  <c r="F39" i="5"/>
  <c r="S33" i="5"/>
  <c r="C33" i="5"/>
  <c r="F54" i="5" l="1"/>
  <c r="E55" i="5"/>
  <c r="C27" i="5"/>
  <c r="E56" i="5" l="1"/>
  <c r="F56" i="5" s="1"/>
  <c r="F55" i="5"/>
  <c r="E57" i="5"/>
  <c r="F57" i="5" s="1"/>
  <c r="E33" i="5"/>
  <c r="F33" i="5" s="1"/>
  <c r="Z24" i="5" l="1"/>
  <c r="AA24" i="5" s="1"/>
  <c r="AB24" i="5" s="1"/>
  <c r="Z26" i="5"/>
  <c r="AA26" i="5" s="1"/>
  <c r="AB26" i="5" s="1"/>
  <c r="Z25" i="5"/>
  <c r="AA25" i="5" s="1"/>
  <c r="AB25" i="5" s="1"/>
  <c r="Z20" i="5"/>
  <c r="AA20" i="5" s="1"/>
  <c r="AB20" i="5" s="1"/>
  <c r="P18" i="5"/>
  <c r="Q18" i="5" l="1"/>
  <c r="U18" i="5" s="1"/>
  <c r="T18" i="5"/>
  <c r="Z27" i="5"/>
  <c r="AA27" i="5"/>
  <c r="AB27" i="5" s="1"/>
  <c r="Z19" i="5"/>
  <c r="AA19" i="5" s="1"/>
  <c r="Z18" i="5"/>
  <c r="P24" i="5"/>
  <c r="P19" i="5"/>
  <c r="P26" i="5"/>
  <c r="P20" i="5"/>
  <c r="P25" i="5"/>
  <c r="T25" i="5" l="1"/>
  <c r="Z21" i="5"/>
  <c r="AA18" i="5"/>
  <c r="AB18" i="5" s="1"/>
  <c r="AB19" i="5"/>
  <c r="T26" i="5"/>
  <c r="P12" i="5"/>
  <c r="P27" i="5"/>
  <c r="P13" i="5"/>
  <c r="Q25" i="5"/>
  <c r="Q26" i="5"/>
  <c r="Q24" i="5"/>
  <c r="Q12" i="5" s="1"/>
  <c r="Q19" i="5"/>
  <c r="Q20" i="5"/>
  <c r="P14" i="5"/>
  <c r="C15" i="5"/>
  <c r="F15" i="5" s="1"/>
  <c r="AA21" i="5" l="1"/>
  <c r="AB21" i="5" s="1"/>
  <c r="R14" i="5"/>
  <c r="R8" i="5" s="1"/>
  <c r="R13" i="5"/>
  <c r="R7" i="5" s="1"/>
  <c r="R12" i="5"/>
  <c r="T20" i="5"/>
  <c r="R27" i="5"/>
  <c r="Q14" i="5"/>
  <c r="Q13" i="5"/>
  <c r="Q27" i="5"/>
  <c r="R21" i="5"/>
  <c r="T19" i="5"/>
  <c r="T24" i="5"/>
  <c r="Q21" i="5"/>
  <c r="S14" i="5" l="1"/>
  <c r="S8" i="5" s="1"/>
  <c r="S12" i="5"/>
  <c r="S13" i="5"/>
  <c r="S7" i="5" s="1"/>
  <c r="T21" i="5"/>
  <c r="Q15" i="5"/>
  <c r="R6" i="5"/>
  <c r="R9" i="5" s="1"/>
  <c r="R15" i="5"/>
  <c r="U25" i="5"/>
  <c r="T27" i="5"/>
  <c r="U26" i="5"/>
  <c r="V26" i="5" s="1"/>
  <c r="T13" i="5"/>
  <c r="S21" i="5"/>
  <c r="T14" i="5"/>
  <c r="U24" i="5"/>
  <c r="U12" i="5" s="1"/>
  <c r="S27" i="5"/>
  <c r="U19" i="5"/>
  <c r="V19" i="5" s="1"/>
  <c r="W19" i="5" s="1"/>
  <c r="U20" i="5"/>
  <c r="V20" i="5" s="1"/>
  <c r="P21" i="5"/>
  <c r="V18" i="5" l="1"/>
  <c r="W18" i="5" s="1"/>
  <c r="V25" i="5"/>
  <c r="W25" i="5" s="1"/>
  <c r="V24" i="5"/>
  <c r="W24" i="5" s="1"/>
  <c r="W20" i="5"/>
  <c r="W26" i="5"/>
  <c r="P15" i="5"/>
  <c r="U14" i="5"/>
  <c r="U13" i="5"/>
  <c r="V13" i="5" s="1"/>
  <c r="W13" i="5" s="1"/>
  <c r="E26" i="5"/>
  <c r="E25" i="5"/>
  <c r="S6" i="5"/>
  <c r="S9" i="5" s="1"/>
  <c r="S15" i="5"/>
  <c r="U27" i="5"/>
  <c r="U21" i="5"/>
  <c r="T12" i="5"/>
  <c r="V12" i="5" s="1"/>
  <c r="V27" i="5" l="1"/>
  <c r="W27" i="5" s="1"/>
  <c r="V14" i="5"/>
  <c r="W14" i="5" s="1"/>
  <c r="V21" i="5"/>
  <c r="W21" i="5" s="1"/>
  <c r="W12" i="5"/>
  <c r="U15" i="5"/>
  <c r="D27" i="5"/>
  <c r="F25" i="5"/>
  <c r="F26" i="5"/>
  <c r="T15" i="5"/>
  <c r="V15" i="5" l="1"/>
  <c r="W15" i="5" s="1"/>
  <c r="E20" i="5"/>
  <c r="E19" i="5"/>
  <c r="F20" i="5" l="1"/>
  <c r="F19" i="5"/>
  <c r="E27" i="5" l="1"/>
  <c r="F27" i="5" l="1"/>
  <c r="D8" i="5"/>
  <c r="E8" i="5" s="1"/>
  <c r="F8" i="5" s="1"/>
  <c r="E7" i="5"/>
  <c r="F7" i="5" s="1"/>
  <c r="E18" i="5"/>
  <c r="E21" i="5" s="1"/>
  <c r="F21" i="5" s="1"/>
  <c r="D21" i="5"/>
  <c r="D9" i="5" l="1"/>
  <c r="E6" i="5"/>
  <c r="D15" i="5"/>
  <c r="F18" i="5"/>
  <c r="F6" i="5" l="1"/>
  <c r="E9" i="5"/>
  <c r="F9" i="5" s="1"/>
  <c r="P32" i="5" l="1"/>
  <c r="V31" i="5" l="1"/>
  <c r="W31" i="5" s="1"/>
  <c r="P31" i="5"/>
  <c r="P7" i="5" s="1"/>
  <c r="T7" i="5"/>
  <c r="P8" i="5"/>
  <c r="T8" i="5"/>
  <c r="V32" i="5" l="1"/>
  <c r="W32" i="5" s="1"/>
  <c r="U8" i="5"/>
  <c r="V8" i="5" s="1"/>
  <c r="W8" i="5" s="1"/>
  <c r="Q32" i="5"/>
  <c r="Q8" i="5" s="1"/>
  <c r="U7" i="5"/>
  <c r="V7" i="5" s="1"/>
  <c r="W7" i="5" s="1"/>
  <c r="Q31" i="5"/>
  <c r="Q7" i="5" s="1"/>
  <c r="U6" i="5"/>
  <c r="P30" i="5"/>
  <c r="T33" i="5"/>
  <c r="T6" i="5"/>
  <c r="V6" i="5" l="1"/>
  <c r="Q30" i="5"/>
  <c r="V30" i="5"/>
  <c r="W30" i="5" s="1"/>
  <c r="P33" i="5"/>
  <c r="P6" i="5"/>
  <c r="P9" i="5" s="1"/>
  <c r="T9" i="5"/>
  <c r="U9" i="5"/>
  <c r="U33" i="5"/>
  <c r="V33" i="5" l="1"/>
  <c r="W33" i="5" s="1"/>
  <c r="V9" i="5"/>
  <c r="W9" i="5" s="1"/>
  <c r="Q33" i="5"/>
  <c r="Q6" i="5"/>
  <c r="Q9" i="5" s="1"/>
  <c r="W6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GilmoreRD</author>
  </authors>
  <commentList>
    <comment ref="D17" authorId="0" shapeId="0" xr:uid="{B07C26CC-BE3A-4319-BF61-93F0ABF13308}">
      <text>
        <r>
          <rPr>
            <sz val="9"/>
            <color indexed="81"/>
            <rFont val="Tahoma"/>
            <family val="2"/>
          </rPr>
          <t>Contact hours include Dev Fund 29</t>
        </r>
      </text>
    </comment>
    <comment ref="E17" authorId="0" shapeId="0" xr:uid="{21A5EF84-FDD9-40B1-99AF-BC82FBF47C24}">
      <text>
        <r>
          <rPr>
            <sz val="9"/>
            <color indexed="81"/>
            <rFont val="Tahoma"/>
            <family val="2"/>
          </rPr>
          <t>Contains Dev. Reading writing costs. Fund 29</t>
        </r>
      </text>
    </comment>
    <comment ref="D24" authorId="0" shapeId="0" xr:uid="{ED45309C-559F-431D-B093-EC427F4AEFA2}">
      <text>
        <r>
          <rPr>
            <sz val="9"/>
            <color indexed="81"/>
            <rFont val="Tahoma"/>
            <family val="2"/>
          </rPr>
          <t xml:space="preserve">Contact hours include Dev Fund 28
</t>
        </r>
      </text>
    </comment>
    <comment ref="E24" authorId="0" shapeId="0" xr:uid="{D16C1225-5A02-40B9-A7F4-7F6A281E9A4C}">
      <text>
        <r>
          <rPr>
            <sz val="9"/>
            <color indexed="81"/>
            <rFont val="Tahoma"/>
            <family val="2"/>
          </rPr>
          <t>Contains Dev Math Fund 28</t>
        </r>
      </text>
    </comment>
  </commentList>
</comments>
</file>

<file path=xl/sharedStrings.xml><?xml version="1.0" encoding="utf-8"?>
<sst xmlns="http://schemas.openxmlformats.org/spreadsheetml/2006/main" count="1614" uniqueCount="309">
  <si>
    <t>Institution</t>
  </si>
  <si>
    <t>Total</t>
  </si>
  <si>
    <t>FICE</t>
  </si>
  <si>
    <t>Vocational/Technical Education</t>
  </si>
  <si>
    <t>Fund</t>
  </si>
  <si>
    <t>Rate</t>
  </si>
  <si>
    <t>Academic</t>
  </si>
  <si>
    <t xml:space="preserve">Academic Critical </t>
  </si>
  <si>
    <t>Academic Developmental Education Critical</t>
  </si>
  <si>
    <t>Academic Developmental Education</t>
  </si>
  <si>
    <t>Technical</t>
  </si>
  <si>
    <t>Technical Critical</t>
  </si>
  <si>
    <t>Technical Continuing Education</t>
  </si>
  <si>
    <t>Technical Continuing Education Critical</t>
  </si>
  <si>
    <t>Academic - Critical</t>
  </si>
  <si>
    <t>Technical - Critical</t>
  </si>
  <si>
    <t>Academic - Total</t>
  </si>
  <si>
    <t>Technical - Total</t>
  </si>
  <si>
    <t>Allocation Summary</t>
  </si>
  <si>
    <t>Difference</t>
  </si>
  <si>
    <t>Percent Change</t>
  </si>
  <si>
    <t>Small Institution Supplement</t>
  </si>
  <si>
    <t>Total General Revenue Dedicated</t>
  </si>
  <si>
    <t>General Revenue Dedicated - Texas Public Education Grants</t>
  </si>
  <si>
    <t>General Revenue Dedicated - Staff Group Insurance Premiums</t>
  </si>
  <si>
    <t>O&amp;M 
Funding</t>
  </si>
  <si>
    <t>Utility 
Funding</t>
  </si>
  <si>
    <t>Utility Rate Adjustment</t>
  </si>
  <si>
    <t>Adjusted Utility Square Feet</t>
  </si>
  <si>
    <t>Total Universities</t>
  </si>
  <si>
    <t>Total TSTC and Lamar</t>
  </si>
  <si>
    <t>Small Institution Set-Aside</t>
  </si>
  <si>
    <t>Not included in table above</t>
  </si>
  <si>
    <t>Rates</t>
  </si>
  <si>
    <t>Electricity</t>
  </si>
  <si>
    <t>Natural Gas</t>
  </si>
  <si>
    <t>Water</t>
  </si>
  <si>
    <t>Thermal Energy</t>
  </si>
  <si>
    <t>Debt Service</t>
  </si>
  <si>
    <t>All Other Cost</t>
  </si>
  <si>
    <t>Total 
Cost</t>
  </si>
  <si>
    <t>Total Non-Utility Cost</t>
  </si>
  <si>
    <t>KWH</t>
  </si>
  <si>
    <t>Cost</t>
  </si>
  <si>
    <t>Weighted Rate</t>
  </si>
  <si>
    <t>MCF</t>
  </si>
  <si>
    <t>1000 
Gallon
Units</t>
  </si>
  <si>
    <t>BTUs 
(MM)</t>
  </si>
  <si>
    <t>Weight</t>
  </si>
  <si>
    <t>Biennial Funding</t>
  </si>
  <si>
    <t>Annual Funding</t>
  </si>
  <si>
    <t>Total Formula Funding</t>
  </si>
  <si>
    <t>Lamar-IOT</t>
  </si>
  <si>
    <t>Lamar-Orange</t>
  </si>
  <si>
    <t>Lamar-Port Arthur</t>
  </si>
  <si>
    <t>036273</t>
  </si>
  <si>
    <t>023582</t>
  </si>
  <si>
    <t>023485</t>
  </si>
  <si>
    <t>Percent Funded</t>
  </si>
  <si>
    <t>Contact Hours</t>
  </si>
  <si>
    <t>Expense</t>
  </si>
  <si>
    <t>Reported Expense per Contact Hour</t>
  </si>
  <si>
    <t>Funded Expense per Contact Hour</t>
  </si>
  <si>
    <t>Agriculture</t>
  </si>
  <si>
    <t>Architecture and Precision Production Trades</t>
  </si>
  <si>
    <t>Biology, Physical Sciences, and Science Technology</t>
  </si>
  <si>
    <t>Business Management, Marketing, and Administrative Services</t>
  </si>
  <si>
    <t>Career Pilot</t>
  </si>
  <si>
    <t>Communications</t>
  </si>
  <si>
    <t>Computer and Information Sciences</t>
  </si>
  <si>
    <t>Construction Trades</t>
  </si>
  <si>
    <t>Consumer and Homemaking Education</t>
  </si>
  <si>
    <t>Engineering</t>
  </si>
  <si>
    <t>Engineering Related</t>
  </si>
  <si>
    <t>English Language, Lit, Philosophy, Humanities, &amp; Interdisciplinary</t>
  </si>
  <si>
    <t>Foreign Languages</t>
  </si>
  <si>
    <t>Health Occupations - Dental Assistants, Medical Lab, and Assoc. Degree Nursing</t>
  </si>
  <si>
    <t>Health Occupations - Dental Hygiene</t>
  </si>
  <si>
    <t>Health Occupations - Other</t>
  </si>
  <si>
    <t>Health Occupations - Respiratory Therapy</t>
  </si>
  <si>
    <t>Health Occupations - Vocational Nursing</t>
  </si>
  <si>
    <t>Mathematics</t>
  </si>
  <si>
    <t>Mechanics and Repairers - Automotive</t>
  </si>
  <si>
    <t>Mechanics and Repairers - Diesel, Aviation Mechanics, and Transportation Workers</t>
  </si>
  <si>
    <t>Mechanics and Repairers - Electronics</t>
  </si>
  <si>
    <t>Physical Education and Fitness</t>
  </si>
  <si>
    <t>Protective Services and Public Administration</t>
  </si>
  <si>
    <t>Psychology, Social Sciences, and History</t>
  </si>
  <si>
    <t>Visual and Performing Arts</t>
  </si>
  <si>
    <t>Developmental Education Annual Funding</t>
  </si>
  <si>
    <t>Academic Funding</t>
  </si>
  <si>
    <t>Technical Funding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</si>
  <si>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</si>
  <si>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</si>
  <si>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</si>
  <si>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</si>
  <si>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</si>
  <si>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</si>
  <si>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</si>
  <si>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</si>
  <si>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</si>
  <si>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</si>
  <si>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</si>
  <si>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</si>
  <si>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</si>
  <si>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</si>
  <si>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</si>
  <si>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</si>
  <si>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</si>
  <si>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</si>
  <si>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</si>
  <si>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</si>
  <si>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</si>
  <si>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</si>
  <si>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</si>
  <si>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</si>
  <si>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</si>
  <si>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</si>
  <si>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</si>
  <si>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</si>
  <si>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Semester Credit Hours</t>
  </si>
  <si>
    <t>31</t>
  </si>
  <si>
    <t>32</t>
  </si>
  <si>
    <t>36</t>
  </si>
  <si>
    <t>39</t>
  </si>
  <si>
    <t>Ratio of Utility to Total OMP</t>
  </si>
  <si>
    <t>Contact Hour Funding Strategy</t>
  </si>
  <si>
    <t>Biennial Average Contact Hour Rate</t>
  </si>
  <si>
    <t>Comparison - SCH and Headcount</t>
  </si>
  <si>
    <t>Semester Credit Hours (State Funded)</t>
  </si>
  <si>
    <t>Headcount</t>
  </si>
  <si>
    <t>Predicted Square Feet</t>
  </si>
  <si>
    <t>PCT CHG</t>
  </si>
  <si>
    <t>TOTAL</t>
  </si>
  <si>
    <t xml:space="preserve"> </t>
  </si>
  <si>
    <t>46</t>
  </si>
  <si>
    <t>All Funds Difference</t>
  </si>
  <si>
    <t>Totals allocated by the Formula</t>
  </si>
  <si>
    <t>Metrics</t>
  </si>
  <si>
    <t>Rate Adjustment</t>
  </si>
  <si>
    <t>2022-2023 Biennium</t>
  </si>
  <si>
    <t>Summary of Expenses Divided by Contact Hours</t>
  </si>
  <si>
    <t xml:space="preserve"> Predicted Space</t>
  </si>
  <si>
    <t>Headcount By Institution</t>
  </si>
  <si>
    <t>Academic Contact Hours</t>
  </si>
  <si>
    <t>Technical Contact Hours</t>
  </si>
  <si>
    <t xml:space="preserve">Academic Education (GRD Excluded from Formula Funding Amounts) </t>
  </si>
  <si>
    <t>Total Expense by
 Discipline</t>
  </si>
  <si>
    <t>FY 2024-2025 Funding</t>
  </si>
  <si>
    <t>Avg Rate on Predicted SF</t>
  </si>
  <si>
    <r>
      <t>Percentages</t>
    </r>
    <r>
      <rPr>
        <b/>
        <vertAlign val="superscript"/>
        <sz val="11"/>
        <rFont val="Overpass"/>
      </rPr>
      <t>2</t>
    </r>
  </si>
  <si>
    <r>
      <t>TSTC-North Texas</t>
    </r>
    <r>
      <rPr>
        <vertAlign val="superscript"/>
        <sz val="11"/>
        <color indexed="8"/>
        <rFont val="Overpass"/>
      </rPr>
      <t>2</t>
    </r>
  </si>
  <si>
    <r>
      <rPr>
        <vertAlign val="superscript"/>
        <sz val="11"/>
        <rFont val="Overpass"/>
      </rPr>
      <t>2</t>
    </r>
    <r>
      <rPr>
        <sz val="11"/>
        <rFont val="Overpass"/>
      </rPr>
      <t>The utilities for TSTC North Texas are provided by the Red Oak ISD, so TSTC North Texas incurs no costs for electricity, natural gas and water/waste water.</t>
    </r>
  </si>
  <si>
    <r>
      <t>FTSE Count</t>
    </r>
    <r>
      <rPr>
        <b/>
        <vertAlign val="superscript"/>
        <sz val="11"/>
        <rFont val="Overpass"/>
      </rPr>
      <t>1</t>
    </r>
  </si>
  <si>
    <t>Base Year Contact Hours - Total</t>
  </si>
  <si>
    <t>Base Year Contact Hours - Academic</t>
  </si>
  <si>
    <t>Base Year Contact Hours - Technical</t>
  </si>
  <si>
    <t>Fall 2022</t>
  </si>
  <si>
    <t>2024-2025 Biennium</t>
  </si>
  <si>
    <t>Source: SCH – CBM0CS; Headcount – CBM0C1; FTSE – CBM0CS</t>
  </si>
  <si>
    <t>BY 2023 Funded Hours for CTCs by Institution by Fund -- Run 17 Apr 2023 at 19:54 -- Sum_I 2022 through Spring 2023</t>
  </si>
  <si>
    <t>Hours Funded for 036273 - LAMAR INSTITUTE OF TECHNOLOGY</t>
  </si>
  <si>
    <t>title</t>
  </si>
  <si>
    <t>Hrs_Acad</t>
  </si>
  <si>
    <t>Hrs_AcadCrit</t>
  </si>
  <si>
    <t>CH_Dev</t>
  </si>
  <si>
    <t>CH_DevCrit</t>
  </si>
  <si>
    <t>CH_Tech</t>
  </si>
  <si>
    <t>CH_TechCrit</t>
  </si>
  <si>
    <t>CH_CE</t>
  </si>
  <si>
    <t>CH_CECrit</t>
  </si>
  <si>
    <t>AGRICULTURE</t>
  </si>
  <si>
    <t>ARCHITECTURE AND PRECISION PRODUCTION TRADES</t>
  </si>
  <si>
    <t>BIOLOGY, PHYSICAL SCIENCES, &amp; SCIENCE TECH</t>
  </si>
  <si>
    <t>BUSINESS MANAGEMENT, MARKETING &amp; ADMIN SERVICES</t>
  </si>
  <si>
    <t>CAREER PILOT</t>
  </si>
  <si>
    <t>COMMUNICATIONS</t>
  </si>
  <si>
    <t>COMPUTER AND INFORMATION SCIENCES</t>
  </si>
  <si>
    <t>CONSTRUCTION TRADES</t>
  </si>
  <si>
    <t>CONSUMER AND HOMEMAKING EDUCATION</t>
  </si>
  <si>
    <t>ENGINEERING</t>
  </si>
  <si>
    <t>ENGINEERING RELATED</t>
  </si>
  <si>
    <t>ENG LANG, LIT, PHILOSOPHY, HUMANITIES, INTERDISCIP</t>
  </si>
  <si>
    <t>FOREIGN LANGUAGES</t>
  </si>
  <si>
    <t>HEALTH OCCUPATIONS-DENTAL ASST, MED LAB, ADN</t>
  </si>
  <si>
    <t>HEALTH OCCUPATIONS-DENTAL HYGIENE</t>
  </si>
  <si>
    <t>HEALTH OCCUPATIONS-OTHER</t>
  </si>
  <si>
    <t>HEALTH OCCUPATIONS-RESPIRATORY THERAPY</t>
  </si>
  <si>
    <t>HEALTH OCCUPATIONS-VOCATIONAL NURSING</t>
  </si>
  <si>
    <t>MATHEMATICS</t>
  </si>
  <si>
    <t>MECHANICS AND REPAIRERS-AUTOMOTIVE</t>
  </si>
  <si>
    <t>MECHANICS &amp; REPAIRERS-DIESEL, AVIATION, TRANS WRKR</t>
  </si>
  <si>
    <t>MECHANICS AND REPAIRERS-ELECTRONICS</t>
  </si>
  <si>
    <t>PHYSICAL EDUCATION AND FITNESS</t>
  </si>
  <si>
    <t>PROTECTIVE SERVICES AND PUBLIC ADMINISTRATION</t>
  </si>
  <si>
    <t>PSYCHOLOGY, SOCIAL SERVICES, AND HISTORY</t>
  </si>
  <si>
    <t>VISUAL AND PERFORMING ARTS</t>
  </si>
  <si>
    <t>UNABLE TO IDENTIFY</t>
  </si>
  <si>
    <t>TOTAL CONTACT HOURS</t>
  </si>
  <si>
    <t>30</t>
  </si>
  <si>
    <t>.</t>
  </si>
  <si>
    <t>BAT LIBERAL ARTS</t>
  </si>
  <si>
    <t>BAT SCIENCE</t>
  </si>
  <si>
    <t>34</t>
  </si>
  <si>
    <t>BAT EDUCATION</t>
  </si>
  <si>
    <t>BAT BUSINESS ADMINISTRATION</t>
  </si>
  <si>
    <t>BAT TECHNOLOGY</t>
  </si>
  <si>
    <t>BAT HEALTH</t>
  </si>
  <si>
    <t>50</t>
  </si>
  <si>
    <t>BAT NURSING</t>
  </si>
  <si>
    <t>51</t>
  </si>
  <si>
    <t>TOTAL SEMESTER CREDIT HOURS</t>
  </si>
  <si>
    <t>Hours Funded for 023582 - LAMAR STATE COLL-ORANGE</t>
  </si>
  <si>
    <t>Hours Funded for 023485 - LAMAR STATE COLL-PORT ARTHUR</t>
  </si>
  <si>
    <r>
      <t>Utilities Expenditures FY 2022</t>
    </r>
    <r>
      <rPr>
        <b/>
        <vertAlign val="superscript"/>
        <sz val="11"/>
        <rFont val="Overpass"/>
      </rPr>
      <t>1</t>
    </r>
  </si>
  <si>
    <r>
      <t>Waste Water</t>
    </r>
    <r>
      <rPr>
        <b/>
        <vertAlign val="superscript"/>
        <sz val="11"/>
        <color theme="0"/>
        <rFont val="Overpass"/>
      </rPr>
      <t>3</t>
    </r>
  </si>
  <si>
    <r>
      <t xml:space="preserve">3 </t>
    </r>
    <r>
      <rPr>
        <sz val="11"/>
        <rFont val="Overpass"/>
      </rPr>
      <t>Certain institutions are charged a flat rate for waste water and usage data is not available. Water consumption values are used as a proxy in these situations. These institutions include UT-Tyler, Prairie View, WTAMU, TAMU-Texarkana, UH-Downtown, UNT-Dallas, Lamar, Sul Ross, TSTC Harlingen, TSTC-Waco, TSTC-Fort Bend, Lamar-IOT, and Lamar-Orange.</t>
    </r>
  </si>
  <si>
    <t>UT-Arlington</t>
  </si>
  <si>
    <t>UT-Austin</t>
  </si>
  <si>
    <t>UT-Dallas</t>
  </si>
  <si>
    <t>UT-El Paso</t>
  </si>
  <si>
    <t>UT-Rio Grande Valley</t>
  </si>
  <si>
    <t>UT-Permian Basin</t>
  </si>
  <si>
    <t>UT-San Antonio</t>
  </si>
  <si>
    <t>UT-Tyler</t>
  </si>
  <si>
    <t>TAMU</t>
  </si>
  <si>
    <t>TAMU-Galveston</t>
  </si>
  <si>
    <t>Prairie View</t>
  </si>
  <si>
    <t>Tarleton</t>
  </si>
  <si>
    <t>TAMU-Central</t>
  </si>
  <si>
    <t>TAMU-CC</t>
  </si>
  <si>
    <t>TAMU-Kingsville</t>
  </si>
  <si>
    <t>TAMU-San Antonio</t>
  </si>
  <si>
    <t>TAMI</t>
  </si>
  <si>
    <t>WTAMU</t>
  </si>
  <si>
    <t>TAMU-Commerce</t>
  </si>
  <si>
    <t>TAMU-Texarkana</t>
  </si>
  <si>
    <t>UH</t>
  </si>
  <si>
    <t>UH-Clear Lake</t>
  </si>
  <si>
    <t>UH-Downtown</t>
  </si>
  <si>
    <t>UH-Victoria</t>
  </si>
  <si>
    <t>Midwestern</t>
  </si>
  <si>
    <t>UNT</t>
  </si>
  <si>
    <t>UNT-Dallas</t>
  </si>
  <si>
    <t>SFA</t>
  </si>
  <si>
    <t>TSU</t>
  </si>
  <si>
    <t>TTU</t>
  </si>
  <si>
    <t>Angelo</t>
  </si>
  <si>
    <t>TWU</t>
  </si>
  <si>
    <t>Lamar</t>
  </si>
  <si>
    <t>Sam Houston</t>
  </si>
  <si>
    <t>TXST</t>
  </si>
  <si>
    <t>Sul Ross</t>
  </si>
  <si>
    <t>Sul Ross-Rio Grande</t>
  </si>
  <si>
    <t>TSTC-Harlingen</t>
  </si>
  <si>
    <t>TSTC-West Tx</t>
  </si>
  <si>
    <t>TSTC-Marshall</t>
  </si>
  <si>
    <t>TSTC-Waco</t>
  </si>
  <si>
    <t>TSTC-Fort Bend</t>
  </si>
  <si>
    <t>Board Recommended Rate</t>
  </si>
  <si>
    <t>GAA</t>
  </si>
  <si>
    <t>Note:  Institutions with a headcount of less than 10,000 receive an annual Small Institution Supplement. General Academic Institutions, Texas State Technical Colleges, and Lamar State Colleges with a headcount of less than 5,000 receive up to $2,633,133 each biennium. Institutions with a headcount of less than 10,000 and more than 5,000 receive a portion of the supplement equal to the inverse percentage of the range. [(1-(5,000 - Head Count)/(10,000 - 5,000)) X Small Institution Supplement].</t>
  </si>
  <si>
    <r>
      <t>Instruction and Operations  (GRD Excluded from Formula Funding Amounts)</t>
    </r>
    <r>
      <rPr>
        <b/>
        <vertAlign val="superscript"/>
        <sz val="11"/>
        <rFont val="Overpass"/>
      </rPr>
      <t>1</t>
    </r>
  </si>
  <si>
    <r>
      <t>Educational and General Space Support (Infrastructure)</t>
    </r>
    <r>
      <rPr>
        <b/>
        <vertAlign val="superscript"/>
        <sz val="11"/>
        <rFont val="Overpass"/>
      </rPr>
      <t>1</t>
    </r>
  </si>
  <si>
    <r>
      <rPr>
        <vertAlign val="superscript"/>
        <sz val="11"/>
        <color theme="1"/>
        <rFont val="Overpass"/>
      </rPr>
      <t xml:space="preserve">1 </t>
    </r>
    <r>
      <rPr>
        <sz val="11"/>
        <color theme="1"/>
        <rFont val="Overpass"/>
      </rPr>
      <t>Infrastructure General Revenue Dedicated is a set 10 percent of the GRD remaining after deducting TPEG and SGIP. Instruction and Operations All Funds for Lamar State Colleges contains General Revenue only; General Revenue-Dedicated 770 does not count against them in the I&amp;O formula.</t>
    </r>
  </si>
  <si>
    <r>
      <t xml:space="preserve">Instruction and Operations  (GRD Excluded from Formula Funding Amounts) </t>
    </r>
    <r>
      <rPr>
        <b/>
        <vertAlign val="superscript"/>
        <sz val="11"/>
        <rFont val="Overpass"/>
      </rPr>
      <t>1</t>
    </r>
  </si>
  <si>
    <t>TSTC-EWC</t>
  </si>
  <si>
    <r>
      <rPr>
        <vertAlign val="superscript"/>
        <sz val="11"/>
        <rFont val="Overpass"/>
      </rPr>
      <t>1</t>
    </r>
    <r>
      <rPr>
        <sz val="11"/>
        <rFont val="Overpass"/>
      </rPr>
      <t>Source: Sources and Uses Survey, FY 2024</t>
    </r>
  </si>
  <si>
    <t>BY 2024 Funded Hours for CTCs by Institution by Fund -- Run 20 Feb 2025 -- Sum_I 2024 through Spring 2025</t>
  </si>
  <si>
    <t>BY 2024 Funded Contact Hours for Calendar Year 2025 for Lamar Institutions by Institution by Fund -- 20 FEB 25 -- Sum_I 2024 - Spring 2025 / CE Fall 2023 - Fall 2024</t>
  </si>
  <si>
    <t>Fall 2023</t>
  </si>
  <si>
    <t>Fall 2024</t>
  </si>
  <si>
    <t>Difference Fall 2024 less Fall 2022</t>
  </si>
  <si>
    <t>Fall 2024 Less Fall 2022</t>
  </si>
  <si>
    <t>2026-2027 Biennium</t>
  </si>
  <si>
    <t xml:space="preserve">Spring Ratio of term-census-date to final certified contact hours = </t>
  </si>
  <si>
    <t xml:space="preserve">Spring Ratio of term-census-date to final certified contact hours =  </t>
  </si>
  <si>
    <t>Spring 2025 Estimated Supplement</t>
  </si>
  <si>
    <t>General Revenue - 2026</t>
  </si>
  <si>
    <t>General Revenue Dedicated - 2026</t>
  </si>
  <si>
    <t>General Revenue - 2027</t>
  </si>
  <si>
    <t>General Revenue Dedicated - 2027</t>
  </si>
  <si>
    <r>
      <rPr>
        <vertAlign val="superscript"/>
        <sz val="11"/>
        <rFont val="Overpass"/>
      </rPr>
      <t>1</t>
    </r>
    <r>
      <rPr>
        <sz val="11"/>
        <rFont val="Overpass"/>
      </rPr>
      <t>Fall 2022 and Fall 2023 FTSE are actual data. 2024 data are derived from calculations based on semester credit hours.</t>
    </r>
  </si>
  <si>
    <t>Fall 2024 Headcount (Certified)</t>
  </si>
  <si>
    <t>Contact Hours for Fall 2023 and Spring and Summer 2024</t>
  </si>
  <si>
    <t>Community and Technical Colleges, Report of Fundable Operating Expenses, Fiscal Year (FY) 2024</t>
  </si>
  <si>
    <t>Space Support</t>
  </si>
  <si>
    <r>
      <t>Predicted
Square Feet</t>
    </r>
    <r>
      <rPr>
        <b/>
        <vertAlign val="superscript"/>
        <sz val="11"/>
        <color indexed="9"/>
        <rFont val="Overpass"/>
      </rPr>
      <t>1</t>
    </r>
  </si>
  <si>
    <r>
      <t>Adjusted Predicted
Square Feet</t>
    </r>
    <r>
      <rPr>
        <b/>
        <vertAlign val="superscript"/>
        <sz val="11"/>
        <color indexed="9"/>
        <rFont val="Overpass"/>
      </rPr>
      <t>1</t>
    </r>
  </si>
  <si>
    <t>TAMU-CVM</t>
  </si>
  <si>
    <t>TTU-CVM</t>
  </si>
  <si>
    <t>Original Total Infrastructure</t>
  </si>
  <si>
    <t>TSTC-Waco &amp; TSTC-EWC Split</t>
  </si>
  <si>
    <t>Effective Infrastructure Formula</t>
  </si>
  <si>
    <t>TSTC-North Texas</t>
  </si>
  <si>
    <t>TSTC- EWC</t>
  </si>
  <si>
    <t>Formula Total</t>
  </si>
  <si>
    <t>TAMUG Set-Aside</t>
  </si>
  <si>
    <t>Added to TAMUG's annual funding amounts above.</t>
  </si>
  <si>
    <t>Avg Rate on Adjst. Pred. SF</t>
  </si>
  <si>
    <r>
      <t>HRI Rate</t>
    </r>
    <r>
      <rPr>
        <b/>
        <vertAlign val="superscript"/>
        <sz val="11"/>
        <color indexed="8"/>
        <rFont val="Overpass"/>
      </rPr>
      <t>3</t>
    </r>
  </si>
  <si>
    <t>Notes:</t>
  </si>
  <si>
    <t xml:space="preserve">1. Fall 2024 Space Projection Model, Published February 2025. </t>
  </si>
  <si>
    <t>2. Sources and Uses Fiscal Year 2024 Utility Study.</t>
  </si>
  <si>
    <t>3. Colleges of Veterinary Medicine are funded at the recommended HRI Infrastructure rate.</t>
  </si>
  <si>
    <t>4. Includes formula supplement to TAMU Galveston as recommended by the Coordinating Board, April 2007.</t>
  </si>
  <si>
    <t>5. Texas State Technical College - East Williamson County (TSTC-EWC) was authorized as a standalone campus with the passage of House Bill 3287, 88th Texas Legislature, Regular Session. TSTC-EWC students are currently reported as part of TSTC-Waco and represent approximately 7 percent of the total. In the absence of reporting data specific to TSTC-EWC, a 93/7 percent split of TSTC-Waco's funding has been applied to TSTC-EWC.</t>
  </si>
  <si>
    <t>CBM0CS/CBM00C certified contact hours for Summer &amp; Fall 2024 and error free hours for Spring 2025</t>
  </si>
  <si>
    <t>Technical Colleges Basis of Legislative Appropriations - 2026-2027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</si>
</sst>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_)"/>
    <numFmt numFmtId="166" formatCode="0.0%"/>
    <numFmt numFmtId="167" formatCode="000000"/>
    <numFmt numFmtId="168" formatCode="##,###,##0"/>
    <numFmt numFmtId="169" formatCode="00"/>
    <numFmt numFmtId="170" formatCode="&quot;$&quot;#,##0.000_);\(&quot;$&quot;#,##0.000\)"/>
    <numFmt numFmtId="171" formatCode="_(* #,##0.0000000_);_(* \(#,##0.0000000\);_(* &quot;-&quot;??_);_(@_)"/>
    <numFmt numFmtId="172" formatCode="#,##0.000_);\(#,##0.000\)"/>
    <numFmt numFmtId="173" formatCode="_(&quot;$&quot;* #,##0_);_(&quot;$&quot;* \(#,##0\);_(&quot;$&quot;* &quot;-&quot;??_);_(@_)"/>
    <numFmt numFmtId="174" formatCode="&quot;$&quot;#,##0.00"/>
    <numFmt numFmtId="175" formatCode="_(&quot;$&quot;* #,##0.0000_);_(&quot;$&quot;* \(#,##0.0000\);_(&quot;$&quot;* &quot;-&quot;??_);_(@_)"/>
    <numFmt numFmtId="176" formatCode="#,##0.0%_);[Red]\(#,##0.0%\)"/>
    <numFmt numFmtId="177" formatCode="#,##0.0%_);\(#,##0.0%\)"/>
    <numFmt numFmtId="178" formatCode="#,##0.0%;[Black]\(#,##0.0%\)"/>
    <numFmt numFmtId="179" formatCode="&quot;$&quot;#,##0.0000000000_);\(&quot;$&quot;#,##0.0000000000\)"/>
    <numFmt numFmtId="180" formatCode="##,###,###,##0"/>
    <numFmt numFmtId="181" formatCode="&quot;$&quot;#,##0.000000_);\(&quot;$&quot;#,##0.000000\)"/>
    <numFmt numFmtId="182" formatCode="_(&quot;$&quot;* #,##0.00000_);_(&quot;$&quot;* \(#,##0.00000\);_(&quot;$&quot;* &quot;-&quot;??_);_(@_)"/>
    <numFmt numFmtId="183" formatCode="_(&quot;$&quot;* #,##0.000000_);_(&quot;$&quot;* \(#,##0.000000\);_(&quot;$&quot;* &quot;-&quot;??_);_(@_)"/>
    <numFmt numFmtId="184" formatCode="_(&quot;$&quot;* #,##0.00000000_);_(&quot;$&quot;* \(#,##0.00000000\);_(&quot;$&quot;* &quot;-&quot;??_);_(@_)"/>
    <numFmt numFmtId="185" formatCode="_(&quot;$&quot;* #,##0.0000000_);_(&quot;$&quot;* \(#,##0.0000000\);_(&quot;$&quot;* &quot;-&quot;??_);_(@_)"/>
    <numFmt numFmtId="186" formatCode="0.00000000%"/>
    <numFmt numFmtId="187" formatCode="##,###,##0.00"/>
  </numFmts>
  <fonts count="40" x14ac:knownFonts="1"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sz val="11"/>
      <color theme="1"/>
      <name val="Tahoma"/>
      <family val="2"/>
    </font>
    <font>
      <sz val="10"/>
      <name val="System"/>
      <family val="2"/>
    </font>
    <font>
      <sz val="9"/>
      <color indexed="81"/>
      <name val="Tahoma"/>
      <family val="2"/>
    </font>
    <font>
      <b/>
      <sz val="11"/>
      <color theme="1"/>
      <name val="Overpass"/>
    </font>
    <font>
      <sz val="11"/>
      <color theme="1"/>
      <name val="Overpass"/>
    </font>
    <font>
      <b/>
      <sz val="11"/>
      <name val="Overpass"/>
    </font>
    <font>
      <sz val="11"/>
      <name val="Overpass"/>
    </font>
    <font>
      <b/>
      <u/>
      <sz val="11"/>
      <color theme="1"/>
      <name val="Overpass"/>
    </font>
    <font>
      <b/>
      <vertAlign val="superscript"/>
      <sz val="11"/>
      <name val="Overpass"/>
    </font>
    <font>
      <sz val="11"/>
      <color indexed="8"/>
      <name val="Overpass"/>
    </font>
    <font>
      <b/>
      <sz val="11"/>
      <color indexed="8"/>
      <name val="Overpass"/>
    </font>
    <font>
      <sz val="11"/>
      <color indexed="12"/>
      <name val="Overpass"/>
    </font>
    <font>
      <sz val="11"/>
      <color rgb="FFFF0000"/>
      <name val="Overpass"/>
    </font>
    <font>
      <sz val="11"/>
      <color theme="0"/>
      <name val="Overpass"/>
    </font>
    <font>
      <b/>
      <sz val="11"/>
      <color theme="0"/>
      <name val="Overpass"/>
    </font>
    <font>
      <sz val="11"/>
      <color indexed="10"/>
      <name val="Overpass"/>
    </font>
    <font>
      <vertAlign val="superscript"/>
      <sz val="11"/>
      <color indexed="8"/>
      <name val="Overpass"/>
    </font>
    <font>
      <vertAlign val="superscript"/>
      <sz val="11"/>
      <name val="Overpass"/>
    </font>
    <font>
      <b/>
      <vertAlign val="superscript"/>
      <sz val="11"/>
      <color theme="0"/>
      <name val="Overpass"/>
    </font>
    <font>
      <sz val="10"/>
      <name val="Overpass"/>
    </font>
    <font>
      <vertAlign val="superscript"/>
      <sz val="11"/>
      <color theme="1"/>
      <name val="Overpass"/>
    </font>
    <font>
      <b/>
      <sz val="10"/>
      <color theme="1"/>
      <name val="Overpass"/>
    </font>
    <font>
      <sz val="10"/>
      <color theme="1"/>
      <name val="Overpass"/>
    </font>
    <font>
      <b/>
      <sz val="10"/>
      <name val="Overpass"/>
    </font>
    <font>
      <b/>
      <sz val="11"/>
      <color rgb="FF112277"/>
      <name val="Overpass"/>
    </font>
    <font>
      <b/>
      <sz val="9.5"/>
      <color rgb="FF000000"/>
      <name val="Overpass"/>
    </font>
    <font>
      <b/>
      <sz val="9.5"/>
      <color rgb="FF112277"/>
      <name val="Overpass"/>
    </font>
    <font>
      <sz val="9.5"/>
      <color rgb="FF000000"/>
      <name val="Overpass"/>
    </font>
    <font>
      <b/>
      <sz val="9.5"/>
      <color rgb="FF112277"/>
      <name val="Arial"/>
      <family val="2"/>
    </font>
    <font>
      <b/>
      <vertAlign val="superscript"/>
      <sz val="11"/>
      <color indexed="9"/>
      <name val="Overpass"/>
    </font>
    <font>
      <b/>
      <vertAlign val="superscript"/>
      <sz val="11"/>
      <color indexed="8"/>
      <name val="Overpass"/>
    </font>
    <font>
      <sz val="8"/>
      <name val="Overpass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9"/>
      </patternFill>
    </fill>
    <fill>
      <patternFill patternType="solid">
        <fgColor rgb="FFFAFBFE"/>
        <bgColor indexed="64"/>
      </patternFill>
    </fill>
    <fill>
      <patternFill patternType="solid">
        <fgColor rgb="FFEDF2F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B0B7BB"/>
      </left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1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5" fillId="0" borderId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44" fontId="5" fillId="0" borderId="0" applyFont="0" applyFill="0" applyBorder="0" applyAlignment="0" applyProtection="0"/>
    <xf numFmtId="0" fontId="6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3" fontId="5" fillId="0" borderId="0"/>
    <xf numFmtId="3" fontId="5" fillId="0" borderId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0" borderId="0"/>
    <xf numFmtId="0" fontId="5" fillId="0" borderId="0"/>
    <xf numFmtId="0" fontId="9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" fillId="0" borderId="0"/>
    <xf numFmtId="0" fontId="8" fillId="0" borderId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/>
    <xf numFmtId="37" fontId="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438">
    <xf numFmtId="0" fontId="0" fillId="0" borderId="0" xfId="0"/>
    <xf numFmtId="0" fontId="11" fillId="0" borderId="0" xfId="54" applyFont="1"/>
    <xf numFmtId="0" fontId="12" fillId="0" borderId="0" xfId="54" applyFont="1"/>
    <xf numFmtId="37" fontId="13" fillId="0" borderId="0" xfId="55" applyFont="1" applyAlignment="1">
      <alignment horizontal="center"/>
    </xf>
    <xf numFmtId="37" fontId="13" fillId="0" borderId="0" xfId="55" applyFont="1" applyAlignment="1">
      <alignment horizontal="right"/>
    </xf>
    <xf numFmtId="10" fontId="12" fillId="0" borderId="0" xfId="17" applyNumberFormat="1" applyFont="1"/>
    <xf numFmtId="167" fontId="13" fillId="6" borderId="16" xfId="5" applyNumberFormat="1" applyFont="1" applyFill="1" applyBorder="1" applyAlignment="1">
      <alignment horizontal="center" wrapText="1"/>
    </xf>
    <xf numFmtId="167" fontId="13" fillId="6" borderId="17" xfId="5" applyNumberFormat="1" applyFont="1" applyFill="1" applyBorder="1" applyAlignment="1">
      <alignment horizontal="center" wrapText="1"/>
    </xf>
    <xf numFmtId="0" fontId="14" fillId="0" borderId="23" xfId="11" applyFont="1" applyBorder="1" applyAlignment="1">
      <alignment horizontal="center"/>
    </xf>
    <xf numFmtId="37" fontId="12" fillId="0" borderId="1" xfId="10" applyNumberFormat="1" applyFont="1" applyBorder="1"/>
    <xf numFmtId="42" fontId="12" fillId="0" borderId="1" xfId="4" applyNumberFormat="1" applyFont="1" applyBorder="1"/>
    <xf numFmtId="44" fontId="12" fillId="0" borderId="9" xfId="4" applyFont="1" applyBorder="1"/>
    <xf numFmtId="44" fontId="12" fillId="0" borderId="46" xfId="4" applyFont="1" applyBorder="1"/>
    <xf numFmtId="43" fontId="12" fillId="0" borderId="1" xfId="56" applyFont="1" applyBorder="1"/>
    <xf numFmtId="43" fontId="12" fillId="0" borderId="24" xfId="4" applyNumberFormat="1" applyFont="1" applyBorder="1"/>
    <xf numFmtId="37" fontId="12" fillId="0" borderId="1" xfId="10" applyNumberFormat="1" applyFont="1" applyFill="1" applyBorder="1"/>
    <xf numFmtId="42" fontId="12" fillId="0" borderId="1" xfId="4" applyNumberFormat="1" applyFont="1" applyFill="1" applyBorder="1"/>
    <xf numFmtId="0" fontId="14" fillId="0" borderId="27" xfId="11" applyFont="1" applyBorder="1" applyAlignment="1">
      <alignment horizontal="center"/>
    </xf>
    <xf numFmtId="37" fontId="12" fillId="0" borderId="32" xfId="10" applyNumberFormat="1" applyFont="1" applyBorder="1"/>
    <xf numFmtId="42" fontId="12" fillId="0" borderId="32" xfId="4" applyNumberFormat="1" applyFont="1" applyBorder="1"/>
    <xf numFmtId="43" fontId="12" fillId="0" borderId="32" xfId="56" applyFont="1" applyBorder="1"/>
    <xf numFmtId="43" fontId="12" fillId="0" borderId="28" xfId="4" applyNumberFormat="1" applyFont="1" applyBorder="1"/>
    <xf numFmtId="0" fontId="12" fillId="0" borderId="0" xfId="54" applyFont="1" applyAlignment="1">
      <alignment horizontal="right"/>
    </xf>
    <xf numFmtId="3" fontId="12" fillId="0" borderId="0" xfId="10" applyNumberFormat="1" applyFont="1"/>
    <xf numFmtId="42" fontId="12" fillId="0" borderId="0" xfId="4" applyNumberFormat="1" applyFont="1"/>
    <xf numFmtId="44" fontId="12" fillId="0" borderId="0" xfId="4" applyFont="1"/>
    <xf numFmtId="164" fontId="12" fillId="0" borderId="0" xfId="10" applyNumberFormat="1" applyFont="1"/>
    <xf numFmtId="173" fontId="12" fillId="0" borderId="0" xfId="4" applyNumberFormat="1" applyFont="1"/>
    <xf numFmtId="0" fontId="15" fillId="0" borderId="0" xfId="54" applyFont="1"/>
    <xf numFmtId="174" fontId="12" fillId="0" borderId="0" xfId="4" applyNumberFormat="1" applyFont="1"/>
    <xf numFmtId="44" fontId="12" fillId="0" borderId="0" xfId="54" applyNumberFormat="1" applyFont="1"/>
    <xf numFmtId="174" fontId="12" fillId="0" borderId="0" xfId="54" applyNumberFormat="1" applyFont="1"/>
    <xf numFmtId="173" fontId="12" fillId="0" borderId="0" xfId="5" applyNumberFormat="1" applyFont="1"/>
    <xf numFmtId="175" fontId="12" fillId="0" borderId="0" xfId="54" applyNumberFormat="1" applyFont="1"/>
    <xf numFmtId="173" fontId="12" fillId="0" borderId="0" xfId="54" applyNumberFormat="1" applyFont="1"/>
    <xf numFmtId="0" fontId="13" fillId="0" borderId="0" xfId="20" applyFont="1"/>
    <xf numFmtId="0" fontId="14" fillId="0" borderId="0" xfId="20" applyFont="1"/>
    <xf numFmtId="0" fontId="17" fillId="0" borderId="0" xfId="20" applyFont="1"/>
    <xf numFmtId="0" fontId="18" fillId="0" borderId="0" xfId="20" applyFont="1" applyAlignment="1">
      <alignment horizontal="center"/>
    </xf>
    <xf numFmtId="0" fontId="14" fillId="0" borderId="0" xfId="20" applyFont="1" applyAlignment="1">
      <alignment horizontal="center" wrapText="1"/>
    </xf>
    <xf numFmtId="167" fontId="14" fillId="0" borderId="23" xfId="21" applyNumberFormat="1" applyFont="1" applyBorder="1" applyAlignment="1">
      <alignment horizontal="right" indent="1" shrinkToFit="1"/>
    </xf>
    <xf numFmtId="167" fontId="14" fillId="0" borderId="27" xfId="21" applyNumberFormat="1" applyFont="1" applyBorder="1" applyAlignment="1">
      <alignment horizontal="right" indent="1" shrinkToFit="1"/>
    </xf>
    <xf numFmtId="0" fontId="17" fillId="0" borderId="0" xfId="20" applyFont="1" applyAlignment="1">
      <alignment horizontal="right"/>
    </xf>
    <xf numFmtId="5" fontId="17" fillId="0" borderId="0" xfId="20" applyNumberFormat="1" applyFont="1"/>
    <xf numFmtId="10" fontId="19" fillId="0" borderId="0" xfId="20" applyNumberFormat="1" applyFont="1"/>
    <xf numFmtId="5" fontId="17" fillId="0" borderId="0" xfId="20" applyNumberFormat="1" applyFont="1" applyAlignment="1">
      <alignment horizontal="right"/>
    </xf>
    <xf numFmtId="164" fontId="14" fillId="0" borderId="0" xfId="20" applyNumberFormat="1" applyFont="1"/>
    <xf numFmtId="0" fontId="14" fillId="0" borderId="15" xfId="21" quotePrefix="1" applyFont="1" applyBorder="1" applyAlignment="1">
      <alignment horizontal="left"/>
    </xf>
    <xf numFmtId="0" fontId="14" fillId="0" borderId="15" xfId="21" applyFont="1" applyBorder="1"/>
    <xf numFmtId="0" fontId="14" fillId="0" borderId="12" xfId="21" applyFont="1" applyBorder="1"/>
    <xf numFmtId="173" fontId="14" fillId="0" borderId="0" xfId="20" applyNumberFormat="1" applyFont="1"/>
    <xf numFmtId="7" fontId="14" fillId="0" borderId="0" xfId="20" applyNumberFormat="1" applyFont="1"/>
    <xf numFmtId="5" fontId="14" fillId="0" borderId="0" xfId="20" applyNumberFormat="1" applyFont="1"/>
    <xf numFmtId="0" fontId="14" fillId="0" borderId="0" xfId="23" applyFont="1"/>
    <xf numFmtId="0" fontId="22" fillId="7" borderId="36" xfId="20" applyFont="1" applyFill="1" applyBorder="1" applyAlignment="1" applyProtection="1">
      <alignment horizontal="center" wrapText="1"/>
      <protection locked="0"/>
    </xf>
    <xf numFmtId="5" fontId="22" fillId="7" borderId="32" xfId="20" applyNumberFormat="1" applyFont="1" applyFill="1" applyBorder="1" applyAlignment="1" applyProtection="1">
      <alignment horizontal="center" wrapText="1"/>
      <protection locked="0"/>
    </xf>
    <xf numFmtId="0" fontId="22" fillId="7" borderId="32" xfId="20" applyFont="1" applyFill="1" applyBorder="1" applyAlignment="1">
      <alignment horizontal="center" wrapText="1"/>
    </xf>
    <xf numFmtId="0" fontId="22" fillId="7" borderId="28" xfId="20" applyFont="1" applyFill="1" applyBorder="1" applyAlignment="1">
      <alignment horizontal="center" wrapText="1"/>
    </xf>
    <xf numFmtId="0" fontId="22" fillId="7" borderId="27" xfId="20" applyFont="1" applyFill="1" applyBorder="1" applyAlignment="1" applyProtection="1">
      <alignment horizontal="center" wrapText="1"/>
      <protection locked="0"/>
    </xf>
    <xf numFmtId="5" fontId="22" fillId="7" borderId="27" xfId="20" applyNumberFormat="1" applyFont="1" applyFill="1" applyBorder="1" applyAlignment="1" applyProtection="1">
      <alignment horizontal="center" wrapText="1"/>
      <protection locked="0"/>
    </xf>
    <xf numFmtId="167" fontId="14" fillId="0" borderId="45" xfId="21" applyNumberFormat="1" applyFont="1" applyBorder="1" applyAlignment="1">
      <alignment horizontal="right" indent="1" shrinkToFit="1"/>
    </xf>
    <xf numFmtId="0" fontId="17" fillId="0" borderId="46" xfId="20" applyFont="1" applyBorder="1" applyAlignment="1">
      <alignment horizontal="left" wrapText="1"/>
    </xf>
    <xf numFmtId="37" fontId="17" fillId="4" borderId="8" xfId="20" applyNumberFormat="1" applyFont="1" applyFill="1" applyBorder="1" applyProtection="1">
      <protection locked="0"/>
    </xf>
    <xf numFmtId="170" fontId="17" fillId="0" borderId="9" xfId="20" applyNumberFormat="1" applyFont="1" applyBorder="1"/>
    <xf numFmtId="10" fontId="19" fillId="0" borderId="46" xfId="20" applyNumberFormat="1" applyFont="1" applyBorder="1"/>
    <xf numFmtId="7" fontId="17" fillId="0" borderId="9" xfId="20" applyNumberFormat="1" applyFont="1" applyBorder="1"/>
    <xf numFmtId="166" fontId="23" fillId="0" borderId="46" xfId="20" applyNumberFormat="1" applyFont="1" applyBorder="1"/>
    <xf numFmtId="166" fontId="23" fillId="0" borderId="19" xfId="20" applyNumberFormat="1" applyFont="1" applyBorder="1"/>
    <xf numFmtId="10" fontId="19" fillId="0" borderId="47" xfId="20" applyNumberFormat="1" applyFont="1" applyBorder="1"/>
    <xf numFmtId="5" fontId="17" fillId="0" borderId="20" xfId="20" applyNumberFormat="1" applyFont="1" applyBorder="1"/>
    <xf numFmtId="9" fontId="17" fillId="0" borderId="20" xfId="17" applyFont="1" applyFill="1" applyBorder="1" applyProtection="1"/>
    <xf numFmtId="0" fontId="17" fillId="0" borderId="24" xfId="20" applyFont="1" applyBorder="1" applyAlignment="1">
      <alignment horizontal="left" wrapText="1"/>
    </xf>
    <xf numFmtId="172" fontId="17" fillId="0" borderId="1" xfId="20" applyNumberFormat="1" applyFont="1" applyBorder="1"/>
    <xf numFmtId="10" fontId="19" fillId="0" borderId="24" xfId="20" applyNumberFormat="1" applyFont="1" applyBorder="1"/>
    <xf numFmtId="39" fontId="17" fillId="0" borderId="1" xfId="20" applyNumberFormat="1" applyFont="1" applyBorder="1"/>
    <xf numFmtId="166" fontId="23" fillId="0" borderId="24" xfId="20" applyNumberFormat="1" applyFont="1" applyBorder="1"/>
    <xf numFmtId="10" fontId="19" fillId="0" borderId="26" xfId="20" applyNumberFormat="1" applyFont="1" applyBorder="1"/>
    <xf numFmtId="37" fontId="17" fillId="0" borderId="25" xfId="20" applyNumberFormat="1" applyFont="1" applyBorder="1"/>
    <xf numFmtId="9" fontId="17" fillId="0" borderId="25" xfId="17" applyFont="1" applyFill="1" applyBorder="1" applyProtection="1"/>
    <xf numFmtId="37" fontId="17" fillId="4" borderId="27" xfId="20" applyNumberFormat="1" applyFont="1" applyFill="1" applyBorder="1" applyProtection="1">
      <protection locked="0"/>
    </xf>
    <xf numFmtId="37" fontId="17" fillId="4" borderId="36" xfId="20" applyNumberFormat="1" applyFont="1" applyFill="1" applyBorder="1" applyProtection="1">
      <protection locked="0"/>
    </xf>
    <xf numFmtId="172" fontId="17" fillId="0" borderId="32" xfId="20" applyNumberFormat="1" applyFont="1" applyBorder="1"/>
    <xf numFmtId="10" fontId="19" fillId="0" borderId="28" xfId="20" applyNumberFormat="1" applyFont="1" applyBorder="1"/>
    <xf numFmtId="39" fontId="17" fillId="0" borderId="32" xfId="20" applyNumberFormat="1" applyFont="1" applyBorder="1"/>
    <xf numFmtId="166" fontId="23" fillId="0" borderId="28" xfId="20" applyNumberFormat="1" applyFont="1" applyBorder="1"/>
    <xf numFmtId="10" fontId="19" fillId="0" borderId="30" xfId="20" applyNumberFormat="1" applyFont="1" applyBorder="1"/>
    <xf numFmtId="37" fontId="17" fillId="0" borderId="29" xfId="20" applyNumberFormat="1" applyFont="1" applyBorder="1"/>
    <xf numFmtId="9" fontId="17" fillId="0" borderId="29" xfId="17" applyFont="1" applyFill="1" applyBorder="1" applyProtection="1"/>
    <xf numFmtId="0" fontId="18" fillId="0" borderId="0" xfId="20" applyFont="1" applyAlignment="1">
      <alignment horizontal="right"/>
    </xf>
    <xf numFmtId="3" fontId="17" fillId="0" borderId="0" xfId="20" applyNumberFormat="1" applyFont="1"/>
    <xf numFmtId="37" fontId="17" fillId="0" borderId="0" xfId="20" applyNumberFormat="1" applyFont="1"/>
    <xf numFmtId="172" fontId="17" fillId="0" borderId="0" xfId="20" applyNumberFormat="1" applyFont="1"/>
    <xf numFmtId="37" fontId="17" fillId="0" borderId="53" xfId="20" applyNumberFormat="1" applyFont="1" applyBorder="1"/>
    <xf numFmtId="39" fontId="17" fillId="0" borderId="0" xfId="20" applyNumberFormat="1" applyFont="1"/>
    <xf numFmtId="166" fontId="23" fillId="0" borderId="0" xfId="20" applyNumberFormat="1" applyFont="1"/>
    <xf numFmtId="9" fontId="17" fillId="0" borderId="0" xfId="17" applyFont="1" applyFill="1" applyBorder="1" applyProtection="1"/>
    <xf numFmtId="167" fontId="14" fillId="0" borderId="18" xfId="21" applyNumberFormat="1" applyFont="1" applyBorder="1" applyAlignment="1">
      <alignment horizontal="right" indent="1" shrinkToFit="1"/>
    </xf>
    <xf numFmtId="0" fontId="17" fillId="0" borderId="19" xfId="20" applyFont="1" applyBorder="1" applyAlignment="1">
      <alignment horizontal="left" wrapText="1"/>
    </xf>
    <xf numFmtId="3" fontId="17" fillId="5" borderId="39" xfId="20" applyNumberFormat="1" applyFont="1" applyFill="1" applyBorder="1" applyProtection="1">
      <protection locked="0"/>
    </xf>
    <xf numFmtId="37" fontId="17" fillId="5" borderId="22" xfId="20" applyNumberFormat="1" applyFont="1" applyFill="1" applyBorder="1" applyProtection="1">
      <protection locked="0"/>
    </xf>
    <xf numFmtId="172" fontId="17" fillId="0" borderId="22" xfId="20" applyNumberFormat="1" applyFont="1" applyBorder="1"/>
    <xf numFmtId="10" fontId="19" fillId="0" borderId="19" xfId="20" applyNumberFormat="1" applyFont="1" applyBorder="1"/>
    <xf numFmtId="37" fontId="17" fillId="5" borderId="8" xfId="20" applyNumberFormat="1" applyFont="1" applyFill="1" applyBorder="1" applyProtection="1">
      <protection locked="0"/>
    </xf>
    <xf numFmtId="39" fontId="17" fillId="0" borderId="22" xfId="20" applyNumberFormat="1" applyFont="1" applyBorder="1"/>
    <xf numFmtId="3" fontId="17" fillId="4" borderId="39" xfId="20" applyNumberFormat="1" applyFont="1" applyFill="1" applyBorder="1" applyProtection="1">
      <protection locked="0"/>
    </xf>
    <xf numFmtId="37" fontId="17" fillId="4" borderId="22" xfId="20" applyNumberFormat="1" applyFont="1" applyFill="1" applyBorder="1" applyProtection="1">
      <protection locked="0"/>
    </xf>
    <xf numFmtId="37" fontId="17" fillId="5" borderId="39" xfId="20" applyNumberFormat="1" applyFont="1" applyFill="1" applyBorder="1" applyProtection="1">
      <protection locked="0"/>
    </xf>
    <xf numFmtId="37" fontId="17" fillId="5" borderId="18" xfId="20" applyNumberFormat="1" applyFont="1" applyFill="1" applyBorder="1" applyProtection="1">
      <protection locked="0"/>
    </xf>
    <xf numFmtId="10" fontId="19" fillId="0" borderId="21" xfId="20" applyNumberFormat="1" applyFont="1" applyBorder="1"/>
    <xf numFmtId="37" fontId="17" fillId="0" borderId="20" xfId="20" applyNumberFormat="1" applyFont="1" applyBorder="1"/>
    <xf numFmtId="37" fontId="17" fillId="5" borderId="20" xfId="20" applyNumberFormat="1" applyFont="1" applyFill="1" applyBorder="1"/>
    <xf numFmtId="0" fontId="17" fillId="0" borderId="28" xfId="20" applyFont="1" applyBorder="1" applyAlignment="1">
      <alignment horizontal="left" wrapText="1"/>
    </xf>
    <xf numFmtId="37" fontId="17" fillId="5" borderId="27" xfId="20" applyNumberFormat="1" applyFont="1" applyFill="1" applyBorder="1" applyProtection="1">
      <protection locked="0"/>
    </xf>
    <xf numFmtId="37" fontId="17" fillId="5" borderId="36" xfId="20" applyNumberFormat="1" applyFont="1" applyFill="1" applyBorder="1" applyProtection="1">
      <protection locked="0"/>
    </xf>
    <xf numFmtId="37" fontId="17" fillId="5" borderId="23" xfId="20" applyNumberFormat="1" applyFont="1" applyFill="1" applyBorder="1" applyProtection="1">
      <protection locked="0"/>
    </xf>
    <xf numFmtId="37" fontId="17" fillId="0" borderId="0" xfId="20" applyNumberFormat="1" applyFont="1" applyProtection="1">
      <protection locked="0"/>
    </xf>
    <xf numFmtId="0" fontId="18" fillId="0" borderId="0" xfId="20" applyFont="1" applyAlignment="1">
      <alignment horizontal="right" wrapText="1"/>
    </xf>
    <xf numFmtId="7" fontId="17" fillId="0" borderId="0" xfId="20" applyNumberFormat="1" applyFont="1"/>
    <xf numFmtId="166" fontId="17" fillId="0" borderId="0" xfId="17" applyNumberFormat="1" applyFont="1" applyFill="1" applyBorder="1" applyProtection="1"/>
    <xf numFmtId="0" fontId="14" fillId="0" borderId="0" xfId="0" quotePrefix="1" applyFont="1" applyAlignment="1">
      <alignment horizontal="left"/>
    </xf>
    <xf numFmtId="9" fontId="14" fillId="0" borderId="0" xfId="17" applyFont="1" applyFill="1"/>
    <xf numFmtId="0" fontId="25" fillId="0" borderId="0" xfId="20" applyFont="1"/>
    <xf numFmtId="0" fontId="14" fillId="0" borderId="0" xfId="21" applyFont="1"/>
    <xf numFmtId="0" fontId="12" fillId="0" borderId="0" xfId="0" applyFont="1"/>
    <xf numFmtId="0" fontId="13" fillId="6" borderId="1" xfId="21" applyFont="1" applyFill="1" applyBorder="1" applyAlignment="1">
      <alignment horizontal="center" wrapText="1"/>
    </xf>
    <xf numFmtId="0" fontId="13" fillId="6" borderId="24" xfId="21" applyFont="1" applyFill="1" applyBorder="1" applyAlignment="1">
      <alignment horizontal="center"/>
    </xf>
    <xf numFmtId="0" fontId="13" fillId="6" borderId="3" xfId="21" applyFont="1" applyFill="1" applyBorder="1" applyAlignment="1">
      <alignment horizontal="center" wrapText="1"/>
    </xf>
    <xf numFmtId="0" fontId="13" fillId="6" borderId="23" xfId="21" applyFont="1" applyFill="1" applyBorder="1" applyAlignment="1">
      <alignment horizontal="center" wrapText="1"/>
    </xf>
    <xf numFmtId="0" fontId="13" fillId="6" borderId="1" xfId="21" applyFont="1" applyFill="1" applyBorder="1" applyAlignment="1">
      <alignment horizontal="center"/>
    </xf>
    <xf numFmtId="167" fontId="17" fillId="0" borderId="23" xfId="21" applyNumberFormat="1" applyFont="1" applyBorder="1"/>
    <xf numFmtId="37" fontId="17" fillId="9" borderId="3" xfId="21" applyNumberFormat="1" applyFont="1" applyFill="1" applyBorder="1"/>
    <xf numFmtId="37" fontId="14" fillId="4" borderId="3" xfId="21" applyNumberFormat="1" applyFont="1" applyFill="1" applyBorder="1"/>
    <xf numFmtId="37" fontId="14" fillId="0" borderId="9" xfId="21" applyNumberFormat="1" applyFont="1" applyBorder="1"/>
    <xf numFmtId="177" fontId="14" fillId="0" borderId="46" xfId="21" applyNumberFormat="1" applyFont="1" applyBorder="1"/>
    <xf numFmtId="37" fontId="17" fillId="0" borderId="9" xfId="21" applyNumberFormat="1" applyFont="1" applyBorder="1"/>
    <xf numFmtId="176" fontId="14" fillId="0" borderId="46" xfId="21" applyNumberFormat="1" applyFont="1" applyBorder="1"/>
    <xf numFmtId="37" fontId="14" fillId="4" borderId="45" xfId="21" applyNumberFormat="1" applyFont="1" applyFill="1" applyBorder="1"/>
    <xf numFmtId="37" fontId="14" fillId="4" borderId="8" xfId="21" applyNumberFormat="1" applyFont="1" applyFill="1" applyBorder="1"/>
    <xf numFmtId="37" fontId="14" fillId="4" borderId="1" xfId="21" applyNumberFormat="1" applyFont="1" applyFill="1" applyBorder="1"/>
    <xf numFmtId="37" fontId="17" fillId="0" borderId="1" xfId="21" applyNumberFormat="1" applyFont="1" applyBorder="1"/>
    <xf numFmtId="177" fontId="14" fillId="0" borderId="24" xfId="21" applyNumberFormat="1" applyFont="1" applyBorder="1"/>
    <xf numFmtId="37" fontId="14" fillId="0" borderId="45" xfId="21" applyNumberFormat="1" applyFont="1" applyBorder="1"/>
    <xf numFmtId="37" fontId="14" fillId="0" borderId="8" xfId="21" applyNumberFormat="1" applyFont="1" applyBorder="1"/>
    <xf numFmtId="37" fontId="14" fillId="0" borderId="1" xfId="21" applyNumberFormat="1" applyFont="1" applyBorder="1"/>
    <xf numFmtId="176" fontId="14" fillId="0" borderId="24" xfId="21" applyNumberFormat="1" applyFont="1" applyBorder="1"/>
    <xf numFmtId="37" fontId="14" fillId="4" borderId="23" xfId="21" applyNumberFormat="1" applyFont="1" applyFill="1" applyBorder="1"/>
    <xf numFmtId="37" fontId="14" fillId="0" borderId="3" xfId="21" applyNumberFormat="1" applyFont="1" applyBorder="1"/>
    <xf numFmtId="0" fontId="17" fillId="0" borderId="27" xfId="21" applyFont="1" applyBorder="1"/>
    <xf numFmtId="0" fontId="13" fillId="0" borderId="31" xfId="21" applyFont="1" applyBorder="1" applyAlignment="1">
      <alignment horizontal="right"/>
    </xf>
    <xf numFmtId="37" fontId="18" fillId="0" borderId="27" xfId="21" applyNumberFormat="1" applyFont="1" applyBorder="1"/>
    <xf numFmtId="37" fontId="18" fillId="0" borderId="36" xfId="21" applyNumberFormat="1" applyFont="1" applyBorder="1"/>
    <xf numFmtId="37" fontId="18" fillId="0" borderId="32" xfId="21" applyNumberFormat="1" applyFont="1" applyBorder="1"/>
    <xf numFmtId="177" fontId="13" fillId="0" borderId="28" xfId="21" applyNumberFormat="1" applyFont="1" applyBorder="1"/>
    <xf numFmtId="176" fontId="13" fillId="0" borderId="28" xfId="21" applyNumberFormat="1" applyFont="1" applyBorder="1"/>
    <xf numFmtId="0" fontId="14" fillId="0" borderId="0" xfId="21" quotePrefix="1" applyFont="1" applyAlignment="1">
      <alignment horizontal="left"/>
    </xf>
    <xf numFmtId="0" fontId="27" fillId="0" borderId="0" xfId="0" applyFont="1"/>
    <xf numFmtId="37" fontId="17" fillId="0" borderId="26" xfId="20" applyNumberFormat="1" applyFont="1" applyBorder="1"/>
    <xf numFmtId="10" fontId="19" fillId="0" borderId="1" xfId="20" applyNumberFormat="1" applyFont="1" applyBorder="1"/>
    <xf numFmtId="37" fontId="17" fillId="0" borderId="30" xfId="20" applyNumberFormat="1" applyFont="1" applyBorder="1"/>
    <xf numFmtId="0" fontId="14" fillId="0" borderId="1" xfId="21" applyFont="1" applyBorder="1"/>
    <xf numFmtId="181" fontId="17" fillId="0" borderId="22" xfId="20" applyNumberFormat="1" applyFont="1" applyBorder="1" applyProtection="1">
      <protection locked="0"/>
    </xf>
    <xf numFmtId="181" fontId="17" fillId="2" borderId="22" xfId="20" applyNumberFormat="1" applyFont="1" applyFill="1" applyBorder="1" applyProtection="1">
      <protection locked="0"/>
    </xf>
    <xf numFmtId="167" fontId="11" fillId="0" borderId="0" xfId="5" applyNumberFormat="1" applyFont="1"/>
    <xf numFmtId="0" fontId="21" fillId="0" borderId="0" xfId="0" applyFont="1"/>
    <xf numFmtId="0" fontId="11" fillId="0" borderId="0" xfId="0" applyFont="1"/>
    <xf numFmtId="0" fontId="13" fillId="6" borderId="50" xfId="21" applyFont="1" applyFill="1" applyBorder="1" applyAlignment="1">
      <alignment horizontal="center" wrapText="1"/>
    </xf>
    <xf numFmtId="165" fontId="17" fillId="0" borderId="1" xfId="0" quotePrefix="1" applyNumberFormat="1" applyFont="1" applyBorder="1" applyAlignment="1">
      <alignment horizontal="left"/>
    </xf>
    <xf numFmtId="165" fontId="17" fillId="0" borderId="1" xfId="0" applyNumberFormat="1" applyFont="1" applyBorder="1" applyAlignment="1">
      <alignment horizontal="left"/>
    </xf>
    <xf numFmtId="173" fontId="12" fillId="0" borderId="1" xfId="4" applyNumberFormat="1" applyFont="1" applyFill="1" applyBorder="1"/>
    <xf numFmtId="178" fontId="12" fillId="0" borderId="1" xfId="2" applyNumberFormat="1" applyFont="1" applyBorder="1"/>
    <xf numFmtId="164" fontId="12" fillId="0" borderId="0" xfId="1" applyNumberFormat="1" applyFont="1"/>
    <xf numFmtId="0" fontId="12" fillId="0" borderId="1" xfId="0" applyFont="1" applyBorder="1"/>
    <xf numFmtId="42" fontId="12" fillId="3" borderId="1" xfId="0" applyNumberFormat="1" applyFont="1" applyFill="1" applyBorder="1"/>
    <xf numFmtId="42" fontId="12" fillId="0" borderId="1" xfId="0" applyNumberFormat="1" applyFont="1" applyBorder="1"/>
    <xf numFmtId="173" fontId="12" fillId="3" borderId="1" xfId="4" applyNumberFormat="1" applyFont="1" applyFill="1" applyBorder="1"/>
    <xf numFmtId="164" fontId="12" fillId="0" borderId="1" xfId="1" applyNumberFormat="1" applyFont="1" applyFill="1" applyBorder="1"/>
    <xf numFmtId="37" fontId="12" fillId="0" borderId="1" xfId="0" applyNumberFormat="1" applyFont="1" applyBorder="1"/>
    <xf numFmtId="9" fontId="12" fillId="0" borderId="0" xfId="0" applyNumberFormat="1" applyFont="1"/>
    <xf numFmtId="173" fontId="12" fillId="0" borderId="0" xfId="0" applyNumberFormat="1" applyFont="1"/>
    <xf numFmtId="164" fontId="17" fillId="0" borderId="4" xfId="1" applyNumberFormat="1" applyFont="1" applyFill="1" applyBorder="1" applyProtection="1"/>
    <xf numFmtId="164" fontId="17" fillId="0" borderId="7" xfId="1" applyNumberFormat="1" applyFont="1" applyFill="1" applyBorder="1" applyProtection="1"/>
    <xf numFmtId="42" fontId="17" fillId="3" borderId="1" xfId="1" applyNumberFormat="1" applyFont="1" applyFill="1" applyBorder="1" applyProtection="1"/>
    <xf numFmtId="42" fontId="17" fillId="3" borderId="2" xfId="1" applyNumberFormat="1" applyFont="1" applyFill="1" applyBorder="1" applyProtection="1"/>
    <xf numFmtId="164" fontId="17" fillId="0" borderId="35" xfId="1" applyNumberFormat="1" applyFont="1" applyFill="1" applyBorder="1" applyProtection="1"/>
    <xf numFmtId="164" fontId="12" fillId="0" borderId="35" xfId="1" applyNumberFormat="1" applyFont="1" applyBorder="1"/>
    <xf numFmtId="164" fontId="12" fillId="0" borderId="7" xfId="1" applyNumberFormat="1" applyFont="1" applyBorder="1"/>
    <xf numFmtId="164" fontId="17" fillId="0" borderId="6" xfId="1" applyNumberFormat="1" applyFont="1" applyFill="1" applyBorder="1" applyProtection="1"/>
    <xf numFmtId="164" fontId="17" fillId="0" borderId="48" xfId="1" applyNumberFormat="1" applyFont="1" applyFill="1" applyBorder="1" applyProtection="1"/>
    <xf numFmtId="164" fontId="17" fillId="0" borderId="0" xfId="1" applyNumberFormat="1" applyFont="1" applyFill="1" applyBorder="1" applyProtection="1"/>
    <xf numFmtId="164" fontId="12" fillId="0" borderId="0" xfId="1" applyNumberFormat="1" applyFont="1" applyBorder="1"/>
    <xf numFmtId="164" fontId="12" fillId="0" borderId="48" xfId="1" applyNumberFormat="1" applyFont="1" applyBorder="1"/>
    <xf numFmtId="164" fontId="12" fillId="0" borderId="5" xfId="0" applyNumberFormat="1" applyFont="1" applyBorder="1"/>
    <xf numFmtId="164" fontId="12" fillId="0" borderId="8" xfId="0" applyNumberFormat="1" applyFont="1" applyBorder="1"/>
    <xf numFmtId="42" fontId="12" fillId="0" borderId="2" xfId="0" applyNumberFormat="1" applyFont="1" applyBorder="1"/>
    <xf numFmtId="164" fontId="12" fillId="0" borderId="49" xfId="0" applyNumberFormat="1" applyFont="1" applyBorder="1"/>
    <xf numFmtId="164" fontId="12" fillId="0" borderId="49" xfId="1" applyNumberFormat="1" applyFont="1" applyBorder="1"/>
    <xf numFmtId="164" fontId="12" fillId="0" borderId="8" xfId="1" applyNumberFormat="1" applyFont="1" applyBorder="1"/>
    <xf numFmtId="165" fontId="17" fillId="0" borderId="0" xfId="0" applyNumberFormat="1" applyFont="1" applyAlignment="1">
      <alignment horizontal="left"/>
    </xf>
    <xf numFmtId="173" fontId="12" fillId="0" borderId="0" xfId="4" applyNumberFormat="1" applyFont="1" applyFill="1" applyBorder="1"/>
    <xf numFmtId="178" fontId="12" fillId="0" borderId="0" xfId="2" applyNumberFormat="1" applyFont="1" applyBorder="1"/>
    <xf numFmtId="164" fontId="12" fillId="0" borderId="0" xfId="0" applyNumberFormat="1" applyFont="1"/>
    <xf numFmtId="42" fontId="12" fillId="0" borderId="0" xfId="0" applyNumberFormat="1" applyFont="1"/>
    <xf numFmtId="0" fontId="12" fillId="0" borderId="0" xfId="0" quotePrefix="1" applyFont="1" applyAlignment="1">
      <alignment vertical="top"/>
    </xf>
    <xf numFmtId="0" fontId="12" fillId="0" borderId="0" xfId="0" quotePrefix="1" applyFont="1" applyAlignment="1">
      <alignment vertical="top" wrapText="1"/>
    </xf>
    <xf numFmtId="0" fontId="12" fillId="0" borderId="0" xfId="0" quotePrefix="1" applyFont="1"/>
    <xf numFmtId="10" fontId="12" fillId="0" borderId="0" xfId="2" applyNumberFormat="1" applyFont="1"/>
    <xf numFmtId="167" fontId="29" fillId="0" borderId="0" xfId="5" applyNumberFormat="1" applyFont="1"/>
    <xf numFmtId="0" fontId="30" fillId="0" borderId="0" xfId="5" applyFont="1"/>
    <xf numFmtId="168" fontId="30" fillId="0" borderId="0" xfId="5" applyNumberFormat="1" applyFont="1" applyAlignment="1">
      <alignment horizontal="right"/>
    </xf>
    <xf numFmtId="167" fontId="30" fillId="0" borderId="0" xfId="5" applyNumberFormat="1" applyFont="1" applyAlignment="1">
      <alignment horizontal="left" vertical="top"/>
    </xf>
    <xf numFmtId="167" fontId="31" fillId="6" borderId="14" xfId="5" applyNumberFormat="1" applyFont="1" applyFill="1" applyBorder="1" applyAlignment="1">
      <alignment horizontal="center" wrapText="1"/>
    </xf>
    <xf numFmtId="167" fontId="31" fillId="6" borderId="16" xfId="5" applyNumberFormat="1" applyFont="1" applyFill="1" applyBorder="1" applyAlignment="1">
      <alignment horizontal="center" wrapText="1"/>
    </xf>
    <xf numFmtId="167" fontId="31" fillId="6" borderId="17" xfId="5" applyNumberFormat="1" applyFont="1" applyFill="1" applyBorder="1" applyAlignment="1">
      <alignment horizontal="center" wrapText="1"/>
    </xf>
    <xf numFmtId="167" fontId="30" fillId="0" borderId="9" xfId="5" applyNumberFormat="1" applyFont="1" applyBorder="1"/>
    <xf numFmtId="169" fontId="30" fillId="0" borderId="9" xfId="5" applyNumberFormat="1" applyFont="1" applyBorder="1"/>
    <xf numFmtId="44" fontId="30" fillId="0" borderId="9" xfId="4" applyFont="1" applyBorder="1"/>
    <xf numFmtId="168" fontId="30" fillId="0" borderId="9" xfId="5" applyNumberFormat="1" applyFont="1" applyBorder="1" applyAlignment="1">
      <alignment horizontal="right"/>
    </xf>
    <xf numFmtId="44" fontId="30" fillId="0" borderId="9" xfId="4" applyFont="1" applyBorder="1" applyAlignment="1">
      <alignment horizontal="right"/>
    </xf>
    <xf numFmtId="167" fontId="30" fillId="0" borderId="1" xfId="5" applyNumberFormat="1" applyFont="1" applyBorder="1"/>
    <xf numFmtId="169" fontId="30" fillId="0" borderId="1" xfId="5" applyNumberFormat="1" applyFont="1" applyBorder="1"/>
    <xf numFmtId="43" fontId="30" fillId="0" borderId="1" xfId="1" applyFont="1" applyBorder="1"/>
    <xf numFmtId="168" fontId="30" fillId="0" borderId="1" xfId="5" applyNumberFormat="1" applyFont="1" applyBorder="1" applyAlignment="1">
      <alignment horizontal="right"/>
    </xf>
    <xf numFmtId="167" fontId="30" fillId="0" borderId="0" xfId="5" applyNumberFormat="1" applyFont="1"/>
    <xf numFmtId="169" fontId="30" fillId="0" borderId="0" xfId="5" applyNumberFormat="1" applyFont="1"/>
    <xf numFmtId="173" fontId="30" fillId="0" borderId="0" xfId="4" applyNumberFormat="1" applyFont="1"/>
    <xf numFmtId="44" fontId="30" fillId="0" borderId="0" xfId="5" applyNumberFormat="1" applyFont="1"/>
    <xf numFmtId="173" fontId="30" fillId="0" borderId="0" xfId="5" applyNumberFormat="1" applyFont="1"/>
    <xf numFmtId="9" fontId="14" fillId="0" borderId="0" xfId="20" applyNumberFormat="1" applyFont="1"/>
    <xf numFmtId="0" fontId="13" fillId="0" borderId="0" xfId="26" applyFont="1"/>
    <xf numFmtId="0" fontId="14" fillId="0" borderId="0" xfId="26" applyFont="1"/>
    <xf numFmtId="0" fontId="13" fillId="6" borderId="14" xfId="21" applyFont="1" applyFill="1" applyBorder="1" applyAlignment="1">
      <alignment horizontal="center"/>
    </xf>
    <xf numFmtId="0" fontId="13" fillId="6" borderId="13" xfId="21" applyFont="1" applyFill="1" applyBorder="1" applyAlignment="1">
      <alignment horizontal="center"/>
    </xf>
    <xf numFmtId="0" fontId="13" fillId="6" borderId="13" xfId="21" applyFont="1" applyFill="1" applyBorder="1" applyAlignment="1">
      <alignment horizontal="center" wrapText="1"/>
    </xf>
    <xf numFmtId="167" fontId="14" fillId="0" borderId="45" xfId="21" applyNumberFormat="1" applyFont="1" applyBorder="1" applyAlignment="1">
      <alignment shrinkToFit="1"/>
    </xf>
    <xf numFmtId="0" fontId="17" fillId="0" borderId="9" xfId="26" applyFont="1" applyBorder="1" applyAlignment="1">
      <alignment wrapText="1"/>
    </xf>
    <xf numFmtId="164" fontId="14" fillId="3" borderId="9" xfId="24" applyNumberFormat="1" applyFont="1" applyFill="1" applyBorder="1" applyProtection="1"/>
    <xf numFmtId="164" fontId="14" fillId="0" borderId="9" xfId="24" applyNumberFormat="1" applyFont="1" applyFill="1" applyBorder="1"/>
    <xf numFmtId="164" fontId="14" fillId="0" borderId="20" xfId="24" applyNumberFormat="1" applyFont="1" applyFill="1" applyBorder="1"/>
    <xf numFmtId="164" fontId="14" fillId="0" borderId="0" xfId="24" applyNumberFormat="1" applyFont="1"/>
    <xf numFmtId="164" fontId="14" fillId="0" borderId="0" xfId="26" applyNumberFormat="1" applyFont="1"/>
    <xf numFmtId="9" fontId="14" fillId="0" borderId="0" xfId="17" applyFont="1"/>
    <xf numFmtId="167" fontId="14" fillId="0" borderId="23" xfId="21" applyNumberFormat="1" applyFont="1" applyBorder="1" applyAlignment="1">
      <alignment shrinkToFit="1"/>
    </xf>
    <xf numFmtId="0" fontId="17" fillId="0" borderId="1" xfId="26" applyFont="1" applyBorder="1" applyAlignment="1">
      <alignment wrapText="1"/>
    </xf>
    <xf numFmtId="164" fontId="14" fillId="3" borderId="1" xfId="24" applyNumberFormat="1" applyFont="1" applyFill="1" applyBorder="1" applyProtection="1"/>
    <xf numFmtId="164" fontId="14" fillId="0" borderId="25" xfId="24" applyNumberFormat="1" applyFont="1" applyFill="1" applyBorder="1"/>
    <xf numFmtId="167" fontId="14" fillId="0" borderId="27" xfId="21" applyNumberFormat="1" applyFont="1" applyBorder="1" applyAlignment="1">
      <alignment shrinkToFit="1"/>
    </xf>
    <xf numFmtId="0" fontId="17" fillId="0" borderId="32" xfId="26" applyFont="1" applyBorder="1" applyAlignment="1">
      <alignment wrapText="1"/>
    </xf>
    <xf numFmtId="164" fontId="14" fillId="3" borderId="32" xfId="24" applyNumberFormat="1" applyFont="1" applyFill="1" applyBorder="1" applyProtection="1"/>
    <xf numFmtId="164" fontId="14" fillId="0" borderId="29" xfId="24" applyNumberFormat="1" applyFont="1" applyFill="1" applyBorder="1"/>
    <xf numFmtId="0" fontId="13" fillId="0" borderId="0" xfId="26" applyFont="1" applyAlignment="1">
      <alignment horizontal="right"/>
    </xf>
    <xf numFmtId="164" fontId="13" fillId="0" borderId="0" xfId="26" applyNumberFormat="1" applyFont="1"/>
    <xf numFmtId="3" fontId="14" fillId="0" borderId="0" xfId="26" applyNumberFormat="1" applyFont="1"/>
    <xf numFmtId="0" fontId="12" fillId="10" borderId="0" xfId="0" applyFont="1" applyFill="1" applyAlignment="1">
      <alignment horizontal="left"/>
    </xf>
    <xf numFmtId="0" fontId="33" fillId="10" borderId="0" xfId="0" applyFont="1" applyFill="1" applyAlignment="1">
      <alignment horizontal="left"/>
    </xf>
    <xf numFmtId="0" fontId="34" fillId="11" borderId="54" xfId="0" applyFont="1" applyFill="1" applyBorder="1" applyAlignment="1">
      <alignment horizontal="left"/>
    </xf>
    <xf numFmtId="0" fontId="12" fillId="12" borderId="55" xfId="0" applyFont="1" applyFill="1" applyBorder="1" applyAlignment="1">
      <alignment horizontal="left"/>
    </xf>
    <xf numFmtId="180" fontId="12" fillId="12" borderId="55" xfId="0" applyNumberFormat="1" applyFont="1" applyFill="1" applyBorder="1" applyAlignment="1">
      <alignment horizontal="left"/>
    </xf>
    <xf numFmtId="0" fontId="32" fillId="10" borderId="0" xfId="0" applyFont="1" applyFill="1" applyAlignment="1">
      <alignment horizontal="left" wrapText="1"/>
    </xf>
    <xf numFmtId="0" fontId="11" fillId="10" borderId="0" xfId="0" applyFont="1" applyFill="1" applyAlignment="1">
      <alignment horizontal="left"/>
    </xf>
    <xf numFmtId="2" fontId="35" fillId="10" borderId="0" xfId="0" applyNumberFormat="1" applyFont="1" applyFill="1" applyAlignment="1">
      <alignment horizontal="left"/>
    </xf>
    <xf numFmtId="0" fontId="36" fillId="11" borderId="54" xfId="0" applyFont="1" applyFill="1" applyBorder="1" applyAlignment="1">
      <alignment horizontal="center"/>
    </xf>
    <xf numFmtId="0" fontId="36" fillId="11" borderId="54" xfId="0" applyFont="1" applyFill="1" applyBorder="1" applyAlignment="1">
      <alignment horizontal="left"/>
    </xf>
    <xf numFmtId="0" fontId="0" fillId="12" borderId="55" xfId="0" applyFill="1" applyBorder="1" applyAlignment="1">
      <alignment horizontal="center"/>
    </xf>
    <xf numFmtId="0" fontId="0" fillId="12" borderId="55" xfId="0" applyFill="1" applyBorder="1" applyAlignment="1">
      <alignment horizontal="left"/>
    </xf>
    <xf numFmtId="180" fontId="0" fillId="12" borderId="55" xfId="0" applyNumberFormat="1" applyFill="1" applyBorder="1" applyAlignment="1">
      <alignment horizontal="left"/>
    </xf>
    <xf numFmtId="168" fontId="13" fillId="13" borderId="16" xfId="5" applyNumberFormat="1" applyFont="1" applyFill="1" applyBorder="1" applyAlignment="1">
      <alignment horizontal="center" wrapText="1"/>
    </xf>
    <xf numFmtId="1" fontId="13" fillId="13" borderId="16" xfId="5" applyNumberFormat="1" applyFont="1" applyFill="1" applyBorder="1" applyAlignment="1">
      <alignment horizontal="center" wrapText="1"/>
    </xf>
    <xf numFmtId="168" fontId="13" fillId="13" borderId="17" xfId="5" applyNumberFormat="1" applyFont="1" applyFill="1" applyBorder="1" applyAlignment="1">
      <alignment horizontal="center" wrapText="1"/>
    </xf>
    <xf numFmtId="173" fontId="17" fillId="0" borderId="56" xfId="58" applyNumberFormat="1" applyFont="1" applyFill="1" applyBorder="1" applyAlignment="1" applyProtection="1">
      <alignment horizontal="left" wrapText="1"/>
    </xf>
    <xf numFmtId="5" fontId="17" fillId="0" borderId="56" xfId="20" applyNumberFormat="1" applyFont="1" applyBorder="1"/>
    <xf numFmtId="5" fontId="17" fillId="14" borderId="57" xfId="20" applyNumberFormat="1" applyFont="1" applyFill="1" applyBorder="1"/>
    <xf numFmtId="5" fontId="17" fillId="14" borderId="5" xfId="20" applyNumberFormat="1" applyFont="1" applyFill="1" applyBorder="1"/>
    <xf numFmtId="5" fontId="17" fillId="0" borderId="47" xfId="20" applyNumberFormat="1" applyFont="1" applyBorder="1"/>
    <xf numFmtId="10" fontId="19" fillId="0" borderId="9" xfId="20" applyNumberFormat="1" applyFont="1" applyBorder="1"/>
    <xf numFmtId="5" fontId="17" fillId="0" borderId="9" xfId="20" applyNumberFormat="1" applyFont="1" applyBorder="1"/>
    <xf numFmtId="38" fontId="17" fillId="4" borderId="49" xfId="20" applyNumberFormat="1" applyFont="1" applyFill="1" applyBorder="1" applyProtection="1">
      <protection locked="0"/>
    </xf>
    <xf numFmtId="38" fontId="17" fillId="0" borderId="25" xfId="20" applyNumberFormat="1" applyFont="1" applyBorder="1" applyProtection="1">
      <protection locked="0"/>
    </xf>
    <xf numFmtId="164" fontId="17" fillId="0" borderId="25" xfId="59" applyNumberFormat="1" applyFont="1" applyFill="1" applyBorder="1" applyAlignment="1" applyProtection="1">
      <alignment horizontal="left" wrapText="1"/>
    </xf>
    <xf numFmtId="164" fontId="17" fillId="0" borderId="1" xfId="59" applyNumberFormat="1" applyFont="1" applyFill="1" applyBorder="1" applyProtection="1"/>
    <xf numFmtId="38" fontId="17" fillId="4" borderId="56" xfId="20" applyNumberFormat="1" applyFont="1" applyFill="1" applyBorder="1" applyProtection="1">
      <protection locked="0"/>
    </xf>
    <xf numFmtId="0" fontId="17" fillId="0" borderId="24" xfId="20" applyFont="1" applyBorder="1" applyAlignment="1">
      <alignment horizontal="left"/>
    </xf>
    <xf numFmtId="37" fontId="17" fillId="14" borderId="58" xfId="20" applyNumberFormat="1" applyFont="1" applyFill="1" applyBorder="1"/>
    <xf numFmtId="37" fontId="17" fillId="14" borderId="2" xfId="20" applyNumberFormat="1" applyFont="1" applyFill="1" applyBorder="1"/>
    <xf numFmtId="38" fontId="20" fillId="4" borderId="56" xfId="20" applyNumberFormat="1" applyFont="1" applyFill="1" applyBorder="1" applyProtection="1">
      <protection locked="0"/>
    </xf>
    <xf numFmtId="0" fontId="14" fillId="0" borderId="28" xfId="20" applyFont="1" applyBorder="1" applyAlignment="1">
      <alignment horizontal="left" vertical="center" wrapText="1"/>
    </xf>
    <xf numFmtId="164" fontId="14" fillId="0" borderId="29" xfId="59" applyNumberFormat="1" applyFont="1" applyFill="1" applyBorder="1" applyAlignment="1">
      <alignment horizontal="left" vertical="center" wrapText="1"/>
    </xf>
    <xf numFmtId="37" fontId="17" fillId="14" borderId="59" xfId="20" applyNumberFormat="1" applyFont="1" applyFill="1" applyBorder="1"/>
    <xf numFmtId="164" fontId="17" fillId="0" borderId="30" xfId="20" applyNumberFormat="1" applyFont="1" applyBorder="1"/>
    <xf numFmtId="5" fontId="17" fillId="14" borderId="31" xfId="20" applyNumberFormat="1" applyFont="1" applyFill="1" applyBorder="1"/>
    <xf numFmtId="10" fontId="19" fillId="0" borderId="32" xfId="20" applyNumberFormat="1" applyFont="1" applyBorder="1"/>
    <xf numFmtId="7" fontId="17" fillId="0" borderId="32" xfId="20" applyNumberFormat="1" applyFont="1" applyBorder="1"/>
    <xf numFmtId="38" fontId="20" fillId="4" borderId="29" xfId="20" applyNumberFormat="1" applyFont="1" applyFill="1" applyBorder="1" applyProtection="1">
      <protection locked="0"/>
    </xf>
    <xf numFmtId="38" fontId="17" fillId="0" borderId="29" xfId="20" applyNumberFormat="1" applyFont="1" applyBorder="1" applyProtection="1">
      <protection locked="0"/>
    </xf>
    <xf numFmtId="0" fontId="14" fillId="0" borderId="0" xfId="20" applyFont="1" applyAlignment="1">
      <alignment vertical="top"/>
    </xf>
    <xf numFmtId="0" fontId="17" fillId="0" borderId="0" xfId="20" applyFont="1" applyAlignment="1">
      <alignment horizontal="right" vertical="top"/>
    </xf>
    <xf numFmtId="173" fontId="17" fillId="0" borderId="0" xfId="20" applyNumberFormat="1" applyFont="1" applyAlignment="1">
      <alignment vertical="top"/>
    </xf>
    <xf numFmtId="5" fontId="17" fillId="0" borderId="0" xfId="20" applyNumberFormat="1" applyFont="1" applyAlignment="1">
      <alignment vertical="top"/>
    </xf>
    <xf numFmtId="10" fontId="19" fillId="0" borderId="0" xfId="20" applyNumberFormat="1" applyFont="1" applyAlignment="1">
      <alignment vertical="top"/>
    </xf>
    <xf numFmtId="164" fontId="17" fillId="0" borderId="0" xfId="59" applyNumberFormat="1" applyFont="1" applyFill="1" applyBorder="1" applyAlignment="1" applyProtection="1">
      <alignment vertical="top"/>
    </xf>
    <xf numFmtId="37" fontId="17" fillId="0" borderId="0" xfId="20" applyNumberFormat="1" applyFont="1" applyAlignment="1">
      <alignment vertical="top"/>
    </xf>
    <xf numFmtId="9" fontId="13" fillId="13" borderId="1" xfId="60" applyFont="1" applyFill="1" applyBorder="1" applyAlignment="1">
      <alignment horizontal="center" vertical="center" wrapText="1"/>
    </xf>
    <xf numFmtId="164" fontId="17" fillId="0" borderId="20" xfId="59" applyNumberFormat="1" applyFont="1" applyFill="1" applyBorder="1" applyAlignment="1" applyProtection="1">
      <alignment horizontal="left" wrapText="1"/>
    </xf>
    <xf numFmtId="5" fontId="17" fillId="14" borderId="33" xfId="20" applyNumberFormat="1" applyFont="1" applyFill="1" applyBorder="1"/>
    <xf numFmtId="5" fontId="17" fillId="14" borderId="34" xfId="20" applyNumberFormat="1" applyFont="1" applyFill="1" applyBorder="1"/>
    <xf numFmtId="37" fontId="17" fillId="0" borderId="21" xfId="20" applyNumberFormat="1" applyFont="1" applyBorder="1"/>
    <xf numFmtId="5" fontId="17" fillId="14" borderId="22" xfId="20" applyNumberFormat="1" applyFont="1" applyFill="1" applyBorder="1"/>
    <xf numFmtId="10" fontId="19" fillId="0" borderId="22" xfId="20" applyNumberFormat="1" applyFont="1" applyBorder="1"/>
    <xf numFmtId="164" fontId="17" fillId="0" borderId="22" xfId="59" applyNumberFormat="1" applyFont="1" applyFill="1" applyBorder="1" applyProtection="1"/>
    <xf numFmtId="38" fontId="17" fillId="4" borderId="20" xfId="20" applyNumberFormat="1" applyFont="1" applyFill="1" applyBorder="1" applyProtection="1">
      <protection locked="0"/>
    </xf>
    <xf numFmtId="38" fontId="17" fillId="0" borderId="20" xfId="20" applyNumberFormat="1" applyFont="1" applyBorder="1" applyProtection="1">
      <protection locked="0"/>
    </xf>
    <xf numFmtId="44" fontId="12" fillId="0" borderId="35" xfId="58" applyFont="1" applyBorder="1"/>
    <xf numFmtId="173" fontId="12" fillId="0" borderId="35" xfId="58" applyNumberFormat="1" applyFont="1" applyBorder="1"/>
    <xf numFmtId="38" fontId="17" fillId="4" borderId="25" xfId="20" applyNumberFormat="1" applyFont="1" applyFill="1" applyBorder="1" applyProtection="1">
      <protection locked="0"/>
    </xf>
    <xf numFmtId="0" fontId="12" fillId="0" borderId="0" xfId="58" applyNumberFormat="1" applyFont="1" applyBorder="1"/>
    <xf numFmtId="173" fontId="12" fillId="0" borderId="0" xfId="58" applyNumberFormat="1" applyFont="1" applyBorder="1"/>
    <xf numFmtId="0" fontId="12" fillId="0" borderId="49" xfId="58" applyNumberFormat="1" applyFont="1" applyBorder="1"/>
    <xf numFmtId="173" fontId="12" fillId="0" borderId="49" xfId="58" applyNumberFormat="1" applyFont="1" applyBorder="1"/>
    <xf numFmtId="164" fontId="17" fillId="0" borderId="10" xfId="59" applyNumberFormat="1" applyFont="1" applyFill="1" applyBorder="1" applyAlignment="1" applyProtection="1">
      <alignment horizontal="left" wrapText="1"/>
    </xf>
    <xf numFmtId="9" fontId="12" fillId="0" borderId="1" xfId="58" applyNumberFormat="1" applyFont="1" applyBorder="1"/>
    <xf numFmtId="173" fontId="12" fillId="3" borderId="50" xfId="58" applyNumberFormat="1" applyFont="1" applyFill="1" applyBorder="1"/>
    <xf numFmtId="0" fontId="14" fillId="0" borderId="35" xfId="20" applyFont="1" applyBorder="1"/>
    <xf numFmtId="0" fontId="12" fillId="0" borderId="35" xfId="58" applyNumberFormat="1" applyFont="1" applyBorder="1"/>
    <xf numFmtId="9" fontId="12" fillId="0" borderId="9" xfId="58" applyNumberFormat="1" applyFont="1" applyBorder="1"/>
    <xf numFmtId="173" fontId="12" fillId="3" borderId="9" xfId="58" applyNumberFormat="1" applyFont="1" applyFill="1" applyBorder="1"/>
    <xf numFmtId="164" fontId="17" fillId="0" borderId="60" xfId="20" applyNumberFormat="1" applyFont="1" applyBorder="1"/>
    <xf numFmtId="0" fontId="17" fillId="0" borderId="0" xfId="20" quotePrefix="1" applyFont="1" applyAlignment="1">
      <alignment horizontal="right"/>
    </xf>
    <xf numFmtId="173" fontId="17" fillId="0" borderId="0" xfId="20" applyNumberFormat="1" applyFont="1"/>
    <xf numFmtId="164" fontId="17" fillId="0" borderId="0" xfId="59" applyNumberFormat="1" applyFont="1" applyFill="1" applyBorder="1" applyProtection="1"/>
    <xf numFmtId="164" fontId="14" fillId="0" borderId="0" xfId="59" applyNumberFormat="1" applyFont="1" applyFill="1" applyBorder="1" applyProtection="1"/>
    <xf numFmtId="0" fontId="13" fillId="0" borderId="0" xfId="20" applyFont="1" applyAlignment="1">
      <alignment horizontal="center" wrapText="1"/>
    </xf>
    <xf numFmtId="173" fontId="14" fillId="0" borderId="0" xfId="58" applyNumberFormat="1" applyFont="1" applyFill="1" applyBorder="1" applyProtection="1"/>
    <xf numFmtId="182" fontId="17" fillId="0" borderId="0" xfId="58" applyNumberFormat="1" applyFont="1" applyFill="1" applyBorder="1" applyProtection="1"/>
    <xf numFmtId="179" fontId="17" fillId="0" borderId="0" xfId="20" applyNumberFormat="1" applyFont="1"/>
    <xf numFmtId="164" fontId="14" fillId="0" borderId="0" xfId="59" applyNumberFormat="1" applyFont="1"/>
    <xf numFmtId="173" fontId="17" fillId="0" borderId="0" xfId="58" applyNumberFormat="1" applyFont="1" applyFill="1" applyBorder="1" applyAlignment="1" applyProtection="1">
      <alignment horizontal="right"/>
    </xf>
    <xf numFmtId="6" fontId="14" fillId="0" borderId="13" xfId="0" applyNumberFormat="1" applyFont="1" applyBorder="1"/>
    <xf numFmtId="173" fontId="14" fillId="0" borderId="0" xfId="58" applyNumberFormat="1" applyFont="1" applyBorder="1" applyProtection="1"/>
    <xf numFmtId="183" fontId="14" fillId="0" borderId="0" xfId="59" applyNumberFormat="1" applyFont="1" applyBorder="1" applyProtection="1"/>
    <xf numFmtId="0" fontId="13" fillId="0" borderId="18" xfId="20" applyFont="1" applyBorder="1"/>
    <xf numFmtId="181" fontId="17" fillId="8" borderId="22" xfId="20" applyNumberFormat="1" applyFont="1" applyFill="1" applyBorder="1" applyProtection="1">
      <protection locked="0"/>
    </xf>
    <xf numFmtId="0" fontId="17" fillId="0" borderId="34" xfId="20" applyFont="1" applyBorder="1"/>
    <xf numFmtId="0" fontId="14" fillId="0" borderId="20" xfId="20" applyFont="1" applyBorder="1"/>
    <xf numFmtId="171" fontId="14" fillId="0" borderId="21" xfId="20" quotePrefix="1" applyNumberFormat="1" applyFont="1" applyBorder="1" applyAlignment="1">
      <alignment horizontal="center" wrapText="1"/>
    </xf>
    <xf numFmtId="184" fontId="14" fillId="0" borderId="0" xfId="20" applyNumberFormat="1" applyFont="1"/>
    <xf numFmtId="0" fontId="13" fillId="0" borderId="61" xfId="20" applyFont="1" applyBorder="1"/>
    <xf numFmtId="10" fontId="17" fillId="0" borderId="50" xfId="20" applyNumberFormat="1" applyFont="1" applyBorder="1"/>
    <xf numFmtId="10" fontId="17" fillId="4" borderId="50" xfId="20" applyNumberFormat="1" applyFont="1" applyFill="1" applyBorder="1"/>
    <xf numFmtId="10" fontId="14" fillId="0" borderId="50" xfId="20" applyNumberFormat="1" applyFont="1" applyBorder="1"/>
    <xf numFmtId="0" fontId="17" fillId="0" borderId="4" xfId="20" applyFont="1" applyBorder="1"/>
    <xf numFmtId="5" fontId="17" fillId="0" borderId="35" xfId="20" applyNumberFormat="1" applyFont="1" applyBorder="1"/>
    <xf numFmtId="183" fontId="14" fillId="8" borderId="30" xfId="58" applyNumberFormat="1" applyFont="1" applyFill="1" applyBorder="1" applyProtection="1"/>
    <xf numFmtId="183" fontId="14" fillId="0" borderId="30" xfId="58" applyNumberFormat="1" applyFont="1" applyBorder="1" applyProtection="1"/>
    <xf numFmtId="185" fontId="14" fillId="0" borderId="0" xfId="20" applyNumberFormat="1" applyFont="1"/>
    <xf numFmtId="183" fontId="14" fillId="0" borderId="0" xfId="20" applyNumberFormat="1" applyFont="1"/>
    <xf numFmtId="0" fontId="13" fillId="0" borderId="27" xfId="20" applyFont="1" applyBorder="1"/>
    <xf numFmtId="182" fontId="17" fillId="14" borderId="32" xfId="58" applyNumberFormat="1" applyFont="1" applyFill="1" applyBorder="1" applyProtection="1"/>
    <xf numFmtId="10" fontId="17" fillId="0" borderId="31" xfId="20" applyNumberFormat="1" applyFont="1" applyBorder="1"/>
    <xf numFmtId="10" fontId="17" fillId="0" borderId="29" xfId="20" applyNumberFormat="1" applyFont="1" applyBorder="1"/>
    <xf numFmtId="182" fontId="17" fillId="0" borderId="36" xfId="58" applyNumberFormat="1" applyFont="1" applyFill="1" applyBorder="1" applyProtection="1"/>
    <xf numFmtId="10" fontId="14" fillId="0" borderId="31" xfId="20" applyNumberFormat="1" applyFont="1" applyBorder="1"/>
    <xf numFmtId="10" fontId="14" fillId="0" borderId="62" xfId="20" applyNumberFormat="1" applyFont="1" applyBorder="1"/>
    <xf numFmtId="0" fontId="17" fillId="0" borderId="62" xfId="20" applyFont="1" applyBorder="1"/>
    <xf numFmtId="5" fontId="17" fillId="0" borderId="62" xfId="20" applyNumberFormat="1" applyFont="1" applyBorder="1"/>
    <xf numFmtId="183" fontId="14" fillId="0" borderId="29" xfId="58" applyNumberFormat="1" applyFont="1" applyBorder="1" applyProtection="1"/>
    <xf numFmtId="0" fontId="39" fillId="0" borderId="0" xfId="20" quotePrefix="1" applyFont="1" applyAlignment="1">
      <alignment horizontal="left"/>
    </xf>
    <xf numFmtId="10" fontId="17" fillId="0" borderId="0" xfId="20" applyNumberFormat="1" applyFont="1"/>
    <xf numFmtId="10" fontId="14" fillId="0" borderId="0" xfId="20" applyNumberFormat="1" applyFont="1"/>
    <xf numFmtId="183" fontId="14" fillId="0" borderId="0" xfId="58" applyNumberFormat="1" applyFont="1" applyBorder="1" applyProtection="1"/>
    <xf numFmtId="164" fontId="14" fillId="0" borderId="0" xfId="59" applyNumberFormat="1" applyFont="1" applyBorder="1" applyAlignment="1" applyProtection="1"/>
    <xf numFmtId="0" fontId="39" fillId="0" borderId="0" xfId="23" applyFont="1"/>
    <xf numFmtId="0" fontId="39" fillId="0" borderId="0" xfId="20" applyFont="1" applyAlignment="1">
      <alignment horizontal="left" vertical="top"/>
    </xf>
    <xf numFmtId="0" fontId="14" fillId="0" borderId="0" xfId="20" applyFont="1" applyAlignment="1">
      <alignment horizontal="left" vertical="top"/>
    </xf>
    <xf numFmtId="0" fontId="17" fillId="0" borderId="28" xfId="20" applyFont="1" applyBorder="1" applyAlignment="1">
      <alignment horizontal="left" vertical="center" wrapText="1"/>
    </xf>
    <xf numFmtId="164" fontId="17" fillId="0" borderId="29" xfId="59" applyNumberFormat="1" applyFont="1" applyFill="1" applyBorder="1" applyAlignment="1" applyProtection="1">
      <alignment horizontal="left" vertical="center" wrapText="1"/>
    </xf>
    <xf numFmtId="37" fontId="17" fillId="0" borderId="29" xfId="20" applyNumberFormat="1" applyFont="1" applyBorder="1" applyAlignment="1">
      <alignment vertical="center"/>
    </xf>
    <xf numFmtId="5" fontId="17" fillId="14" borderId="59" xfId="20" applyNumberFormat="1" applyFont="1" applyFill="1" applyBorder="1" applyAlignment="1">
      <alignment vertical="center"/>
    </xf>
    <xf numFmtId="5" fontId="17" fillId="14" borderId="31" xfId="20" applyNumberFormat="1" applyFont="1" applyFill="1" applyBorder="1" applyAlignment="1">
      <alignment vertical="center"/>
    </xf>
    <xf numFmtId="37" fontId="17" fillId="0" borderId="30" xfId="20" applyNumberFormat="1" applyFont="1" applyBorder="1" applyAlignment="1">
      <alignment vertical="center"/>
    </xf>
    <xf numFmtId="5" fontId="17" fillId="14" borderId="32" xfId="20" applyNumberFormat="1" applyFont="1" applyFill="1" applyBorder="1" applyAlignment="1">
      <alignment vertical="center"/>
    </xf>
    <xf numFmtId="10" fontId="19" fillId="0" borderId="32" xfId="20" applyNumberFormat="1" applyFont="1" applyBorder="1" applyAlignment="1">
      <alignment vertical="center"/>
    </xf>
    <xf numFmtId="164" fontId="17" fillId="0" borderId="32" xfId="59" applyNumberFormat="1" applyFont="1" applyFill="1" applyBorder="1" applyAlignment="1" applyProtection="1">
      <alignment vertical="center"/>
    </xf>
    <xf numFmtId="38" fontId="17" fillId="4" borderId="29" xfId="20" applyNumberFormat="1" applyFont="1" applyFill="1" applyBorder="1" applyAlignment="1" applyProtection="1">
      <alignment vertical="center"/>
      <protection locked="0"/>
    </xf>
    <xf numFmtId="38" fontId="17" fillId="0" borderId="29" xfId="20" applyNumberFormat="1" applyFont="1" applyBorder="1" applyAlignment="1" applyProtection="1">
      <alignment vertical="center"/>
      <protection locked="0"/>
    </xf>
    <xf numFmtId="0" fontId="14" fillId="0" borderId="0" xfId="20" applyFont="1" applyAlignment="1">
      <alignment vertical="center"/>
    </xf>
    <xf numFmtId="164" fontId="14" fillId="0" borderId="32" xfId="24" applyNumberFormat="1" applyFont="1" applyFill="1" applyBorder="1"/>
    <xf numFmtId="164" fontId="30" fillId="3" borderId="9" xfId="57" applyNumberFormat="1" applyFont="1" applyFill="1" applyBorder="1" applyAlignment="1">
      <alignment horizontal="right"/>
    </xf>
    <xf numFmtId="186" fontId="12" fillId="0" borderId="0" xfId="2" applyNumberFormat="1" applyFont="1"/>
    <xf numFmtId="187" fontId="30" fillId="0" borderId="0" xfId="5" applyNumberFormat="1" applyFont="1" applyAlignment="1">
      <alignment horizontal="right"/>
    </xf>
    <xf numFmtId="43" fontId="30" fillId="0" borderId="9" xfId="4" applyNumberFormat="1" applyFont="1" applyBorder="1"/>
    <xf numFmtId="0" fontId="13" fillId="6" borderId="2" xfId="21" applyFont="1" applyFill="1" applyBorder="1" applyAlignment="1">
      <alignment horizontal="center" wrapText="1"/>
    </xf>
    <xf numFmtId="0" fontId="13" fillId="6" borderId="10" xfId="21" applyFont="1" applyFill="1" applyBorder="1" applyAlignment="1">
      <alignment horizontal="center" wrapText="1"/>
    </xf>
    <xf numFmtId="0" fontId="13" fillId="6" borderId="3" xfId="21" applyFont="1" applyFill="1" applyBorder="1" applyAlignment="1">
      <alignment horizontal="center" wrapText="1"/>
    </xf>
    <xf numFmtId="0" fontId="12" fillId="0" borderId="0" xfId="0" quotePrefix="1" applyFont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13" fillId="0" borderId="0" xfId="21" applyFont="1" applyAlignment="1">
      <alignment horizontal="center" wrapText="1"/>
    </xf>
    <xf numFmtId="167" fontId="13" fillId="6" borderId="51" xfId="5" applyNumberFormat="1" applyFont="1" applyFill="1" applyBorder="1" applyAlignment="1">
      <alignment horizontal="center" wrapText="1"/>
    </xf>
    <xf numFmtId="167" fontId="13" fillId="6" borderId="52" xfId="5" applyNumberFormat="1" applyFont="1" applyFill="1" applyBorder="1" applyAlignment="1">
      <alignment horizontal="center" wrapText="1"/>
    </xf>
    <xf numFmtId="0" fontId="14" fillId="0" borderId="2" xfId="11" applyFont="1" applyBorder="1" applyAlignment="1">
      <alignment horizontal="left" wrapText="1"/>
    </xf>
    <xf numFmtId="0" fontId="14" fillId="0" borderId="3" xfId="11" applyFont="1" applyBorder="1" applyAlignment="1">
      <alignment horizontal="left" wrapText="1"/>
    </xf>
    <xf numFmtId="0" fontId="14" fillId="0" borderId="34" xfId="11" applyFont="1" applyBorder="1" applyAlignment="1">
      <alignment horizontal="left" wrapText="1"/>
    </xf>
    <xf numFmtId="0" fontId="14" fillId="0" borderId="39" xfId="11" applyFont="1" applyBorder="1" applyAlignment="1">
      <alignment horizontal="left" wrapText="1"/>
    </xf>
    <xf numFmtId="0" fontId="14" fillId="0" borderId="31" xfId="11" applyFont="1" applyBorder="1" applyAlignment="1">
      <alignment horizontal="left" wrapText="1"/>
    </xf>
    <xf numFmtId="0" fontId="14" fillId="0" borderId="36" xfId="11" applyFont="1" applyBorder="1" applyAlignment="1">
      <alignment horizontal="left" wrapText="1"/>
    </xf>
    <xf numFmtId="168" fontId="13" fillId="13" borderId="11" xfId="5" applyNumberFormat="1" applyFont="1" applyFill="1" applyBorder="1" applyAlignment="1">
      <alignment horizontal="center" wrapText="1"/>
    </xf>
    <xf numFmtId="168" fontId="13" fillId="13" borderId="52" xfId="5" applyNumberFormat="1" applyFont="1" applyFill="1" applyBorder="1" applyAlignment="1">
      <alignment horizontal="center" wrapText="1"/>
    </xf>
    <xf numFmtId="0" fontId="39" fillId="0" borderId="0" xfId="20" applyFont="1" applyAlignment="1">
      <alignment horizontal="left" vertical="top" wrapText="1"/>
    </xf>
    <xf numFmtId="0" fontId="0" fillId="0" borderId="0" xfId="0" applyAlignment="1">
      <alignment wrapText="1"/>
    </xf>
    <xf numFmtId="5" fontId="22" fillId="7" borderId="41" xfId="20" applyNumberFormat="1" applyFont="1" applyFill="1" applyBorder="1" applyAlignment="1">
      <alignment horizontal="center" wrapText="1"/>
    </xf>
    <xf numFmtId="5" fontId="22" fillId="7" borderId="44" xfId="20" applyNumberFormat="1" applyFont="1" applyFill="1" applyBorder="1" applyAlignment="1">
      <alignment horizontal="center" wrapText="1"/>
    </xf>
    <xf numFmtId="0" fontId="22" fillId="7" borderId="37" xfId="20" applyFont="1" applyFill="1" applyBorder="1" applyAlignment="1">
      <alignment horizontal="center" wrapText="1"/>
    </xf>
    <xf numFmtId="0" fontId="22" fillId="7" borderId="38" xfId="20" applyFont="1" applyFill="1" applyBorder="1" applyAlignment="1">
      <alignment horizontal="center" wrapText="1"/>
    </xf>
    <xf numFmtId="0" fontId="22" fillId="7" borderId="42" xfId="20" applyFont="1" applyFill="1" applyBorder="1" applyAlignment="1">
      <alignment horizontal="center" wrapText="1"/>
    </xf>
    <xf numFmtId="0" fontId="22" fillId="7" borderId="43" xfId="20" applyFont="1" applyFill="1" applyBorder="1" applyAlignment="1">
      <alignment horizontal="center" wrapText="1"/>
    </xf>
    <xf numFmtId="0" fontId="22" fillId="7" borderId="39" xfId="20" applyFont="1" applyFill="1" applyBorder="1" applyAlignment="1">
      <alignment horizontal="center" wrapText="1"/>
    </xf>
    <xf numFmtId="0" fontId="22" fillId="7" borderId="22" xfId="20" applyFont="1" applyFill="1" applyBorder="1" applyAlignment="1">
      <alignment horizontal="center" wrapText="1"/>
    </xf>
    <xf numFmtId="0" fontId="22" fillId="7" borderId="19" xfId="20" applyFont="1" applyFill="1" applyBorder="1" applyAlignment="1">
      <alignment horizontal="center" wrapText="1"/>
    </xf>
    <xf numFmtId="0" fontId="22" fillId="7" borderId="18" xfId="20" applyFont="1" applyFill="1" applyBorder="1" applyAlignment="1">
      <alignment horizontal="center" wrapText="1"/>
    </xf>
    <xf numFmtId="0" fontId="22" fillId="7" borderId="33" xfId="20" applyFont="1" applyFill="1" applyBorder="1" applyAlignment="1">
      <alignment horizontal="center" wrapText="1"/>
    </xf>
    <xf numFmtId="0" fontId="22" fillId="7" borderId="40" xfId="20" applyFont="1" applyFill="1" applyBorder="1" applyAlignment="1">
      <alignment horizontal="center" wrapText="1"/>
    </xf>
    <xf numFmtId="0" fontId="22" fillId="7" borderId="20" xfId="20" applyFont="1" applyFill="1" applyBorder="1" applyAlignment="1">
      <alignment horizontal="center" wrapText="1"/>
    </xf>
    <xf numFmtId="5" fontId="22" fillId="7" borderId="33" xfId="20" applyNumberFormat="1" applyFont="1" applyFill="1" applyBorder="1" applyAlignment="1" applyProtection="1">
      <alignment horizontal="center" wrapText="1"/>
      <protection locked="0"/>
    </xf>
    <xf numFmtId="5" fontId="22" fillId="7" borderId="20" xfId="20" applyNumberFormat="1" applyFont="1" applyFill="1" applyBorder="1" applyAlignment="1" applyProtection="1">
      <alignment horizontal="center" wrapText="1"/>
      <protection locked="0"/>
    </xf>
    <xf numFmtId="5" fontId="22" fillId="7" borderId="11" xfId="20" applyNumberFormat="1" applyFont="1" applyFill="1" applyBorder="1" applyAlignment="1" applyProtection="1">
      <alignment horizontal="center" wrapText="1"/>
      <protection locked="0"/>
    </xf>
    <xf numFmtId="5" fontId="22" fillId="7" borderId="12" xfId="20" applyNumberFormat="1" applyFont="1" applyFill="1" applyBorder="1" applyAlignment="1" applyProtection="1">
      <alignment horizontal="center" wrapText="1"/>
      <protection locked="0"/>
    </xf>
    <xf numFmtId="0" fontId="22" fillId="7" borderId="41" xfId="20" applyFont="1" applyFill="1" applyBorder="1" applyAlignment="1">
      <alignment horizontal="center" wrapText="1"/>
    </xf>
    <xf numFmtId="0" fontId="22" fillId="7" borderId="44" xfId="20" applyFont="1" applyFill="1" applyBorder="1" applyAlignment="1">
      <alignment horizontal="center" wrapText="1"/>
    </xf>
    <xf numFmtId="0" fontId="14" fillId="0" borderId="0" xfId="38" applyFont="1" applyAlignment="1">
      <alignment vertical="center" wrapText="1"/>
    </xf>
    <xf numFmtId="0" fontId="27" fillId="0" borderId="0" xfId="0" applyFont="1" applyAlignment="1">
      <alignment vertical="center" wrapText="1"/>
    </xf>
    <xf numFmtId="0" fontId="13" fillId="0" borderId="0" xfId="21" applyFont="1" applyAlignment="1">
      <alignment horizontal="left"/>
    </xf>
    <xf numFmtId="0" fontId="13" fillId="0" borderId="53" xfId="21" applyFont="1" applyBorder="1" applyAlignment="1">
      <alignment horizontal="left"/>
    </xf>
    <xf numFmtId="0" fontId="13" fillId="6" borderId="18" xfId="21" applyFont="1" applyFill="1" applyBorder="1" applyAlignment="1">
      <alignment horizontal="center"/>
    </xf>
    <xf numFmtId="0" fontId="13" fillId="6" borderId="22" xfId="21" applyFont="1" applyFill="1" applyBorder="1" applyAlignment="1">
      <alignment horizontal="center"/>
    </xf>
    <xf numFmtId="0" fontId="13" fillId="6" borderId="19" xfId="21" applyFont="1" applyFill="1" applyBorder="1" applyAlignment="1">
      <alignment horizontal="center"/>
    </xf>
    <xf numFmtId="0" fontId="13" fillId="6" borderId="23" xfId="21" applyFont="1" applyFill="1" applyBorder="1" applyAlignment="1">
      <alignment horizontal="center"/>
    </xf>
    <xf numFmtId="0" fontId="13" fillId="6" borderId="34" xfId="21" applyFont="1" applyFill="1" applyBorder="1" applyAlignment="1">
      <alignment horizontal="center"/>
    </xf>
    <xf numFmtId="0" fontId="13" fillId="6" borderId="2" xfId="21" applyFont="1" applyFill="1" applyBorder="1" applyAlignment="1">
      <alignment horizontal="center"/>
    </xf>
    <xf numFmtId="0" fontId="13" fillId="6" borderId="39" xfId="21" applyFont="1" applyFill="1" applyBorder="1" applyAlignment="1">
      <alignment horizontal="center"/>
    </xf>
    <xf numFmtId="0" fontId="32" fillId="10" borderId="0" xfId="0" applyFont="1" applyFill="1" applyAlignment="1">
      <alignment horizontal="left" wrapText="1"/>
    </xf>
  </cellXfs>
  <cellStyles count="61">
    <cellStyle name="Comma" xfId="1" builtinId="3"/>
    <cellStyle name="Comma 10" xfId="59" xr:uid="{1F57E5B0-D67D-4CE3-B54E-166AC81CC75F}"/>
    <cellStyle name="Comma 2" xfId="7" xr:uid="{00000000-0005-0000-0000-000001000000}"/>
    <cellStyle name="Comma 2 2" xfId="27" xr:uid="{00000000-0005-0000-0000-000002000000}"/>
    <cellStyle name="Comma 2 3" xfId="57" xr:uid="{00000000-0005-0000-0000-000003000000}"/>
    <cellStyle name="Comma 3" xfId="8" xr:uid="{00000000-0005-0000-0000-000004000000}"/>
    <cellStyle name="Comma 3 2" xfId="24" xr:uid="{00000000-0005-0000-0000-000005000000}"/>
    <cellStyle name="Comma 4" xfId="9" xr:uid="{00000000-0005-0000-0000-000006000000}"/>
    <cellStyle name="Comma 5" xfId="10" xr:uid="{00000000-0005-0000-0000-000007000000}"/>
    <cellStyle name="Comma 6" xfId="6" xr:uid="{00000000-0005-0000-0000-000008000000}"/>
    <cellStyle name="Comma 8" xfId="56" xr:uid="{00000000-0005-0000-0000-000009000000}"/>
    <cellStyle name="Comma0" xfId="28" xr:uid="{00000000-0005-0000-0000-00000A000000}"/>
    <cellStyle name="Comma0 2" xfId="29" xr:uid="{00000000-0005-0000-0000-00000B000000}"/>
    <cellStyle name="Currency" xfId="4" builtinId="4"/>
    <cellStyle name="Currency 10" xfId="58" xr:uid="{4124FEBC-D206-473E-B7FA-6AC9830270A5}"/>
    <cellStyle name="Currency 2" xfId="22" xr:uid="{00000000-0005-0000-0000-00000D000000}"/>
    <cellStyle name="Currency 2 2" xfId="30" xr:uid="{00000000-0005-0000-0000-00000E000000}"/>
    <cellStyle name="Currency 3" xfId="31" xr:uid="{00000000-0005-0000-0000-00000F000000}"/>
    <cellStyle name="Currency 3 2" xfId="32" xr:uid="{00000000-0005-0000-0000-000010000000}"/>
    <cellStyle name="Currency 4" xfId="33" xr:uid="{00000000-0005-0000-0000-000011000000}"/>
    <cellStyle name="Normal" xfId="0" builtinId="0"/>
    <cellStyle name="Normal 10" xfId="34" xr:uid="{00000000-0005-0000-0000-000013000000}"/>
    <cellStyle name="Normal 10 2" xfId="35" xr:uid="{00000000-0005-0000-0000-000014000000}"/>
    <cellStyle name="Normal 10 3" xfId="54" xr:uid="{00000000-0005-0000-0000-000015000000}"/>
    <cellStyle name="Normal 11" xfId="36" xr:uid="{00000000-0005-0000-0000-000016000000}"/>
    <cellStyle name="Normal 12" xfId="37" xr:uid="{00000000-0005-0000-0000-000017000000}"/>
    <cellStyle name="Normal 2" xfId="3" xr:uid="{00000000-0005-0000-0000-000018000000}"/>
    <cellStyle name="Normal 2 10" xfId="38" xr:uid="{00000000-0005-0000-0000-000019000000}"/>
    <cellStyle name="Normal 2 11" xfId="39" xr:uid="{00000000-0005-0000-0000-00001A000000}"/>
    <cellStyle name="Normal 2 12" xfId="40" xr:uid="{00000000-0005-0000-0000-00001B000000}"/>
    <cellStyle name="Normal 2 13" xfId="41" xr:uid="{00000000-0005-0000-0000-00001C000000}"/>
    <cellStyle name="Normal 2 14" xfId="55" xr:uid="{00000000-0005-0000-0000-00001D000000}"/>
    <cellStyle name="Normal 2 2" xfId="11" xr:uid="{00000000-0005-0000-0000-00001E000000}"/>
    <cellStyle name="Normal 2 3" xfId="26" xr:uid="{00000000-0005-0000-0000-00001F000000}"/>
    <cellStyle name="Normal 2 4" xfId="42" xr:uid="{00000000-0005-0000-0000-000020000000}"/>
    <cellStyle name="Normal 2 5" xfId="43" xr:uid="{00000000-0005-0000-0000-000021000000}"/>
    <cellStyle name="Normal 2 6" xfId="44" xr:uid="{00000000-0005-0000-0000-000022000000}"/>
    <cellStyle name="Normal 2 7" xfId="45" xr:uid="{00000000-0005-0000-0000-000023000000}"/>
    <cellStyle name="Normal 2 8" xfId="46" xr:uid="{00000000-0005-0000-0000-000024000000}"/>
    <cellStyle name="Normal 2 9" xfId="47" xr:uid="{00000000-0005-0000-0000-000025000000}"/>
    <cellStyle name="Normal 3" xfId="12" xr:uid="{00000000-0005-0000-0000-000026000000}"/>
    <cellStyle name="Normal 3 2" xfId="48" xr:uid="{00000000-0005-0000-0000-000027000000}"/>
    <cellStyle name="Normal 3 3" xfId="49" xr:uid="{00000000-0005-0000-0000-000028000000}"/>
    <cellStyle name="Normal 4" xfId="13" xr:uid="{00000000-0005-0000-0000-000029000000}"/>
    <cellStyle name="Normal 4 2" xfId="50" xr:uid="{00000000-0005-0000-0000-00002A000000}"/>
    <cellStyle name="Normal 5" xfId="14" xr:uid="{00000000-0005-0000-0000-00002B000000}"/>
    <cellStyle name="Normal 5 2" xfId="20" xr:uid="{00000000-0005-0000-0000-00002C000000}"/>
    <cellStyle name="Normal 6" xfId="15" xr:uid="{00000000-0005-0000-0000-00002D000000}"/>
    <cellStyle name="Normal 7" xfId="5" xr:uid="{00000000-0005-0000-0000-00002E000000}"/>
    <cellStyle name="Normal 8" xfId="16" xr:uid="{00000000-0005-0000-0000-00002F000000}"/>
    <cellStyle name="Normal 9" xfId="51" xr:uid="{00000000-0005-0000-0000-000030000000}"/>
    <cellStyle name="Normal_AttchGrework" xfId="23" xr:uid="{00000000-0005-0000-0000-000031000000}"/>
    <cellStyle name="Normal_IONov04final113004Jefffinalnovassample" xfId="21" xr:uid="{00000000-0005-0000-0000-000032000000}"/>
    <cellStyle name="Percent" xfId="2" builtinId="5"/>
    <cellStyle name="Percent 10" xfId="60" xr:uid="{9D030A24-CB9A-4FBC-8D13-C124A9454BC9}"/>
    <cellStyle name="Percent 2" xfId="17" xr:uid="{00000000-0005-0000-0000-000034000000}"/>
    <cellStyle name="Percent 2 2" xfId="52" xr:uid="{00000000-0005-0000-0000-000035000000}"/>
    <cellStyle name="Percent 3" xfId="18" xr:uid="{00000000-0005-0000-0000-000036000000}"/>
    <cellStyle name="Percent 3 2" xfId="25" xr:uid="{00000000-0005-0000-0000-000037000000}"/>
    <cellStyle name="Percent 4" xfId="19" xr:uid="{00000000-0005-0000-0000-000038000000}"/>
    <cellStyle name="Percent 5" xfId="53" xr:uid="{00000000-0005-0000-0000-000039000000}"/>
  </cellStyles>
  <dxfs count="58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outlinePr summaryRight="0"/>
  </sheetPr>
  <dimension ref="A1:AB69"/>
  <sheetViews>
    <sheetView showGridLines="0" tabSelected="1" zoomScale="70" zoomScaleNormal="70" workbookViewId="0">
      <pane xSplit="2" ySplit="4" topLeftCell="C5" activePane="bottomRight" state="frozen"/>
      <selection activeCell="J27" sqref="J27"/>
      <selection pane="topRight" activeCell="J27" sqref="J27"/>
      <selection pane="bottomLeft" activeCell="J27" sqref="J27"/>
      <selection pane="bottomRight" activeCell="A4" sqref="A4"/>
    </sheetView>
  </sheetViews>
  <sheetFormatPr defaultColWidth="9.109375" defaultRowHeight="19.2" outlineLevelRow="2" outlineLevelCol="1" x14ac:dyDescent="0.55000000000000004"/>
  <cols>
    <col min="1" max="1" width="8.33203125" style="123" customWidth="1"/>
    <col min="2" max="2" width="18.5546875" style="123" customWidth="1"/>
    <col min="3" max="3" width="17.109375" style="123" customWidth="1"/>
    <col min="4" max="4" width="16.6640625" style="123" customWidth="1"/>
    <col min="5" max="5" width="14.5546875" style="123" bestFit="1" customWidth="1"/>
    <col min="6" max="6" width="10.21875" style="123" customWidth="1"/>
    <col min="7" max="7" width="2.44140625" style="123" customWidth="1"/>
    <col min="8" max="14" width="16" style="123" customWidth="1"/>
    <col min="15" max="15" width="2.44140625" style="123" customWidth="1" outlineLevel="1"/>
    <col min="16" max="17" width="14.5546875" style="123" customWidth="1" outlineLevel="1"/>
    <col min="18" max="19" width="15.5546875" style="123" customWidth="1" outlineLevel="1"/>
    <col min="20" max="20" width="14.6640625" style="123" customWidth="1" outlineLevel="1"/>
    <col min="21" max="21" width="15" style="123" customWidth="1" outlineLevel="1"/>
    <col min="22" max="22" width="14.5546875" style="123" customWidth="1" outlineLevel="1"/>
    <col min="23" max="23" width="10.33203125" style="123" customWidth="1" outlineLevel="1"/>
    <col min="24" max="24" width="2.109375" style="123" customWidth="1"/>
    <col min="25" max="26" width="15.6640625" style="123" bestFit="1" customWidth="1"/>
    <col min="27" max="27" width="12.5546875" style="123" bestFit="1" customWidth="1"/>
    <col min="28" max="28" width="9.5546875" style="123" bestFit="1" customWidth="1"/>
    <col min="29" max="16384" width="9.109375" style="123"/>
  </cols>
  <sheetData>
    <row r="1" spans="1:28" x14ac:dyDescent="0.55000000000000004">
      <c r="A1" s="162" t="str">
        <f>"State Colleges Basis for Legislative Appropriations - "&amp;TEXT(F1,"@@@@")&amp;"-"&amp;TEXT(F1+1,"@@@@")</f>
        <v>State Colleges Basis for Legislative Appropriations - 2026-2027</v>
      </c>
      <c r="F1" s="163">
        <v>2026</v>
      </c>
      <c r="H1" s="123" t="s">
        <v>134</v>
      </c>
      <c r="K1" s="123" t="s">
        <v>134</v>
      </c>
    </row>
    <row r="2" spans="1:28" x14ac:dyDescent="0.55000000000000004">
      <c r="A2" s="164" t="s">
        <v>18</v>
      </c>
    </row>
    <row r="3" spans="1:28" ht="20.399999999999999" customHeight="1" x14ac:dyDescent="0.55000000000000004">
      <c r="A3" s="164"/>
      <c r="C3" s="389" t="s">
        <v>260</v>
      </c>
      <c r="D3" s="390"/>
      <c r="E3" s="390"/>
      <c r="F3" s="391"/>
      <c r="H3" s="389" t="s">
        <v>260</v>
      </c>
      <c r="I3" s="390"/>
      <c r="J3" s="390"/>
      <c r="K3" s="390"/>
      <c r="L3" s="390"/>
      <c r="M3" s="390"/>
      <c r="N3" s="391"/>
      <c r="P3" s="389" t="s">
        <v>137</v>
      </c>
      <c r="Q3" s="390"/>
      <c r="R3" s="390"/>
      <c r="S3" s="390"/>
      <c r="T3" s="390"/>
      <c r="U3" s="390"/>
      <c r="V3" s="390"/>
      <c r="W3" s="391"/>
      <c r="Y3" s="389" t="s">
        <v>138</v>
      </c>
      <c r="Z3" s="390"/>
      <c r="AA3" s="390"/>
      <c r="AB3" s="391"/>
    </row>
    <row r="4" spans="1:28" ht="76.8" x14ac:dyDescent="0.55000000000000004">
      <c r="A4" s="124" t="s">
        <v>2</v>
      </c>
      <c r="B4" s="124" t="s">
        <v>0</v>
      </c>
      <c r="C4" s="124" t="str">
        <f>"All Funds Appropriation "&amp;TEXT(F1-2,"@@@@")&amp;"-"&amp;TEXT(F1-1,"@@@@")</f>
        <v>All Funds Appropriation 2024-2025</v>
      </c>
      <c r="D4" s="124" t="str">
        <f>" All Funds Appropriation "&amp;TEXT(F1,"@@@@")&amp;"-"&amp;TEXT(F1+1,"@@@@")</f>
        <v xml:space="preserve"> All Funds Appropriation 2026-2027</v>
      </c>
      <c r="E4" s="124" t="s">
        <v>136</v>
      </c>
      <c r="F4" s="124" t="s">
        <v>20</v>
      </c>
      <c r="H4" s="124" t="str">
        <f>"All Funds Appropriation -"&amp;TEXT(F1,"@@@@")</f>
        <v>All Funds Appropriation -2026</v>
      </c>
      <c r="I4" s="124" t="s">
        <v>278</v>
      </c>
      <c r="J4" s="124" t="s">
        <v>279</v>
      </c>
      <c r="K4" s="124" t="str">
        <f>"All Funds Appropriation -"&amp;TEXT(F1+1,"@@@@")</f>
        <v>All Funds Appropriation -2027</v>
      </c>
      <c r="L4" s="124" t="s">
        <v>280</v>
      </c>
      <c r="M4" s="124" t="s">
        <v>281</v>
      </c>
      <c r="N4" s="124" t="str">
        <f>"Total All Funds Appropriation "&amp;TEXT(F1,"@@@@")&amp;"-"&amp;TEXT(F1+1,"@@@@")</f>
        <v>Total All Funds Appropriation 2026-2027</v>
      </c>
      <c r="P4" s="124" t="str">
        <f>"General Revenue - "&amp;TEXT(F1,"@@@@")</f>
        <v>General Revenue - 2026</v>
      </c>
      <c r="Q4" s="124" t="str">
        <f>"General Revenue - "&amp;TEXT(F1+1,"@@@@")</f>
        <v>General Revenue - 2027</v>
      </c>
      <c r="R4" s="124" t="str">
        <f>"General Revenue Dedicated - "&amp;TEXT(F1,"@@@@")</f>
        <v>General Revenue Dedicated - 2026</v>
      </c>
      <c r="S4" s="124" t="str">
        <f>"General Revenue Dedicated - "&amp;TEXT(F1+1,"@@@@")</f>
        <v>General Revenue Dedicated - 2027</v>
      </c>
      <c r="T4" s="124" t="str">
        <f>"All Funds Total - "&amp;TEXT(F1,"@@@@")</f>
        <v>All Funds Total - 2026</v>
      </c>
      <c r="U4" s="124" t="str">
        <f>"All Funds Total - "&amp;TEXT(F1+1,"@@@@")</f>
        <v>All Funds Total - 2027</v>
      </c>
      <c r="V4" s="124" t="s">
        <v>19</v>
      </c>
      <c r="W4" s="124" t="s">
        <v>20</v>
      </c>
      <c r="Y4" s="165" t="s">
        <v>140</v>
      </c>
      <c r="Z4" s="165" t="s">
        <v>158</v>
      </c>
      <c r="AA4" s="165" t="s">
        <v>19</v>
      </c>
      <c r="AB4" s="165" t="s">
        <v>20</v>
      </c>
    </row>
    <row r="5" spans="1:28" ht="28.5" customHeight="1" x14ac:dyDescent="0.55000000000000004">
      <c r="A5" s="389" t="s">
        <v>1</v>
      </c>
      <c r="B5" s="390"/>
      <c r="C5" s="390"/>
      <c r="D5" s="390"/>
      <c r="E5" s="390"/>
      <c r="F5" s="391"/>
      <c r="H5" s="389" t="str">
        <f>A5</f>
        <v>Total</v>
      </c>
      <c r="I5" s="390"/>
      <c r="J5" s="390"/>
      <c r="K5" s="390"/>
      <c r="L5" s="390"/>
      <c r="M5" s="390"/>
      <c r="N5" s="391"/>
      <c r="P5" s="389" t="s">
        <v>51</v>
      </c>
      <c r="Q5" s="390"/>
      <c r="R5" s="390"/>
      <c r="S5" s="390"/>
      <c r="T5" s="390"/>
      <c r="U5" s="390"/>
      <c r="V5" s="390"/>
      <c r="W5" s="391"/>
      <c r="Y5" s="394"/>
      <c r="Z5" s="394"/>
      <c r="AA5" s="394"/>
      <c r="AB5" s="394"/>
    </row>
    <row r="6" spans="1:28" x14ac:dyDescent="0.55000000000000004">
      <c r="A6" s="166" t="s">
        <v>55</v>
      </c>
      <c r="B6" s="167" t="s">
        <v>52</v>
      </c>
      <c r="C6" s="168">
        <f>C12+C30+C36</f>
        <v>41279460.285281092</v>
      </c>
      <c r="D6" s="168">
        <f>D12+D30+D36</f>
        <v>47966280</v>
      </c>
      <c r="E6" s="168">
        <f>D6-C6</f>
        <v>6686819.7147189081</v>
      </c>
      <c r="F6" s="169">
        <f>E6/C6</f>
        <v>0.16198902961682399</v>
      </c>
      <c r="G6" s="170"/>
      <c r="H6" s="168">
        <f t="shared" ref="H6:L6" si="0">H12+H30+H36</f>
        <v>23983140</v>
      </c>
      <c r="I6" s="168">
        <f t="shared" si="0"/>
        <v>23725046</v>
      </c>
      <c r="J6" s="168">
        <f t="shared" si="0"/>
        <v>258094</v>
      </c>
      <c r="K6" s="168">
        <f t="shared" si="0"/>
        <v>23983140</v>
      </c>
      <c r="L6" s="168">
        <f t="shared" si="0"/>
        <v>23727127</v>
      </c>
      <c r="M6" s="168">
        <f>M12+M30+M36</f>
        <v>256013</v>
      </c>
      <c r="N6" s="168">
        <f>H6+K6</f>
        <v>47966280</v>
      </c>
      <c r="O6" s="170"/>
      <c r="P6" s="168">
        <f>P12+P30+P36</f>
        <v>23758499.366969112</v>
      </c>
      <c r="Q6" s="168">
        <f t="shared" ref="P6:U8" si="1">Q12+Q30+Q36</f>
        <v>23760580.266969115</v>
      </c>
      <c r="R6" s="168">
        <f t="shared" si="1"/>
        <v>258094.2</v>
      </c>
      <c r="S6" s="168">
        <f t="shared" si="1"/>
        <v>256013.30000000002</v>
      </c>
      <c r="T6" s="168">
        <f>T12+T30+T36</f>
        <v>24016593.566969115</v>
      </c>
      <c r="U6" s="168">
        <f>U12+U30+U36</f>
        <v>24016593.566969115</v>
      </c>
      <c r="V6" s="168">
        <f>N6-SUM(T6:U6)</f>
        <v>-66907.133938230574</v>
      </c>
      <c r="W6" s="169">
        <f>V6/N6</f>
        <v>-1.3948785258775659E-3</v>
      </c>
    </row>
    <row r="7" spans="1:28" x14ac:dyDescent="0.55000000000000004">
      <c r="A7" s="166" t="s">
        <v>56</v>
      </c>
      <c r="B7" s="167" t="s">
        <v>53</v>
      </c>
      <c r="C7" s="168">
        <f t="shared" ref="C7:C8" si="2">C13+C31+C37</f>
        <v>23269387.077170376</v>
      </c>
      <c r="D7" s="168">
        <f>D13+D31+D37</f>
        <v>32008452</v>
      </c>
      <c r="E7" s="168">
        <f t="shared" ref="E7:E8" si="3">D7-C7</f>
        <v>8739064.9228296243</v>
      </c>
      <c r="F7" s="169">
        <f t="shared" ref="F7:F9" si="4">E7/C7</f>
        <v>0.37556059787253837</v>
      </c>
      <c r="G7" s="170"/>
      <c r="H7" s="168">
        <f t="shared" ref="H7:K7" si="5">H13+H31+H37</f>
        <v>16004226</v>
      </c>
      <c r="I7" s="168">
        <f t="shared" si="5"/>
        <v>15871455</v>
      </c>
      <c r="J7" s="168">
        <f t="shared" si="5"/>
        <v>132771</v>
      </c>
      <c r="K7" s="168">
        <f t="shared" si="5"/>
        <v>16004226</v>
      </c>
      <c r="L7" s="168">
        <f t="shared" ref="L7:M7" si="6">L13+L31+L37</f>
        <v>15872863</v>
      </c>
      <c r="M7" s="168">
        <f t="shared" si="6"/>
        <v>131363</v>
      </c>
      <c r="N7" s="168">
        <f t="shared" ref="N7:N8" si="7">H7+K7</f>
        <v>32008452</v>
      </c>
      <c r="O7" s="170"/>
      <c r="P7" s="168">
        <f t="shared" si="1"/>
        <v>15668546.029433602</v>
      </c>
      <c r="Q7" s="168">
        <f t="shared" si="1"/>
        <v>15669954.229433602</v>
      </c>
      <c r="R7" s="168">
        <f t="shared" si="1"/>
        <v>132685.80000000002</v>
      </c>
      <c r="S7" s="168">
        <f t="shared" si="1"/>
        <v>131277.6</v>
      </c>
      <c r="T7" s="168">
        <f t="shared" si="1"/>
        <v>15801231.829433601</v>
      </c>
      <c r="U7" s="168">
        <f t="shared" si="1"/>
        <v>15801231.829433601</v>
      </c>
      <c r="V7" s="168">
        <f t="shared" ref="V7" si="8">N7-SUM(T7:U7)</f>
        <v>405988.3411327973</v>
      </c>
      <c r="W7" s="169">
        <f t="shared" ref="W7:W9" si="9">V7/N7</f>
        <v>1.2683785555540058E-2</v>
      </c>
    </row>
    <row r="8" spans="1:28" x14ac:dyDescent="0.55000000000000004">
      <c r="A8" s="166" t="s">
        <v>57</v>
      </c>
      <c r="B8" s="167" t="s">
        <v>54</v>
      </c>
      <c r="C8" s="168">
        <f t="shared" si="2"/>
        <v>25066926.181514632</v>
      </c>
      <c r="D8" s="168">
        <f>D14+D32+D38</f>
        <v>40387462</v>
      </c>
      <c r="E8" s="168">
        <f t="shared" si="3"/>
        <v>15320535.818485368</v>
      </c>
      <c r="F8" s="169">
        <f t="shared" si="4"/>
        <v>0.61118526091098291</v>
      </c>
      <c r="G8" s="170"/>
      <c r="H8" s="168">
        <f t="shared" ref="H8:K8" si="10">H14+H32+H38</f>
        <v>20193731</v>
      </c>
      <c r="I8" s="168">
        <f t="shared" si="10"/>
        <v>20049816</v>
      </c>
      <c r="J8" s="168">
        <f t="shared" si="10"/>
        <v>143915</v>
      </c>
      <c r="K8" s="168">
        <f t="shared" si="10"/>
        <v>20193731</v>
      </c>
      <c r="L8" s="168">
        <f t="shared" ref="L8:M8" si="11">L14+L32+L38</f>
        <v>20051699</v>
      </c>
      <c r="M8" s="168">
        <f t="shared" si="11"/>
        <v>142032</v>
      </c>
      <c r="N8" s="168">
        <f t="shared" si="7"/>
        <v>40387462</v>
      </c>
      <c r="O8" s="170"/>
      <c r="P8" s="168">
        <f t="shared" si="1"/>
        <v>20219367.730204288</v>
      </c>
      <c r="Q8" s="168">
        <f t="shared" si="1"/>
        <v>20221250.730204288</v>
      </c>
      <c r="R8" s="168">
        <f t="shared" si="1"/>
        <v>143915.1</v>
      </c>
      <c r="S8" s="168">
        <f t="shared" si="1"/>
        <v>142032.1</v>
      </c>
      <c r="T8" s="168">
        <f t="shared" si="1"/>
        <v>20363282.830204286</v>
      </c>
      <c r="U8" s="168">
        <f>U14+U32+U38</f>
        <v>20363282.830204286</v>
      </c>
      <c r="V8" s="168">
        <f>N8-SUM(T8:U8)</f>
        <v>-339103.66040857136</v>
      </c>
      <c r="W8" s="169">
        <f t="shared" si="9"/>
        <v>-8.396260711023916E-3</v>
      </c>
    </row>
    <row r="9" spans="1:28" x14ac:dyDescent="0.55000000000000004">
      <c r="A9" s="171"/>
      <c r="B9" s="167" t="s">
        <v>1</v>
      </c>
      <c r="C9" s="168">
        <f>SUM(C6:C8)</f>
        <v>89615773.5439661</v>
      </c>
      <c r="D9" s="168">
        <f t="shared" ref="D9" si="12">SUM(D6:D8)</f>
        <v>120362194</v>
      </c>
      <c r="E9" s="168">
        <f>SUM(E6:E8)</f>
        <v>30746420.4560339</v>
      </c>
      <c r="F9" s="169">
        <f t="shared" si="4"/>
        <v>0.34309161479200423</v>
      </c>
      <c r="G9" s="170"/>
      <c r="H9" s="168">
        <f>SUM(H6:H8)</f>
        <v>60181097</v>
      </c>
      <c r="I9" s="168">
        <f t="shared" ref="I9:J9" si="13">SUM(I6:I8)</f>
        <v>59646317</v>
      </c>
      <c r="J9" s="168">
        <f t="shared" si="13"/>
        <v>534780</v>
      </c>
      <c r="K9" s="168">
        <f>SUM(K6:K8)</f>
        <v>60181097</v>
      </c>
      <c r="L9" s="168">
        <f t="shared" ref="L9:M9" si="14">SUM(L6:L8)</f>
        <v>59651689</v>
      </c>
      <c r="M9" s="168">
        <f t="shared" si="14"/>
        <v>529408</v>
      </c>
      <c r="N9" s="168">
        <f>SUM(N6:N8)</f>
        <v>120362194</v>
      </c>
      <c r="O9" s="170"/>
      <c r="P9" s="168">
        <f t="shared" ref="P9:U9" si="15">SUM(P6:P8)</f>
        <v>59646413.126607001</v>
      </c>
      <c r="Q9" s="168">
        <f t="shared" si="15"/>
        <v>59651785.22660701</v>
      </c>
      <c r="R9" s="168">
        <f t="shared" si="15"/>
        <v>534695.1</v>
      </c>
      <c r="S9" s="168">
        <f t="shared" si="15"/>
        <v>529323</v>
      </c>
      <c r="T9" s="168">
        <f t="shared" si="15"/>
        <v>60181108.226607002</v>
      </c>
      <c r="U9" s="168">
        <f t="shared" si="15"/>
        <v>60181108.226607002</v>
      </c>
      <c r="V9" s="168">
        <f>SUM(V6:V8)</f>
        <v>-22.453214004635811</v>
      </c>
      <c r="W9" s="169">
        <f t="shared" si="9"/>
        <v>-1.8654706480870405E-7</v>
      </c>
    </row>
    <row r="11" spans="1:28" x14ac:dyDescent="0.55000000000000004">
      <c r="A11" s="389" t="s">
        <v>265</v>
      </c>
      <c r="B11" s="390"/>
      <c r="C11" s="390"/>
      <c r="D11" s="390"/>
      <c r="E11" s="390"/>
      <c r="F11" s="391"/>
      <c r="H11" s="389" t="s">
        <v>262</v>
      </c>
      <c r="I11" s="390"/>
      <c r="J11" s="390"/>
      <c r="K11" s="390"/>
      <c r="L11" s="390"/>
      <c r="M11" s="390"/>
      <c r="N11" s="391"/>
      <c r="P11" s="389" t="s">
        <v>262</v>
      </c>
      <c r="Q11" s="390"/>
      <c r="R11" s="390"/>
      <c r="S11" s="390"/>
      <c r="T11" s="390"/>
      <c r="U11" s="390"/>
      <c r="V11" s="390"/>
      <c r="W11" s="391"/>
    </row>
    <row r="12" spans="1:28" x14ac:dyDescent="0.55000000000000004">
      <c r="A12" s="166" t="s">
        <v>55</v>
      </c>
      <c r="B12" s="167" t="s">
        <v>52</v>
      </c>
      <c r="C12" s="168">
        <f>C18+C24</f>
        <v>34946884.285281092</v>
      </c>
      <c r="D12" s="168">
        <f>N12</f>
        <v>41655752</v>
      </c>
      <c r="E12" s="168">
        <f t="shared" ref="E12:E14" si="16">D12-C12</f>
        <v>6708867.7147189081</v>
      </c>
      <c r="F12" s="169">
        <f t="shared" ref="F12:F15" si="17">E12/C12</f>
        <v>0.19197327177875326</v>
      </c>
      <c r="G12" s="170"/>
      <c r="H12" s="168">
        <f t="shared" ref="H12:M12" si="18">H18+H24</f>
        <v>20827876</v>
      </c>
      <c r="I12" s="168">
        <f t="shared" si="18"/>
        <v>20827876</v>
      </c>
      <c r="J12" s="168">
        <f>J18+J24</f>
        <v>0</v>
      </c>
      <c r="K12" s="168">
        <f>K18+K24</f>
        <v>20827876</v>
      </c>
      <c r="L12" s="168">
        <f t="shared" si="18"/>
        <v>20827876</v>
      </c>
      <c r="M12" s="168">
        <f t="shared" si="18"/>
        <v>0</v>
      </c>
      <c r="N12" s="168">
        <f>H12+K12</f>
        <v>41655752</v>
      </c>
      <c r="O12" s="170"/>
      <c r="P12" s="168">
        <f>P18+P24</f>
        <v>20861325.216030784</v>
      </c>
      <c r="Q12" s="168">
        <f>Q18+Q24</f>
        <v>20861325.216030784</v>
      </c>
      <c r="R12" s="168">
        <f>R18+R24</f>
        <v>0</v>
      </c>
      <c r="S12" s="168">
        <f>S18+S24</f>
        <v>0</v>
      </c>
      <c r="T12" s="168">
        <f t="shared" ref="P12:U14" si="19">T18+T24</f>
        <v>20861325.216030784</v>
      </c>
      <c r="U12" s="168">
        <f>U18+U24</f>
        <v>20861325.216030784</v>
      </c>
      <c r="V12" s="168">
        <f>N12-SUM(T12:U12)</f>
        <v>-66898.432061567903</v>
      </c>
      <c r="W12" s="169">
        <f t="shared" ref="W12:W15" si="20">V12/N12</f>
        <v>-1.6059830599521503E-3</v>
      </c>
    </row>
    <row r="13" spans="1:28" x14ac:dyDescent="0.55000000000000004">
      <c r="A13" s="166" t="s">
        <v>56</v>
      </c>
      <c r="B13" s="167" t="s">
        <v>53</v>
      </c>
      <c r="C13" s="168">
        <f t="shared" ref="C13:C14" si="21">C19+C25</f>
        <v>18491557.077170376</v>
      </c>
      <c r="D13" s="168">
        <f>N13</f>
        <v>26777068</v>
      </c>
      <c r="E13" s="168">
        <f t="shared" si="16"/>
        <v>8285510.9228296243</v>
      </c>
      <c r="F13" s="169">
        <f t="shared" si="17"/>
        <v>0.44806994285294083</v>
      </c>
      <c r="G13" s="170"/>
      <c r="H13" s="168">
        <f t="shared" ref="H13:M13" si="22">H19+H25</f>
        <v>13388534</v>
      </c>
      <c r="I13" s="168">
        <f t="shared" si="22"/>
        <v>13388534</v>
      </c>
      <c r="J13" s="168">
        <f t="shared" si="22"/>
        <v>0</v>
      </c>
      <c r="K13" s="168">
        <f t="shared" si="22"/>
        <v>13388534</v>
      </c>
      <c r="L13" s="168">
        <f t="shared" si="22"/>
        <v>13388534</v>
      </c>
      <c r="M13" s="168">
        <f t="shared" si="22"/>
        <v>0</v>
      </c>
      <c r="N13" s="168">
        <f>H13+K13</f>
        <v>26777068</v>
      </c>
      <c r="O13" s="170"/>
      <c r="P13" s="168">
        <f>P19+P25</f>
        <v>13185537.780592438</v>
      </c>
      <c r="Q13" s="168">
        <f t="shared" si="19"/>
        <v>13185537.780592438</v>
      </c>
      <c r="R13" s="168">
        <f t="shared" ref="R13" si="23">R19+R25</f>
        <v>0</v>
      </c>
      <c r="S13" s="168">
        <f t="shared" ref="S13" si="24">S19+S25</f>
        <v>0</v>
      </c>
      <c r="T13" s="168">
        <f t="shared" si="19"/>
        <v>13185537.780592438</v>
      </c>
      <c r="U13" s="168">
        <f t="shared" si="19"/>
        <v>13185537.780592438</v>
      </c>
      <c r="V13" s="168">
        <f t="shared" ref="V13:V14" si="25">N13-SUM(T13:U13)</f>
        <v>405992.43881512433</v>
      </c>
      <c r="W13" s="169">
        <f t="shared" si="20"/>
        <v>1.5161945244159081E-2</v>
      </c>
    </row>
    <row r="14" spans="1:28" x14ac:dyDescent="0.55000000000000004">
      <c r="A14" s="166" t="s">
        <v>57</v>
      </c>
      <c r="B14" s="167" t="s">
        <v>54</v>
      </c>
      <c r="C14" s="168">
        <f t="shared" si="21"/>
        <v>19686044.181514632</v>
      </c>
      <c r="D14" s="168">
        <f t="shared" ref="D14" si="26">N14</f>
        <v>34053274</v>
      </c>
      <c r="E14" s="168">
        <f t="shared" si="16"/>
        <v>14367229.818485368</v>
      </c>
      <c r="F14" s="169">
        <f t="shared" si="17"/>
        <v>0.72981802164074805</v>
      </c>
      <c r="G14" s="170"/>
      <c r="H14" s="168">
        <f t="shared" ref="H14:M14" si="27">H20+H26</f>
        <v>17026637</v>
      </c>
      <c r="I14" s="168">
        <f t="shared" si="27"/>
        <v>17026637</v>
      </c>
      <c r="J14" s="168">
        <f t="shared" si="27"/>
        <v>0</v>
      </c>
      <c r="K14" s="168">
        <f>K20+K26</f>
        <v>17026637</v>
      </c>
      <c r="L14" s="168">
        <f t="shared" si="27"/>
        <v>17026637</v>
      </c>
      <c r="M14" s="168">
        <f t="shared" si="27"/>
        <v>0</v>
      </c>
      <c r="N14" s="168">
        <f t="shared" ref="N14" si="28">H14+K14</f>
        <v>34053274</v>
      </c>
      <c r="O14" s="170"/>
      <c r="P14" s="168">
        <f t="shared" si="19"/>
        <v>17196184.673951447</v>
      </c>
      <c r="Q14" s="168">
        <f t="shared" si="19"/>
        <v>17196184.673951447</v>
      </c>
      <c r="R14" s="168">
        <f t="shared" ref="R14" si="29">R20+R26</f>
        <v>0</v>
      </c>
      <c r="S14" s="168">
        <f t="shared" ref="S14" si="30">S20+S26</f>
        <v>0</v>
      </c>
      <c r="T14" s="168">
        <f t="shared" si="19"/>
        <v>17196184.673951447</v>
      </c>
      <c r="U14" s="168">
        <f t="shared" si="19"/>
        <v>17196184.673951447</v>
      </c>
      <c r="V14" s="168">
        <f t="shared" si="25"/>
        <v>-339095.34790289402</v>
      </c>
      <c r="W14" s="169">
        <f t="shared" si="20"/>
        <v>-9.9577899001104565E-3</v>
      </c>
    </row>
    <row r="15" spans="1:28" x14ac:dyDescent="0.55000000000000004">
      <c r="A15" s="171"/>
      <c r="B15" s="167" t="s">
        <v>1</v>
      </c>
      <c r="C15" s="168">
        <f>SUM(C12:C14)</f>
        <v>73124485.5439661</v>
      </c>
      <c r="D15" s="168">
        <f>SUM(D12:D14)</f>
        <v>102486094</v>
      </c>
      <c r="E15" s="168">
        <f>SUM(E12:E14)</f>
        <v>29361608.4560339</v>
      </c>
      <c r="F15" s="169">
        <f t="shared" si="17"/>
        <v>0.40152909436033202</v>
      </c>
      <c r="G15" s="170"/>
      <c r="H15" s="168">
        <f>SUM(H12:H14)</f>
        <v>51243047</v>
      </c>
      <c r="I15" s="168">
        <f>SUM(I12:I14)</f>
        <v>51243047</v>
      </c>
      <c r="J15" s="168">
        <f>SUM(J12:J14)</f>
        <v>0</v>
      </c>
      <c r="K15" s="168">
        <f>SUM(K12:K14)</f>
        <v>51243047</v>
      </c>
      <c r="L15" s="168">
        <f t="shared" ref="L15:M15" si="31">SUM(L12:L14)</f>
        <v>51243047</v>
      </c>
      <c r="M15" s="168">
        <f t="shared" si="31"/>
        <v>0</v>
      </c>
      <c r="N15" s="168">
        <f>SUM(N12:N14)</f>
        <v>102486094</v>
      </c>
      <c r="O15" s="170"/>
      <c r="P15" s="168">
        <f t="shared" ref="P15:U15" si="32">SUM(P12:P14)</f>
        <v>51243047.670574665</v>
      </c>
      <c r="Q15" s="168">
        <f t="shared" si="32"/>
        <v>51243047.670574665</v>
      </c>
      <c r="R15" s="168">
        <f t="shared" si="32"/>
        <v>0</v>
      </c>
      <c r="S15" s="168">
        <f t="shared" si="32"/>
        <v>0</v>
      </c>
      <c r="T15" s="168">
        <f t="shared" si="32"/>
        <v>51243047.670574665</v>
      </c>
      <c r="U15" s="168">
        <f t="shared" si="32"/>
        <v>51243047.670574665</v>
      </c>
      <c r="V15" s="168">
        <f>SUM(V12:V14)</f>
        <v>-1.3411493375897408</v>
      </c>
      <c r="W15" s="169">
        <f t="shared" si="20"/>
        <v>-1.3086159158234099E-8</v>
      </c>
    </row>
    <row r="16" spans="1:28" outlineLevel="1" x14ac:dyDescent="0.55000000000000004"/>
    <row r="17" spans="1:28" outlineLevel="2" x14ac:dyDescent="0.55000000000000004">
      <c r="A17" s="389" t="s">
        <v>146</v>
      </c>
      <c r="B17" s="390"/>
      <c r="C17" s="390"/>
      <c r="D17" s="390"/>
      <c r="E17" s="390"/>
      <c r="F17" s="391"/>
      <c r="H17" s="389" t="str">
        <f>A17</f>
        <v xml:space="preserve">Academic Education (GRD Excluded from Formula Funding Amounts) </v>
      </c>
      <c r="I17" s="390"/>
      <c r="J17" s="390"/>
      <c r="K17" s="390"/>
      <c r="L17" s="390"/>
      <c r="M17" s="390"/>
      <c r="N17" s="391"/>
      <c r="P17" s="389" t="s">
        <v>146</v>
      </c>
      <c r="Q17" s="390"/>
      <c r="R17" s="390"/>
      <c r="S17" s="390"/>
      <c r="T17" s="390"/>
      <c r="U17" s="390"/>
      <c r="V17" s="390"/>
      <c r="W17" s="391"/>
      <c r="Y17" s="389" t="s">
        <v>144</v>
      </c>
      <c r="Z17" s="390"/>
      <c r="AA17" s="390"/>
      <c r="AB17" s="391"/>
    </row>
    <row r="18" spans="1:28" outlineLevel="2" x14ac:dyDescent="0.55000000000000004">
      <c r="A18" s="166" t="s">
        <v>55</v>
      </c>
      <c r="B18" s="167" t="s">
        <v>52</v>
      </c>
      <c r="C18" s="172">
        <v>11705268.69820988</v>
      </c>
      <c r="D18" s="168">
        <f>N18</f>
        <v>16312080</v>
      </c>
      <c r="E18" s="168">
        <f>D18-C18</f>
        <v>4606811.3017901201</v>
      </c>
      <c r="F18" s="169">
        <f>E18/C18</f>
        <v>0.3935673260106069</v>
      </c>
      <c r="G18" s="170"/>
      <c r="H18" s="173">
        <f>SUM(I18:J18)</f>
        <v>8156040</v>
      </c>
      <c r="I18" s="172">
        <v>8156040</v>
      </c>
      <c r="J18" s="174">
        <v>0</v>
      </c>
      <c r="K18" s="173">
        <f>SUM(L18:M18)</f>
        <v>8156040</v>
      </c>
      <c r="L18" s="172">
        <v>8156040</v>
      </c>
      <c r="M18" s="174">
        <v>0</v>
      </c>
      <c r="N18" s="168">
        <f>H18+K18</f>
        <v>16312080</v>
      </c>
      <c r="O18" s="170"/>
      <c r="P18" s="168">
        <f>SUMIF(Hours!A:A,'Allocation Summary'!A18,Hours!R:R)/2</f>
        <v>7322454.1312207021</v>
      </c>
      <c r="Q18" s="168">
        <f>P18</f>
        <v>7322454.1312207021</v>
      </c>
      <c r="R18" s="168">
        <v>0</v>
      </c>
      <c r="S18" s="168">
        <v>0</v>
      </c>
      <c r="T18" s="168">
        <f>P18+R18</f>
        <v>7322454.1312207021</v>
      </c>
      <c r="U18" s="168">
        <f>Q18+S18</f>
        <v>7322454.1312207021</v>
      </c>
      <c r="V18" s="168">
        <f>N18-SUM(T18:U18)</f>
        <v>1667171.7375585958</v>
      </c>
      <c r="W18" s="169">
        <f t="shared" ref="W18:W21" si="33">V18/N18</f>
        <v>0.1022047303322811</v>
      </c>
      <c r="Y18" s="175">
        <f>Comparison!AC5</f>
        <v>721296</v>
      </c>
      <c r="Z18" s="175">
        <f>Comparison!AD5</f>
        <v>906838.07798184699</v>
      </c>
      <c r="AA18" s="175">
        <f>Z18-Y18</f>
        <v>185542.07798184699</v>
      </c>
      <c r="AB18" s="169">
        <f>AA18/Y18</f>
        <v>0.25723430877454884</v>
      </c>
    </row>
    <row r="19" spans="1:28" outlineLevel="2" x14ac:dyDescent="0.55000000000000004">
      <c r="A19" s="166" t="s">
        <v>56</v>
      </c>
      <c r="B19" s="167" t="s">
        <v>53</v>
      </c>
      <c r="C19" s="172">
        <v>8534909.2437959313</v>
      </c>
      <c r="D19" s="168">
        <f t="shared" ref="D19:D20" si="34">N19</f>
        <v>10287332</v>
      </c>
      <c r="E19" s="168">
        <f>D19-C19</f>
        <v>1752422.7562040687</v>
      </c>
      <c r="F19" s="169">
        <f>E19/C19</f>
        <v>0.20532412309807671</v>
      </c>
      <c r="G19" s="170"/>
      <c r="H19" s="173">
        <f t="shared" ref="H19:H20" si="35">SUM(I19:J19)</f>
        <v>5143666</v>
      </c>
      <c r="I19" s="172">
        <v>5143666</v>
      </c>
      <c r="J19" s="174">
        <v>0</v>
      </c>
      <c r="K19" s="173">
        <f t="shared" ref="K19:K20" si="36">SUM(L19:M19)</f>
        <v>5143666</v>
      </c>
      <c r="L19" s="172">
        <v>5143666</v>
      </c>
      <c r="M19" s="174">
        <v>0</v>
      </c>
      <c r="N19" s="168">
        <f t="shared" ref="N19:N20" si="37">H19+K19</f>
        <v>10287332</v>
      </c>
      <c r="O19" s="170"/>
      <c r="P19" s="168">
        <f>SUMIF(Hours!A:A,'Allocation Summary'!A19,Hours!R:R)/2</f>
        <v>4352878.0074749365</v>
      </c>
      <c r="Q19" s="168">
        <f t="shared" ref="Q19:Q20" si="38">P19</f>
        <v>4352878.0074749365</v>
      </c>
      <c r="R19" s="168">
        <v>0</v>
      </c>
      <c r="S19" s="168">
        <v>0</v>
      </c>
      <c r="T19" s="168">
        <f t="shared" ref="T19" si="39">P19+R19</f>
        <v>4352878.0074749365</v>
      </c>
      <c r="U19" s="168">
        <f t="shared" ref="U19:U20" si="40">Q19+S19</f>
        <v>4352878.0074749365</v>
      </c>
      <c r="V19" s="168">
        <f t="shared" ref="V19:V20" si="41">N19-SUM(T19:U19)</f>
        <v>1581575.9850501269</v>
      </c>
      <c r="W19" s="169">
        <f t="shared" si="33"/>
        <v>0.15374015197041632</v>
      </c>
      <c r="Y19" s="175">
        <f>Comparison!AC6</f>
        <v>572384</v>
      </c>
      <c r="Z19" s="175">
        <f>Comparison!AD6</f>
        <v>543739.02922885574</v>
      </c>
      <c r="AA19" s="175">
        <f t="shared" ref="AA19:AA20" si="42">Z19-Y19</f>
        <v>-28644.970771144261</v>
      </c>
      <c r="AB19" s="169">
        <f t="shared" ref="AB19:AB21" si="43">AA19/Y19</f>
        <v>-5.0045023570093258E-2</v>
      </c>
    </row>
    <row r="20" spans="1:28" outlineLevel="2" x14ac:dyDescent="0.55000000000000004">
      <c r="A20" s="166" t="s">
        <v>57</v>
      </c>
      <c r="B20" s="167" t="s">
        <v>54</v>
      </c>
      <c r="C20" s="172">
        <v>8877192.6760082021</v>
      </c>
      <c r="D20" s="168">
        <f t="shared" si="34"/>
        <v>11403612</v>
      </c>
      <c r="E20" s="168">
        <f>D20-C20</f>
        <v>2526419.3239917979</v>
      </c>
      <c r="F20" s="169">
        <f>E20/C20</f>
        <v>0.28459665304097581</v>
      </c>
      <c r="G20" s="170"/>
      <c r="H20" s="173">
        <f t="shared" si="35"/>
        <v>5701806</v>
      </c>
      <c r="I20" s="172">
        <v>5701806</v>
      </c>
      <c r="J20" s="174">
        <v>0</v>
      </c>
      <c r="K20" s="173">
        <f t="shared" si="36"/>
        <v>5701806</v>
      </c>
      <c r="L20" s="172">
        <v>5701806</v>
      </c>
      <c r="M20" s="174">
        <v>0</v>
      </c>
      <c r="N20" s="168">
        <f t="shared" si="37"/>
        <v>11403612</v>
      </c>
      <c r="O20" s="170"/>
      <c r="P20" s="168">
        <f>SUMIF(Hours!A:A,'Allocation Summary'!A20,Hours!R:R)/2</f>
        <v>5005436.8501312751</v>
      </c>
      <c r="Q20" s="168">
        <f t="shared" si="38"/>
        <v>5005436.8501312751</v>
      </c>
      <c r="R20" s="168">
        <v>0</v>
      </c>
      <c r="S20" s="168">
        <v>0</v>
      </c>
      <c r="T20" s="168">
        <f>P20+R20</f>
        <v>5005436.8501312751</v>
      </c>
      <c r="U20" s="168">
        <f t="shared" si="40"/>
        <v>5005436.8501312751</v>
      </c>
      <c r="V20" s="168">
        <f t="shared" si="41"/>
        <v>1392738.2997374497</v>
      </c>
      <c r="W20" s="169">
        <f t="shared" si="33"/>
        <v>0.12213132994506036</v>
      </c>
      <c r="Y20" s="175">
        <f>Comparison!AC7</f>
        <v>597280</v>
      </c>
      <c r="Z20" s="175">
        <f>Comparison!AD7</f>
        <v>623920.84062311193</v>
      </c>
      <c r="AA20" s="175">
        <f t="shared" si="42"/>
        <v>26640.84062311193</v>
      </c>
      <c r="AB20" s="169">
        <f t="shared" si="43"/>
        <v>4.460360404351716E-2</v>
      </c>
    </row>
    <row r="21" spans="1:28" outlineLevel="2" x14ac:dyDescent="0.55000000000000004">
      <c r="A21" s="171"/>
      <c r="B21" s="167" t="s">
        <v>1</v>
      </c>
      <c r="C21" s="168">
        <f>SUM(C18:C20)</f>
        <v>29117370.618014015</v>
      </c>
      <c r="D21" s="168">
        <f>SUM(D18:D20)</f>
        <v>38003024</v>
      </c>
      <c r="E21" s="168">
        <f>SUM(E18:E20)</f>
        <v>8885653.3819859866</v>
      </c>
      <c r="F21" s="169">
        <f>E21/C21</f>
        <v>0.30516675075354188</v>
      </c>
      <c r="G21" s="170"/>
      <c r="H21" s="168">
        <f>SUM(H18:H20)</f>
        <v>19001512</v>
      </c>
      <c r="I21" s="168">
        <f t="shared" ref="I21:J21" si="44">SUM(I18:I20)</f>
        <v>19001512</v>
      </c>
      <c r="J21" s="168">
        <f t="shared" si="44"/>
        <v>0</v>
      </c>
      <c r="K21" s="168">
        <f>SUM(K18:K20)</f>
        <v>19001512</v>
      </c>
      <c r="L21" s="168">
        <f t="shared" ref="L21:M21" si="45">SUM(L18:L20)</f>
        <v>19001512</v>
      </c>
      <c r="M21" s="168">
        <f t="shared" si="45"/>
        <v>0</v>
      </c>
      <c r="N21" s="168">
        <f>SUM(N18:N20)</f>
        <v>38003024</v>
      </c>
      <c r="O21" s="170"/>
      <c r="P21" s="168">
        <f t="shared" ref="P21:U21" si="46">SUM(P18:P20)</f>
        <v>16680768.988826914</v>
      </c>
      <c r="Q21" s="168">
        <f t="shared" si="46"/>
        <v>16680768.988826914</v>
      </c>
      <c r="R21" s="168">
        <f t="shared" si="46"/>
        <v>0</v>
      </c>
      <c r="S21" s="168">
        <f t="shared" si="46"/>
        <v>0</v>
      </c>
      <c r="T21" s="168">
        <f>SUM(T18:T20)</f>
        <v>16680768.988826914</v>
      </c>
      <c r="U21" s="168">
        <f t="shared" si="46"/>
        <v>16680768.988826914</v>
      </c>
      <c r="V21" s="168">
        <f>SUM(V18:V20)</f>
        <v>4641486.0223461725</v>
      </c>
      <c r="W21" s="169">
        <f t="shared" si="33"/>
        <v>0.12213464966225247</v>
      </c>
      <c r="Y21" s="175">
        <f>SUM(Y18:Y20)</f>
        <v>1890960</v>
      </c>
      <c r="Z21" s="175">
        <f>SUM(Z18:Z20)</f>
        <v>2074497.9478338147</v>
      </c>
      <c r="AA21" s="175">
        <f>SUM(AA18:AA20)</f>
        <v>183537.94783381466</v>
      </c>
      <c r="AB21" s="169">
        <f t="shared" si="43"/>
        <v>9.7060724623373659E-2</v>
      </c>
    </row>
    <row r="22" spans="1:28" outlineLevel="2" x14ac:dyDescent="0.55000000000000004"/>
    <row r="23" spans="1:28" outlineLevel="2" x14ac:dyDescent="0.55000000000000004">
      <c r="A23" s="389" t="s">
        <v>3</v>
      </c>
      <c r="B23" s="390"/>
      <c r="C23" s="390"/>
      <c r="D23" s="390"/>
      <c r="E23" s="390"/>
      <c r="F23" s="391"/>
      <c r="H23" s="389" t="str">
        <f>A23</f>
        <v>Vocational/Technical Education</v>
      </c>
      <c r="I23" s="390"/>
      <c r="J23" s="390"/>
      <c r="K23" s="390"/>
      <c r="L23" s="390"/>
      <c r="M23" s="390"/>
      <c r="N23" s="391"/>
      <c r="P23" s="389" t="s">
        <v>3</v>
      </c>
      <c r="Q23" s="390"/>
      <c r="R23" s="390"/>
      <c r="S23" s="390"/>
      <c r="T23" s="390"/>
      <c r="U23" s="390"/>
      <c r="V23" s="390"/>
      <c r="W23" s="391"/>
      <c r="Y23" s="389" t="s">
        <v>145</v>
      </c>
      <c r="Z23" s="390"/>
      <c r="AA23" s="390"/>
      <c r="AB23" s="391"/>
    </row>
    <row r="24" spans="1:28" outlineLevel="2" x14ac:dyDescent="0.55000000000000004">
      <c r="A24" s="166" t="s">
        <v>55</v>
      </c>
      <c r="B24" s="167" t="s">
        <v>52</v>
      </c>
      <c r="C24" s="172">
        <v>23241615.587071214</v>
      </c>
      <c r="D24" s="168">
        <f>N24</f>
        <v>25343672</v>
      </c>
      <c r="E24" s="168">
        <f>D24-C24</f>
        <v>2102056.4129287861</v>
      </c>
      <c r="F24" s="169">
        <f>E24/C24</f>
        <v>9.0443644292013528E-2</v>
      </c>
      <c r="G24" s="170"/>
      <c r="H24" s="173">
        <f>SUM(I24:J24)</f>
        <v>12671836</v>
      </c>
      <c r="I24" s="172">
        <v>12671836</v>
      </c>
      <c r="J24" s="174">
        <v>0</v>
      </c>
      <c r="K24" s="173">
        <f>SUM(L24:M24)</f>
        <v>12671836</v>
      </c>
      <c r="L24" s="172">
        <v>12671836</v>
      </c>
      <c r="M24" s="174">
        <v>0</v>
      </c>
      <c r="N24" s="168">
        <f>H24+K24</f>
        <v>25343672</v>
      </c>
      <c r="O24" s="170"/>
      <c r="P24" s="168">
        <f>SUMIF(Hours!A:A,'Allocation Summary'!A24,Hours!S:S)/2</f>
        <v>13538871.084810084</v>
      </c>
      <c r="Q24" s="168">
        <f>P24</f>
        <v>13538871.084810084</v>
      </c>
      <c r="R24" s="168">
        <v>0</v>
      </c>
      <c r="S24" s="168">
        <v>0</v>
      </c>
      <c r="T24" s="168">
        <f>P24+R24</f>
        <v>13538871.084810084</v>
      </c>
      <c r="U24" s="168">
        <f t="shared" ref="U24:U26" si="47">Q24+S24</f>
        <v>13538871.084810084</v>
      </c>
      <c r="V24" s="168">
        <f>N24-SUM(T24:U24)</f>
        <v>-1734070.1696201675</v>
      </c>
      <c r="W24" s="169">
        <f t="shared" ref="W24:W27" si="48">V24/N24</f>
        <v>-6.8422214808500026E-2</v>
      </c>
      <c r="Y24" s="176">
        <f>Comparison!AG5</f>
        <v>1158561</v>
      </c>
      <c r="Z24" s="176">
        <f>Comparison!AH5</f>
        <v>1408931.7720202839</v>
      </c>
      <c r="AA24" s="175">
        <f t="shared" ref="AA24:AA26" si="49">Z24-Y24</f>
        <v>250370.77202028385</v>
      </c>
      <c r="AB24" s="169">
        <f t="shared" ref="AB24:AB26" si="50">AA24/Y24</f>
        <v>0.2161049543531017</v>
      </c>
    </row>
    <row r="25" spans="1:28" outlineLevel="2" x14ac:dyDescent="0.55000000000000004">
      <c r="A25" s="166" t="s">
        <v>56</v>
      </c>
      <c r="B25" s="167" t="s">
        <v>53</v>
      </c>
      <c r="C25" s="172">
        <v>9956647.8333744444</v>
      </c>
      <c r="D25" s="168">
        <f t="shared" ref="D25:D26" si="51">N25</f>
        <v>16489736</v>
      </c>
      <c r="E25" s="168">
        <f>D25-C25</f>
        <v>6533088.1666255556</v>
      </c>
      <c r="F25" s="169">
        <f>E25/C25</f>
        <v>0.65615338374495891</v>
      </c>
      <c r="G25" s="170"/>
      <c r="H25" s="173">
        <f t="shared" ref="H25:H26" si="52">SUM(I25:J25)</f>
        <v>8244868</v>
      </c>
      <c r="I25" s="172">
        <v>8244868</v>
      </c>
      <c r="J25" s="174">
        <v>0</v>
      </c>
      <c r="K25" s="173">
        <f t="shared" ref="K25:K26" si="53">SUM(L25:M25)</f>
        <v>8244868</v>
      </c>
      <c r="L25" s="172">
        <v>8244868</v>
      </c>
      <c r="M25" s="174">
        <v>0</v>
      </c>
      <c r="N25" s="168">
        <f t="shared" ref="N25:N26" si="54">H25+K25</f>
        <v>16489736</v>
      </c>
      <c r="O25" s="170"/>
      <c r="P25" s="168">
        <f>SUMIF(Hours!A:A,'Allocation Summary'!A25,Hours!S:S)/2</f>
        <v>8832659.7731175013</v>
      </c>
      <c r="Q25" s="168">
        <f t="shared" ref="Q25:Q26" si="55">P25</f>
        <v>8832659.7731175013</v>
      </c>
      <c r="R25" s="168">
        <v>0</v>
      </c>
      <c r="S25" s="168">
        <v>0</v>
      </c>
      <c r="T25" s="168">
        <f t="shared" ref="T25:T26" si="56">P25+R25</f>
        <v>8832659.7731175013</v>
      </c>
      <c r="U25" s="168">
        <f t="shared" si="47"/>
        <v>8832659.7731175013</v>
      </c>
      <c r="V25" s="168">
        <f>N25-SUM(T25:U25)</f>
        <v>-1175583.5462350026</v>
      </c>
      <c r="W25" s="169">
        <f t="shared" si="48"/>
        <v>-7.1291835493000166E-2</v>
      </c>
      <c r="Y25" s="176">
        <f>Comparison!AG6</f>
        <v>466681</v>
      </c>
      <c r="Z25" s="176">
        <f>Comparison!AH6</f>
        <v>871568.3606965174</v>
      </c>
      <c r="AA25" s="175">
        <f t="shared" si="49"/>
        <v>404887.3606965174</v>
      </c>
      <c r="AB25" s="169">
        <f t="shared" si="50"/>
        <v>0.86758912554082424</v>
      </c>
    </row>
    <row r="26" spans="1:28" outlineLevel="2" x14ac:dyDescent="0.55000000000000004">
      <c r="A26" s="166" t="s">
        <v>57</v>
      </c>
      <c r="B26" s="167" t="s">
        <v>54</v>
      </c>
      <c r="C26" s="172">
        <v>10808851.50550643</v>
      </c>
      <c r="D26" s="168">
        <f t="shared" si="51"/>
        <v>22649662</v>
      </c>
      <c r="E26" s="168">
        <f>D26-C26</f>
        <v>11840810.49449357</v>
      </c>
      <c r="F26" s="169">
        <f>E26/C26</f>
        <v>1.0954735096935528</v>
      </c>
      <c r="G26" s="170"/>
      <c r="H26" s="173">
        <f t="shared" si="52"/>
        <v>11324831</v>
      </c>
      <c r="I26" s="172">
        <v>11324831</v>
      </c>
      <c r="J26" s="174">
        <v>0</v>
      </c>
      <c r="K26" s="173">
        <f t="shared" si="53"/>
        <v>11324831</v>
      </c>
      <c r="L26" s="172">
        <v>11324831</v>
      </c>
      <c r="M26" s="174">
        <v>0</v>
      </c>
      <c r="N26" s="168">
        <f t="shared" si="54"/>
        <v>22649662</v>
      </c>
      <c r="O26" s="170"/>
      <c r="P26" s="168">
        <f>SUMIF(Hours!A:A,'Allocation Summary'!A26,Hours!S:S)/2</f>
        <v>12190747.823820172</v>
      </c>
      <c r="Q26" s="168">
        <f t="shared" si="55"/>
        <v>12190747.823820172</v>
      </c>
      <c r="R26" s="168">
        <v>0</v>
      </c>
      <c r="S26" s="168">
        <v>0</v>
      </c>
      <c r="T26" s="168">
        <f t="shared" si="56"/>
        <v>12190747.823820172</v>
      </c>
      <c r="U26" s="168">
        <f t="shared" si="47"/>
        <v>12190747.823820172</v>
      </c>
      <c r="V26" s="168">
        <f t="shared" ref="V26" si="57">N26-SUM(T26:U26)</f>
        <v>-1731833.6476403438</v>
      </c>
      <c r="W26" s="169">
        <f t="shared" si="48"/>
        <v>-7.6461787714109983E-2</v>
      </c>
      <c r="Y26" s="176">
        <f>Comparison!AG7</f>
        <v>543144</v>
      </c>
      <c r="Z26" s="176">
        <f>Comparison!AH7</f>
        <v>1239221.0974597423</v>
      </c>
      <c r="AA26" s="175">
        <f t="shared" si="49"/>
        <v>696077.09745974233</v>
      </c>
      <c r="AB26" s="169">
        <f t="shared" si="50"/>
        <v>1.2815700761855831</v>
      </c>
    </row>
    <row r="27" spans="1:28" outlineLevel="2" x14ac:dyDescent="0.55000000000000004">
      <c r="A27" s="171"/>
      <c r="B27" s="167" t="s">
        <v>1</v>
      </c>
      <c r="C27" s="168">
        <f>SUM(C24:C26)</f>
        <v>44007114.925952092</v>
      </c>
      <c r="D27" s="168">
        <f>SUM(D24:D26)</f>
        <v>64483070</v>
      </c>
      <c r="E27" s="168">
        <f>SUM(E24:E26)</f>
        <v>20475955.074047912</v>
      </c>
      <c r="F27" s="169">
        <f>E27/C27</f>
        <v>0.46528737701849959</v>
      </c>
      <c r="G27" s="170"/>
      <c r="H27" s="168">
        <f>SUM(H24:H26)</f>
        <v>32241535</v>
      </c>
      <c r="I27" s="168">
        <f t="shared" ref="I27:J27" si="58">SUM(I24:I26)</f>
        <v>32241535</v>
      </c>
      <c r="J27" s="168">
        <f t="shared" si="58"/>
        <v>0</v>
      </c>
      <c r="K27" s="168">
        <f>SUM(K24:K26)</f>
        <v>32241535</v>
      </c>
      <c r="L27" s="168">
        <f t="shared" ref="L27:M27" si="59">SUM(L24:L26)</f>
        <v>32241535</v>
      </c>
      <c r="M27" s="168">
        <f t="shared" si="59"/>
        <v>0</v>
      </c>
      <c r="N27" s="168">
        <f>SUM(N24:N26)</f>
        <v>64483070</v>
      </c>
      <c r="O27" s="170"/>
      <c r="P27" s="168">
        <f>SUM(P24:P26)</f>
        <v>34562278.681747757</v>
      </c>
      <c r="Q27" s="168">
        <f t="shared" ref="Q27:U27" si="60">SUM(Q24:Q26)</f>
        <v>34562278.681747757</v>
      </c>
      <c r="R27" s="168">
        <f t="shared" si="60"/>
        <v>0</v>
      </c>
      <c r="S27" s="168">
        <f t="shared" si="60"/>
        <v>0</v>
      </c>
      <c r="T27" s="168">
        <f t="shared" si="60"/>
        <v>34562278.681747757</v>
      </c>
      <c r="U27" s="168">
        <f t="shared" si="60"/>
        <v>34562278.681747757</v>
      </c>
      <c r="V27" s="168">
        <f>SUM(V24:V26)</f>
        <v>-4641487.3634955138</v>
      </c>
      <c r="W27" s="169">
        <f t="shared" si="48"/>
        <v>-7.1979937733974417E-2</v>
      </c>
      <c r="Y27" s="175">
        <f>SUM(Y24:Y26)</f>
        <v>2168386</v>
      </c>
      <c r="Z27" s="175">
        <f>SUM(Z24:Z26)</f>
        <v>3519721.2301765434</v>
      </c>
      <c r="AA27" s="175">
        <f>SUM(AA24:AA26)</f>
        <v>1351335.2301765436</v>
      </c>
      <c r="AB27" s="169">
        <f t="shared" ref="AB27" si="61">AA27/Y27</f>
        <v>0.62319865105961003</v>
      </c>
    </row>
    <row r="29" spans="1:28" x14ac:dyDescent="0.55000000000000004">
      <c r="A29" s="389" t="s">
        <v>263</v>
      </c>
      <c r="B29" s="390"/>
      <c r="C29" s="390"/>
      <c r="D29" s="390"/>
      <c r="E29" s="390"/>
      <c r="F29" s="391"/>
      <c r="H29" s="389" t="s">
        <v>263</v>
      </c>
      <c r="I29" s="390"/>
      <c r="J29" s="390"/>
      <c r="K29" s="390"/>
      <c r="L29" s="390"/>
      <c r="M29" s="390"/>
      <c r="N29" s="391"/>
      <c r="P29" s="389" t="s">
        <v>263</v>
      </c>
      <c r="Q29" s="390"/>
      <c r="R29" s="390"/>
      <c r="S29" s="390"/>
      <c r="T29" s="390"/>
      <c r="U29" s="390"/>
      <c r="V29" s="390"/>
      <c r="W29" s="391"/>
      <c r="Y29" s="389" t="s">
        <v>142</v>
      </c>
      <c r="Z29" s="390"/>
      <c r="AA29" s="390"/>
      <c r="AB29" s="391"/>
    </row>
    <row r="30" spans="1:28" x14ac:dyDescent="0.55000000000000004">
      <c r="A30" s="166" t="s">
        <v>55</v>
      </c>
      <c r="B30" s="167" t="s">
        <v>52</v>
      </c>
      <c r="C30" s="172">
        <v>3699442</v>
      </c>
      <c r="D30" s="168">
        <f>N30</f>
        <v>3996530</v>
      </c>
      <c r="E30" s="168">
        <f>D30-C30</f>
        <v>297088</v>
      </c>
      <c r="F30" s="169">
        <f>E30/C30</f>
        <v>8.0306165091924675E-2</v>
      </c>
      <c r="G30" s="170"/>
      <c r="H30" s="173">
        <f>SUM(I30:J30)</f>
        <v>1998265</v>
      </c>
      <c r="I30" s="172">
        <v>1740171</v>
      </c>
      <c r="J30" s="172">
        <v>258094</v>
      </c>
      <c r="K30" s="173">
        <f>SUM(L30:M30)</f>
        <v>1998265</v>
      </c>
      <c r="L30" s="172">
        <v>1742252</v>
      </c>
      <c r="M30" s="172">
        <v>256013</v>
      </c>
      <c r="N30" s="168">
        <f>H30+K30</f>
        <v>3996530</v>
      </c>
      <c r="O30" s="170"/>
      <c r="P30" s="168">
        <f>T30-R30</f>
        <v>1740175.5107383293</v>
      </c>
      <c r="Q30" s="168">
        <f>U30-S30</f>
        <v>1742256.4107383292</v>
      </c>
      <c r="R30" s="168">
        <f>(R42-R48-R54)*0.1</f>
        <v>258094.2</v>
      </c>
      <c r="S30" s="168">
        <f>(S42-S48-S54)*0.1</f>
        <v>256013.30000000002</v>
      </c>
      <c r="T30" s="168">
        <f>'Space Support'!D51</f>
        <v>1998269.7107383292</v>
      </c>
      <c r="U30" s="168">
        <f>'Space Support'!G51</f>
        <v>1998269.7107383292</v>
      </c>
      <c r="V30" s="168">
        <f>N30-SUM(T30:U30)</f>
        <v>-9.4214766584336758</v>
      </c>
      <c r="W30" s="169">
        <f>V30/N30</f>
        <v>-2.3574142214455231E-6</v>
      </c>
      <c r="Y30" s="176">
        <f>Comparison!S5</f>
        <v>278016.95746524649</v>
      </c>
      <c r="Z30" s="176">
        <f>Comparison!U5</f>
        <v>297872</v>
      </c>
      <c r="AA30" s="175">
        <f t="shared" ref="AA30:AA33" si="62">Z30-Y30</f>
        <v>19855.042534753506</v>
      </c>
      <c r="AB30" s="169">
        <f t="shared" ref="AB30:AB33" si="63">AA30/Y30</f>
        <v>7.1416660033176163E-2</v>
      </c>
    </row>
    <row r="31" spans="1:28" x14ac:dyDescent="0.55000000000000004">
      <c r="A31" s="166" t="s">
        <v>56</v>
      </c>
      <c r="B31" s="167" t="s">
        <v>53</v>
      </c>
      <c r="C31" s="172">
        <v>2144696</v>
      </c>
      <c r="D31" s="168">
        <f t="shared" ref="D31:D32" si="64">N31</f>
        <v>2598250</v>
      </c>
      <c r="E31" s="168">
        <f t="shared" ref="E31:E32" si="65">D31-C31</f>
        <v>453554</v>
      </c>
      <c r="F31" s="169">
        <f t="shared" ref="F31:F33" si="66">E31/C31</f>
        <v>0.21147705782078205</v>
      </c>
      <c r="G31" s="170"/>
      <c r="H31" s="173">
        <f t="shared" ref="H31:H32" si="67">SUM(I31:J31)</f>
        <v>1299125</v>
      </c>
      <c r="I31" s="172">
        <v>1166354</v>
      </c>
      <c r="J31" s="172">
        <v>132771</v>
      </c>
      <c r="K31" s="173">
        <f t="shared" ref="K31:K32" si="68">SUM(L31:M31)</f>
        <v>1299125</v>
      </c>
      <c r="L31" s="172">
        <v>1167762</v>
      </c>
      <c r="M31" s="172">
        <v>131363</v>
      </c>
      <c r="N31" s="168">
        <f t="shared" ref="N31:N32" si="69">H31+K31</f>
        <v>2598250</v>
      </c>
      <c r="O31" s="170"/>
      <c r="P31" s="168">
        <f t="shared" ref="P31" si="70">T31-R31</f>
        <v>1166441.7488411644</v>
      </c>
      <c r="Q31" s="168">
        <f t="shared" ref="Q31:Q32" si="71">U31-S31</f>
        <v>1167849.9488411644</v>
      </c>
      <c r="R31" s="168">
        <f t="shared" ref="R31:S32" si="72">(R43-R49-R55)*0.1</f>
        <v>132685.80000000002</v>
      </c>
      <c r="S31" s="168">
        <f t="shared" si="72"/>
        <v>131277.6</v>
      </c>
      <c r="T31" s="168">
        <f>'Space Support'!D52</f>
        <v>1299127.5488411644</v>
      </c>
      <c r="U31" s="168">
        <f>'Space Support'!G52</f>
        <v>1299127.5488411644</v>
      </c>
      <c r="V31" s="168">
        <f t="shared" ref="V31:V32" si="73">N31-SUM(T31:U31)</f>
        <v>-5.0976823288947344</v>
      </c>
      <c r="W31" s="169">
        <f t="shared" ref="W31:W33" si="74">V31/N31</f>
        <v>-1.9619676046934416E-6</v>
      </c>
      <c r="Y31" s="176">
        <f>Comparison!S6</f>
        <v>161848.847155289</v>
      </c>
      <c r="Z31" s="176">
        <f>Comparison!U6</f>
        <v>183356</v>
      </c>
      <c r="AA31" s="175">
        <f t="shared" si="62"/>
        <v>21507.152844711003</v>
      </c>
      <c r="AB31" s="169">
        <f t="shared" si="63"/>
        <v>0.13288418930828436</v>
      </c>
    </row>
    <row r="32" spans="1:28" x14ac:dyDescent="0.55000000000000004">
      <c r="A32" s="166" t="s">
        <v>57</v>
      </c>
      <c r="B32" s="167" t="s">
        <v>54</v>
      </c>
      <c r="C32" s="172">
        <v>2747748</v>
      </c>
      <c r="D32" s="168">
        <f t="shared" si="64"/>
        <v>3701054</v>
      </c>
      <c r="E32" s="168">
        <f t="shared" si="65"/>
        <v>953306</v>
      </c>
      <c r="F32" s="169">
        <f t="shared" si="66"/>
        <v>0.34694084028084088</v>
      </c>
      <c r="G32" s="170"/>
      <c r="H32" s="173">
        <f t="shared" si="67"/>
        <v>1850527</v>
      </c>
      <c r="I32" s="172">
        <v>1706612</v>
      </c>
      <c r="J32" s="172">
        <v>143915</v>
      </c>
      <c r="K32" s="173">
        <f t="shared" si="68"/>
        <v>1850527</v>
      </c>
      <c r="L32" s="172">
        <v>1708495</v>
      </c>
      <c r="M32" s="172">
        <v>142032</v>
      </c>
      <c r="N32" s="168">
        <f t="shared" si="69"/>
        <v>3701054</v>
      </c>
      <c r="O32" s="170"/>
      <c r="P32" s="168">
        <f>T32-R32</f>
        <v>1706616.5562528404</v>
      </c>
      <c r="Q32" s="168">
        <f t="shared" si="71"/>
        <v>1708499.5562528404</v>
      </c>
      <c r="R32" s="168">
        <f t="shared" si="72"/>
        <v>143915.1</v>
      </c>
      <c r="S32" s="168">
        <f t="shared" si="72"/>
        <v>142032.1</v>
      </c>
      <c r="T32" s="168">
        <f>'Space Support'!D53</f>
        <v>1850531.6562528405</v>
      </c>
      <c r="U32" s="168">
        <f>'Space Support'!G53</f>
        <v>1850531.6562528405</v>
      </c>
      <c r="V32" s="168">
        <f t="shared" si="73"/>
        <v>-9.3125056810677052</v>
      </c>
      <c r="W32" s="169">
        <f t="shared" si="74"/>
        <v>-2.5161766569922256E-6</v>
      </c>
      <c r="Y32" s="176">
        <f>Comparison!S7</f>
        <v>211529.47749576991</v>
      </c>
      <c r="Z32" s="176">
        <f>Comparison!U7</f>
        <v>209483</v>
      </c>
      <c r="AA32" s="175">
        <f t="shared" si="62"/>
        <v>-2046.4774957699119</v>
      </c>
      <c r="AB32" s="169">
        <f t="shared" si="63"/>
        <v>-9.6746681360796935E-3</v>
      </c>
    </row>
    <row r="33" spans="1:28" x14ac:dyDescent="0.55000000000000004">
      <c r="A33" s="171"/>
      <c r="B33" s="167" t="s">
        <v>1</v>
      </c>
      <c r="C33" s="168">
        <f>SUM(C30:C32)</f>
        <v>8591886</v>
      </c>
      <c r="D33" s="168">
        <f>SUM(D30:D32)</f>
        <v>10295834</v>
      </c>
      <c r="E33" s="168">
        <f>SUM(E30:E32)</f>
        <v>1703948</v>
      </c>
      <c r="F33" s="169">
        <f t="shared" si="66"/>
        <v>0.19832060155360534</v>
      </c>
      <c r="G33" s="170"/>
      <c r="H33" s="168">
        <f>SUM(H30:H32)</f>
        <v>5147917</v>
      </c>
      <c r="I33" s="168">
        <f t="shared" ref="I33:J33" si="75">SUM(I30:I32)</f>
        <v>4613137</v>
      </c>
      <c r="J33" s="168">
        <f t="shared" si="75"/>
        <v>534780</v>
      </c>
      <c r="K33" s="168">
        <f>SUM(K30:K32)</f>
        <v>5147917</v>
      </c>
      <c r="L33" s="168">
        <f t="shared" ref="L33:M33" si="76">SUM(L30:L32)</f>
        <v>4618509</v>
      </c>
      <c r="M33" s="168">
        <f t="shared" si="76"/>
        <v>529408</v>
      </c>
      <c r="N33" s="168">
        <f>SUM(N30:N32)</f>
        <v>10295834</v>
      </c>
      <c r="O33" s="170"/>
      <c r="P33" s="168">
        <f t="shared" ref="P33:U33" si="77">SUM(P30:P32)</f>
        <v>4613233.8158323336</v>
      </c>
      <c r="Q33" s="168">
        <f t="shared" si="77"/>
        <v>4618605.9158323333</v>
      </c>
      <c r="R33" s="168">
        <f t="shared" si="77"/>
        <v>534695.1</v>
      </c>
      <c r="S33" s="168">
        <f t="shared" si="77"/>
        <v>529323</v>
      </c>
      <c r="T33" s="168">
        <f t="shared" si="77"/>
        <v>5147928.9158323342</v>
      </c>
      <c r="U33" s="168">
        <f t="shared" si="77"/>
        <v>5147928.9158323342</v>
      </c>
      <c r="V33" s="168">
        <f>SUM(V30:V32)</f>
        <v>-23.831664668396115</v>
      </c>
      <c r="W33" s="169">
        <f t="shared" si="74"/>
        <v>-2.3146900647772794E-6</v>
      </c>
      <c r="Y33" s="176">
        <f>SUM(Y30:Y32)</f>
        <v>651395.28211630532</v>
      </c>
      <c r="Z33" s="176">
        <f>SUM(Z30:Z32)</f>
        <v>690711</v>
      </c>
      <c r="AA33" s="175">
        <f t="shared" si="62"/>
        <v>39315.717883694684</v>
      </c>
      <c r="AB33" s="169">
        <f t="shared" si="63"/>
        <v>6.0356160020015225E-2</v>
      </c>
    </row>
    <row r="34" spans="1:28" x14ac:dyDescent="0.55000000000000004">
      <c r="J34" s="177"/>
      <c r="M34" s="177"/>
      <c r="P34" s="177"/>
      <c r="Q34" s="177"/>
      <c r="R34" s="178"/>
      <c r="S34" s="178"/>
    </row>
    <row r="35" spans="1:28" x14ac:dyDescent="0.55000000000000004">
      <c r="A35" s="389" t="s">
        <v>21</v>
      </c>
      <c r="B35" s="390"/>
      <c r="C35" s="390"/>
      <c r="D35" s="390"/>
      <c r="E35" s="390"/>
      <c r="F35" s="391"/>
      <c r="H35" s="389" t="str">
        <f>A35</f>
        <v>Small Institution Supplement</v>
      </c>
      <c r="I35" s="390"/>
      <c r="J35" s="390"/>
      <c r="K35" s="390"/>
      <c r="L35" s="390"/>
      <c r="M35" s="390"/>
      <c r="N35" s="391"/>
      <c r="P35" s="389" t="s">
        <v>21</v>
      </c>
      <c r="Q35" s="390"/>
      <c r="R35" s="390"/>
      <c r="S35" s="390"/>
      <c r="T35" s="390"/>
      <c r="U35" s="390"/>
      <c r="V35" s="390"/>
      <c r="W35" s="391"/>
      <c r="Y35" s="389" t="s">
        <v>143</v>
      </c>
      <c r="Z35" s="390"/>
      <c r="AA35" s="390"/>
      <c r="AB35" s="391"/>
    </row>
    <row r="36" spans="1:28" x14ac:dyDescent="0.55000000000000004">
      <c r="A36" s="166" t="s">
        <v>55</v>
      </c>
      <c r="B36" s="167" t="s">
        <v>52</v>
      </c>
      <c r="C36" s="172">
        <v>2633134</v>
      </c>
      <c r="D36" s="168">
        <f>N36</f>
        <v>2313998</v>
      </c>
      <c r="E36" s="168">
        <f>D36-C36</f>
        <v>-319136</v>
      </c>
      <c r="F36" s="169">
        <f>E36/C36</f>
        <v>-0.12120006046027282</v>
      </c>
      <c r="G36" s="170"/>
      <c r="H36" s="173">
        <f>SUM(I36:J36)</f>
        <v>1156999</v>
      </c>
      <c r="I36" s="172">
        <v>1156999</v>
      </c>
      <c r="J36" s="174">
        <v>0</v>
      </c>
      <c r="K36" s="173">
        <f>SUM(L36:M36)</f>
        <v>1156999</v>
      </c>
      <c r="L36" s="172">
        <v>1156999</v>
      </c>
      <c r="M36" s="174">
        <v>0</v>
      </c>
      <c r="N36" s="168">
        <f>H36+K36</f>
        <v>2313998</v>
      </c>
      <c r="O36" s="170"/>
      <c r="P36" s="168">
        <f>T36-R36</f>
        <v>1156998.6402</v>
      </c>
      <c r="Q36" s="168">
        <f>U36-S36</f>
        <v>1156998.6402</v>
      </c>
      <c r="R36" s="168">
        <v>0</v>
      </c>
      <c r="S36" s="168">
        <v>0</v>
      </c>
      <c r="T36" s="168">
        <f>SIS!D4</f>
        <v>1156998.6402</v>
      </c>
      <c r="U36" s="168">
        <f>T36</f>
        <v>1156998.6402</v>
      </c>
      <c r="V36" s="168">
        <f t="shared" ref="V36:V38" si="78">N36-SUM(T36:U36)</f>
        <v>0.71959999995306134</v>
      </c>
      <c r="W36" s="169">
        <f t="shared" ref="W36:W39" si="79">V36/N36</f>
        <v>3.1097693254404771E-7</v>
      </c>
      <c r="Y36" s="176">
        <f>Comparison!H5</f>
        <v>4788</v>
      </c>
      <c r="Z36" s="176">
        <f>Comparison!J5</f>
        <v>5606</v>
      </c>
      <c r="AA36" s="175">
        <f t="shared" ref="AA36:AA38" si="80">Z36-Y36</f>
        <v>818</v>
      </c>
      <c r="AB36" s="169">
        <f t="shared" ref="AB36:AB39" si="81">AA36/Y36</f>
        <v>0.17084377610693399</v>
      </c>
    </row>
    <row r="37" spans="1:28" x14ac:dyDescent="0.55000000000000004">
      <c r="A37" s="166" t="s">
        <v>56</v>
      </c>
      <c r="B37" s="167" t="s">
        <v>53</v>
      </c>
      <c r="C37" s="172">
        <v>2633134</v>
      </c>
      <c r="D37" s="168">
        <f t="shared" ref="D37:D38" si="82">N37</f>
        <v>2633134</v>
      </c>
      <c r="E37" s="168">
        <f t="shared" ref="E37:E38" si="83">D37-C37</f>
        <v>0</v>
      </c>
      <c r="F37" s="169">
        <f t="shared" ref="F37:F39" si="84">E37/C37</f>
        <v>0</v>
      </c>
      <c r="G37" s="170"/>
      <c r="H37" s="173">
        <f t="shared" ref="H37:H38" si="85">SUM(I37:J37)</f>
        <v>1316567</v>
      </c>
      <c r="I37" s="172">
        <v>1316567</v>
      </c>
      <c r="J37" s="174">
        <v>0</v>
      </c>
      <c r="K37" s="173">
        <f t="shared" ref="K37:K38" si="86">SUM(L37:M37)</f>
        <v>1316567</v>
      </c>
      <c r="L37" s="172">
        <v>1316567</v>
      </c>
      <c r="M37" s="174">
        <v>0</v>
      </c>
      <c r="N37" s="168">
        <f t="shared" ref="N37:N38" si="87">H37+K37</f>
        <v>2633134</v>
      </c>
      <c r="O37" s="170"/>
      <c r="P37" s="168">
        <f t="shared" ref="P37:P38" si="88">T37-R37</f>
        <v>1316566.5</v>
      </c>
      <c r="Q37" s="168">
        <f t="shared" ref="Q37:Q38" si="89">U37-S37</f>
        <v>1316566.5</v>
      </c>
      <c r="R37" s="168">
        <v>0</v>
      </c>
      <c r="S37" s="168">
        <v>0</v>
      </c>
      <c r="T37" s="168">
        <f>SIS!D5</f>
        <v>1316566.5</v>
      </c>
      <c r="U37" s="168">
        <f>T37</f>
        <v>1316566.5</v>
      </c>
      <c r="V37" s="168">
        <f t="shared" si="78"/>
        <v>1</v>
      </c>
      <c r="W37" s="169">
        <f t="shared" si="79"/>
        <v>3.7977558301248627E-7</v>
      </c>
      <c r="Y37" s="176">
        <f>Comparison!H6</f>
        <v>2629</v>
      </c>
      <c r="Z37" s="176">
        <f>Comparison!J6</f>
        <v>3613</v>
      </c>
      <c r="AA37" s="175">
        <f t="shared" si="80"/>
        <v>984</v>
      </c>
      <c r="AB37" s="169">
        <f t="shared" si="81"/>
        <v>0.37428680106504375</v>
      </c>
    </row>
    <row r="38" spans="1:28" x14ac:dyDescent="0.55000000000000004">
      <c r="A38" s="166" t="s">
        <v>57</v>
      </c>
      <c r="B38" s="167" t="s">
        <v>54</v>
      </c>
      <c r="C38" s="172">
        <v>2633134</v>
      </c>
      <c r="D38" s="168">
        <f t="shared" si="82"/>
        <v>2633134</v>
      </c>
      <c r="E38" s="168">
        <f t="shared" si="83"/>
        <v>0</v>
      </c>
      <c r="F38" s="169">
        <f t="shared" si="84"/>
        <v>0</v>
      </c>
      <c r="G38" s="170"/>
      <c r="H38" s="173">
        <f t="shared" si="85"/>
        <v>1316567</v>
      </c>
      <c r="I38" s="172">
        <v>1316567</v>
      </c>
      <c r="J38" s="174">
        <v>0</v>
      </c>
      <c r="K38" s="173">
        <f t="shared" si="86"/>
        <v>1316567</v>
      </c>
      <c r="L38" s="172">
        <v>1316567</v>
      </c>
      <c r="M38" s="174">
        <v>0</v>
      </c>
      <c r="N38" s="168">
        <f t="shared" si="87"/>
        <v>2633134</v>
      </c>
      <c r="O38" s="170"/>
      <c r="P38" s="168">
        <f t="shared" si="88"/>
        <v>1316566.5</v>
      </c>
      <c r="Q38" s="168">
        <f t="shared" si="89"/>
        <v>1316566.5</v>
      </c>
      <c r="R38" s="168">
        <v>0</v>
      </c>
      <c r="S38" s="168">
        <v>0</v>
      </c>
      <c r="T38" s="168">
        <f>SIS!D6</f>
        <v>1316566.5</v>
      </c>
      <c r="U38" s="168">
        <f>T38</f>
        <v>1316566.5</v>
      </c>
      <c r="V38" s="168">
        <f t="shared" si="78"/>
        <v>1</v>
      </c>
      <c r="W38" s="169">
        <f t="shared" si="79"/>
        <v>3.7977558301248627E-7</v>
      </c>
      <c r="Y38" s="176">
        <f>Comparison!H7</f>
        <v>2698</v>
      </c>
      <c r="Z38" s="176">
        <f>Comparison!J7</f>
        <v>4682</v>
      </c>
      <c r="AA38" s="175">
        <f t="shared" si="80"/>
        <v>1984</v>
      </c>
      <c r="AB38" s="169">
        <f t="shared" si="81"/>
        <v>0.73535952557449968</v>
      </c>
    </row>
    <row r="39" spans="1:28" x14ac:dyDescent="0.55000000000000004">
      <c r="A39" s="171"/>
      <c r="B39" s="167" t="s">
        <v>1</v>
      </c>
      <c r="C39" s="168">
        <f>SUM(C36:C38)</f>
        <v>7899402</v>
      </c>
      <c r="D39" s="168">
        <f>SUM(D36:D38)</f>
        <v>7580266</v>
      </c>
      <c r="E39" s="168">
        <f>SUM(E36:E38)</f>
        <v>-319136</v>
      </c>
      <c r="F39" s="169">
        <f t="shared" si="84"/>
        <v>-4.0400020153424275E-2</v>
      </c>
      <c r="G39" s="170"/>
      <c r="H39" s="168">
        <f>SUM(H36:H38)</f>
        <v>3790133</v>
      </c>
      <c r="I39" s="168">
        <f t="shared" ref="I39:J39" si="90">SUM(I36:I38)</f>
        <v>3790133</v>
      </c>
      <c r="J39" s="168">
        <f t="shared" si="90"/>
        <v>0</v>
      </c>
      <c r="K39" s="168">
        <f>SUM(K36:K38)</f>
        <v>3790133</v>
      </c>
      <c r="L39" s="168">
        <f t="shared" ref="L39:M39" si="91">SUM(L36:L38)</f>
        <v>3790133</v>
      </c>
      <c r="M39" s="168">
        <f t="shared" si="91"/>
        <v>0</v>
      </c>
      <c r="N39" s="168">
        <f>SUM(N36:N38)</f>
        <v>7580266</v>
      </c>
      <c r="O39" s="170"/>
      <c r="P39" s="168">
        <f>SUM(P36:P38)</f>
        <v>3790131.6402000003</v>
      </c>
      <c r="Q39" s="168">
        <f>SUM(Q36:Q38)</f>
        <v>3790131.6402000003</v>
      </c>
      <c r="R39" s="168">
        <v>0</v>
      </c>
      <c r="S39" s="168">
        <v>0</v>
      </c>
      <c r="T39" s="168">
        <f>SUM(T36:T38)</f>
        <v>3790131.6402000003</v>
      </c>
      <c r="U39" s="168">
        <f>SUM(U36:U38)</f>
        <v>3790131.6402000003</v>
      </c>
      <c r="V39" s="168">
        <f>SUM(V36:V38)</f>
        <v>2.7195999999530613</v>
      </c>
      <c r="W39" s="169">
        <f t="shared" si="79"/>
        <v>3.5877368946591864E-7</v>
      </c>
      <c r="Y39" s="176">
        <f>SUM(Y36:Y38)</f>
        <v>10115</v>
      </c>
      <c r="Z39" s="176">
        <f>SUM(Z36:Z38)</f>
        <v>13901</v>
      </c>
      <c r="AA39" s="176">
        <f>SUM(AA36:AA38)</f>
        <v>3786</v>
      </c>
      <c r="AB39" s="169">
        <f t="shared" si="81"/>
        <v>0.37429560059317846</v>
      </c>
    </row>
    <row r="41" spans="1:28" x14ac:dyDescent="0.55000000000000004">
      <c r="A41" s="389" t="s">
        <v>22</v>
      </c>
      <c r="B41" s="390"/>
      <c r="C41" s="390"/>
      <c r="D41" s="390"/>
      <c r="E41" s="390"/>
      <c r="F41" s="391"/>
      <c r="P41" s="389" t="s">
        <v>22</v>
      </c>
      <c r="Q41" s="390"/>
      <c r="R41" s="390"/>
      <c r="S41" s="390"/>
      <c r="T41" s="390"/>
      <c r="U41" s="390"/>
      <c r="V41" s="390"/>
      <c r="W41" s="391"/>
    </row>
    <row r="42" spans="1:28" x14ac:dyDescent="0.55000000000000004">
      <c r="A42" s="166" t="s">
        <v>55</v>
      </c>
      <c r="B42" s="167" t="s">
        <v>52</v>
      </c>
      <c r="C42" s="172">
        <v>8762111</v>
      </c>
      <c r="D42" s="168">
        <f>SUM(R42:S42)</f>
        <v>6501090</v>
      </c>
      <c r="E42" s="168">
        <f t="shared" ref="E42:E44" si="92">D42-C42</f>
        <v>-2261021</v>
      </c>
      <c r="F42" s="169">
        <f t="shared" ref="F42:F45" si="93">E42/C42</f>
        <v>-0.25804523590262668</v>
      </c>
      <c r="G42" s="170"/>
      <c r="H42" s="170"/>
      <c r="I42" s="170"/>
      <c r="J42" s="170"/>
      <c r="K42" s="170"/>
      <c r="L42" s="170"/>
      <c r="M42" s="170"/>
      <c r="N42" s="170"/>
      <c r="O42" s="170"/>
      <c r="P42" s="179"/>
      <c r="Q42" s="180"/>
      <c r="R42" s="181">
        <v>3250545</v>
      </c>
      <c r="S42" s="182">
        <v>3250545</v>
      </c>
      <c r="T42" s="179"/>
      <c r="U42" s="183"/>
      <c r="V42" s="184"/>
      <c r="W42" s="185"/>
    </row>
    <row r="43" spans="1:28" x14ac:dyDescent="0.55000000000000004">
      <c r="A43" s="166" t="s">
        <v>56</v>
      </c>
      <c r="B43" s="167" t="s">
        <v>53</v>
      </c>
      <c r="C43" s="172">
        <v>4605405</v>
      </c>
      <c r="D43" s="168">
        <f t="shared" ref="D43:D44" si="94">SUM(R43:S43)</f>
        <v>3599010</v>
      </c>
      <c r="E43" s="168">
        <f t="shared" si="92"/>
        <v>-1006395</v>
      </c>
      <c r="F43" s="169">
        <f t="shared" si="93"/>
        <v>-0.21852475515182704</v>
      </c>
      <c r="G43" s="170"/>
      <c r="H43" s="170"/>
      <c r="I43" s="170"/>
      <c r="J43" s="170"/>
      <c r="K43" s="170"/>
      <c r="L43" s="170"/>
      <c r="M43" s="170"/>
      <c r="N43" s="170"/>
      <c r="O43" s="170"/>
      <c r="P43" s="186"/>
      <c r="Q43" s="187"/>
      <c r="R43" s="181">
        <v>1799505</v>
      </c>
      <c r="S43" s="182">
        <v>1799505</v>
      </c>
      <c r="T43" s="186"/>
      <c r="U43" s="188"/>
      <c r="V43" s="189"/>
      <c r="W43" s="190"/>
    </row>
    <row r="44" spans="1:28" x14ac:dyDescent="0.55000000000000004">
      <c r="A44" s="166" t="s">
        <v>57</v>
      </c>
      <c r="B44" s="167" t="s">
        <v>54</v>
      </c>
      <c r="C44" s="172">
        <v>4385395</v>
      </c>
      <c r="D44" s="168">
        <f t="shared" si="94"/>
        <v>3609630</v>
      </c>
      <c r="E44" s="168">
        <f t="shared" si="92"/>
        <v>-775765</v>
      </c>
      <c r="F44" s="169">
        <f t="shared" si="93"/>
        <v>-0.176897406048942</v>
      </c>
      <c r="G44" s="170"/>
      <c r="H44" s="170"/>
      <c r="I44" s="170"/>
      <c r="J44" s="170"/>
      <c r="K44" s="170"/>
      <c r="L44" s="170"/>
      <c r="M44" s="170"/>
      <c r="N44" s="170"/>
      <c r="O44" s="170"/>
      <c r="P44" s="186"/>
      <c r="Q44" s="187"/>
      <c r="R44" s="181">
        <v>1804815</v>
      </c>
      <c r="S44" s="182">
        <v>1804815</v>
      </c>
      <c r="T44" s="186"/>
      <c r="U44" s="188"/>
      <c r="V44" s="189"/>
      <c r="W44" s="190"/>
    </row>
    <row r="45" spans="1:28" x14ac:dyDescent="0.55000000000000004">
      <c r="A45" s="171"/>
      <c r="B45" s="167" t="s">
        <v>1</v>
      </c>
      <c r="C45" s="168">
        <f>SUM(C42:C44)</f>
        <v>17752911</v>
      </c>
      <c r="D45" s="168">
        <f>SUM(D42:D44)</f>
        <v>13709730</v>
      </c>
      <c r="E45" s="168">
        <f>SUM(E42:E44)</f>
        <v>-4043181</v>
      </c>
      <c r="F45" s="169">
        <f t="shared" si="93"/>
        <v>-0.22774749448132758</v>
      </c>
      <c r="G45" s="170"/>
      <c r="H45" s="170"/>
      <c r="I45" s="170"/>
      <c r="J45" s="170"/>
      <c r="K45" s="170"/>
      <c r="L45" s="170"/>
      <c r="M45" s="170"/>
      <c r="N45" s="170"/>
      <c r="O45" s="170"/>
      <c r="P45" s="191"/>
      <c r="Q45" s="192"/>
      <c r="R45" s="173">
        <f>SUM(R42:R44)</f>
        <v>6854865</v>
      </c>
      <c r="S45" s="193">
        <f>SUM(S42:S44)</f>
        <v>6854865</v>
      </c>
      <c r="T45" s="191"/>
      <c r="U45" s="194"/>
      <c r="V45" s="195"/>
      <c r="W45" s="196"/>
    </row>
    <row r="47" spans="1:28" x14ac:dyDescent="0.55000000000000004">
      <c r="A47" s="389" t="s">
        <v>23</v>
      </c>
      <c r="B47" s="390"/>
      <c r="C47" s="390"/>
      <c r="D47" s="390"/>
      <c r="E47" s="390"/>
      <c r="F47" s="391"/>
      <c r="P47" s="389" t="s">
        <v>23</v>
      </c>
      <c r="Q47" s="390"/>
      <c r="R47" s="390"/>
      <c r="S47" s="390"/>
      <c r="T47" s="390"/>
      <c r="U47" s="390"/>
      <c r="V47" s="390"/>
      <c r="W47" s="391"/>
    </row>
    <row r="48" spans="1:28" x14ac:dyDescent="0.55000000000000004">
      <c r="A48" s="166" t="s">
        <v>55</v>
      </c>
      <c r="B48" s="167" t="s">
        <v>52</v>
      </c>
      <c r="C48" s="172">
        <v>806862</v>
      </c>
      <c r="D48" s="168">
        <f>SUM(R48:S48)</f>
        <v>818676</v>
      </c>
      <c r="E48" s="168">
        <f t="shared" ref="E48" si="95">D48-C48</f>
        <v>11814</v>
      </c>
      <c r="F48" s="169">
        <f t="shared" ref="F48" si="96">E48/C48</f>
        <v>1.4641909025335187E-2</v>
      </c>
      <c r="G48" s="170"/>
      <c r="H48" s="170"/>
      <c r="I48" s="170"/>
      <c r="J48" s="170"/>
      <c r="K48" s="170"/>
      <c r="L48" s="170"/>
      <c r="M48" s="170"/>
      <c r="N48" s="170"/>
      <c r="O48" s="170"/>
      <c r="P48" s="179"/>
      <c r="Q48" s="180"/>
      <c r="R48" s="181">
        <v>409338</v>
      </c>
      <c r="S48" s="182">
        <v>409338</v>
      </c>
      <c r="T48" s="179"/>
      <c r="U48" s="183"/>
      <c r="V48" s="184"/>
      <c r="W48" s="185"/>
    </row>
    <row r="49" spans="1:23" x14ac:dyDescent="0.55000000000000004">
      <c r="A49" s="166" t="s">
        <v>56</v>
      </c>
      <c r="B49" s="167" t="s">
        <v>53</v>
      </c>
      <c r="C49" s="172">
        <v>881405</v>
      </c>
      <c r="D49" s="168">
        <f t="shared" ref="D49:D50" si="97">SUM(R49:S49)</f>
        <v>593220</v>
      </c>
      <c r="E49" s="168">
        <f t="shared" ref="E49:E50" si="98">D49-C49</f>
        <v>-288185</v>
      </c>
      <c r="F49" s="169">
        <f t="shared" ref="F49:F51" si="99">E49/C49</f>
        <v>-0.32696093169428359</v>
      </c>
      <c r="G49" s="170"/>
      <c r="H49" s="170"/>
      <c r="I49" s="170"/>
      <c r="J49" s="170"/>
      <c r="K49" s="170"/>
      <c r="L49" s="170"/>
      <c r="M49" s="170"/>
      <c r="N49" s="170"/>
      <c r="O49" s="170"/>
      <c r="P49" s="186"/>
      <c r="Q49" s="187"/>
      <c r="R49" s="181">
        <v>296610</v>
      </c>
      <c r="S49" s="182">
        <v>296610</v>
      </c>
      <c r="T49" s="186"/>
      <c r="U49" s="188"/>
      <c r="V49" s="189"/>
      <c r="W49" s="190"/>
    </row>
    <row r="50" spans="1:23" x14ac:dyDescent="0.55000000000000004">
      <c r="A50" s="166" t="s">
        <v>57</v>
      </c>
      <c r="B50" s="167" t="s">
        <v>54</v>
      </c>
      <c r="C50" s="172">
        <v>405645</v>
      </c>
      <c r="D50" s="168">
        <f t="shared" si="97"/>
        <v>260280</v>
      </c>
      <c r="E50" s="168">
        <f t="shared" si="98"/>
        <v>-145365</v>
      </c>
      <c r="F50" s="169">
        <f t="shared" si="99"/>
        <v>-0.35835521206966681</v>
      </c>
      <c r="G50" s="170"/>
      <c r="H50" s="170"/>
      <c r="I50" s="170"/>
      <c r="J50" s="170"/>
      <c r="K50" s="170"/>
      <c r="L50" s="170"/>
      <c r="M50" s="170"/>
      <c r="N50" s="170"/>
      <c r="O50" s="170"/>
      <c r="P50" s="186"/>
      <c r="Q50" s="187"/>
      <c r="R50" s="181">
        <v>130140</v>
      </c>
      <c r="S50" s="182">
        <v>130140</v>
      </c>
      <c r="T50" s="186"/>
      <c r="U50" s="188"/>
      <c r="V50" s="189"/>
      <c r="W50" s="190"/>
    </row>
    <row r="51" spans="1:23" x14ac:dyDescent="0.55000000000000004">
      <c r="A51" s="171"/>
      <c r="B51" s="167" t="s">
        <v>1</v>
      </c>
      <c r="C51" s="168">
        <f>SUM(C48:C50)</f>
        <v>2093912</v>
      </c>
      <c r="D51" s="168">
        <f>SUM(D48:D50)</f>
        <v>1672176</v>
      </c>
      <c r="E51" s="168">
        <f>SUM(E48:E50)</f>
        <v>-421736</v>
      </c>
      <c r="F51" s="169">
        <f t="shared" si="99"/>
        <v>-0.20141056548699277</v>
      </c>
      <c r="G51" s="170"/>
      <c r="H51" s="170"/>
      <c r="I51" s="170"/>
      <c r="J51" s="170"/>
      <c r="K51" s="170"/>
      <c r="L51" s="170"/>
      <c r="M51" s="170"/>
      <c r="N51" s="170"/>
      <c r="O51" s="170"/>
      <c r="P51" s="191"/>
      <c r="Q51" s="192"/>
      <c r="R51" s="173">
        <f>SUM(R48:R50)</f>
        <v>836088</v>
      </c>
      <c r="S51" s="193">
        <f>SUM(S48:S50)</f>
        <v>836088</v>
      </c>
      <c r="T51" s="191"/>
      <c r="U51" s="194"/>
      <c r="V51" s="195"/>
      <c r="W51" s="196"/>
    </row>
    <row r="53" spans="1:23" x14ac:dyDescent="0.55000000000000004">
      <c r="A53" s="389" t="s">
        <v>24</v>
      </c>
      <c r="B53" s="390"/>
      <c r="C53" s="390"/>
      <c r="D53" s="390"/>
      <c r="E53" s="390"/>
      <c r="F53" s="391"/>
      <c r="P53" s="389" t="s">
        <v>24</v>
      </c>
      <c r="Q53" s="390"/>
      <c r="R53" s="390"/>
      <c r="S53" s="390"/>
      <c r="T53" s="390"/>
      <c r="U53" s="390"/>
      <c r="V53" s="390"/>
      <c r="W53" s="391"/>
    </row>
    <row r="54" spans="1:23" x14ac:dyDescent="0.55000000000000004">
      <c r="A54" s="166" t="s">
        <v>55</v>
      </c>
      <c r="B54" s="167" t="s">
        <v>52</v>
      </c>
      <c r="C54" s="172">
        <v>499542</v>
      </c>
      <c r="D54" s="168">
        <f>SUM(R54:S54)</f>
        <v>541339</v>
      </c>
      <c r="E54" s="168">
        <f t="shared" ref="E54:E56" si="100">SUM(E51:E53)</f>
        <v>-421736</v>
      </c>
      <c r="F54" s="169">
        <f>E54/C54</f>
        <v>-0.84424532872110858</v>
      </c>
      <c r="G54" s="170"/>
      <c r="H54" s="170"/>
      <c r="I54" s="170"/>
      <c r="J54" s="170"/>
      <c r="K54" s="170"/>
      <c r="L54" s="170"/>
      <c r="M54" s="170"/>
      <c r="N54" s="170"/>
      <c r="O54" s="170"/>
      <c r="P54" s="179"/>
      <c r="Q54" s="180"/>
      <c r="R54" s="181">
        <v>260265</v>
      </c>
      <c r="S54" s="182">
        <v>281074</v>
      </c>
      <c r="T54" s="179"/>
      <c r="U54" s="183"/>
      <c r="V54" s="184"/>
      <c r="W54" s="185"/>
    </row>
    <row r="55" spans="1:23" x14ac:dyDescent="0.55000000000000004">
      <c r="A55" s="166" t="s">
        <v>56</v>
      </c>
      <c r="B55" s="167" t="s">
        <v>53</v>
      </c>
      <c r="C55" s="172">
        <v>419868</v>
      </c>
      <c r="D55" s="168">
        <f t="shared" ref="D55:D56" si="101">SUM(R55:S55)</f>
        <v>366156</v>
      </c>
      <c r="E55" s="168">
        <f t="shared" si="100"/>
        <v>-421736</v>
      </c>
      <c r="F55" s="169">
        <f t="shared" ref="F55:F57" si="102">E55/C55</f>
        <v>-1.0044490173102023</v>
      </c>
      <c r="G55" s="170"/>
      <c r="H55" s="170"/>
      <c r="I55" s="170"/>
      <c r="J55" s="170"/>
      <c r="K55" s="170"/>
      <c r="L55" s="170"/>
      <c r="M55" s="170"/>
      <c r="N55" s="170"/>
      <c r="O55" s="170"/>
      <c r="P55" s="186"/>
      <c r="Q55" s="187"/>
      <c r="R55" s="181">
        <v>176037</v>
      </c>
      <c r="S55" s="182">
        <v>190119</v>
      </c>
      <c r="T55" s="186"/>
      <c r="U55" s="188"/>
      <c r="V55" s="189"/>
      <c r="W55" s="190"/>
    </row>
    <row r="56" spans="1:23" x14ac:dyDescent="0.55000000000000004">
      <c r="A56" s="166" t="s">
        <v>57</v>
      </c>
      <c r="B56" s="167" t="s">
        <v>54</v>
      </c>
      <c r="C56" s="172">
        <v>512798</v>
      </c>
      <c r="D56" s="168">
        <f t="shared" si="101"/>
        <v>489878</v>
      </c>
      <c r="E56" s="168">
        <f t="shared" si="100"/>
        <v>-843472</v>
      </c>
      <c r="F56" s="169">
        <f t="shared" si="102"/>
        <v>-1.6448426085905172</v>
      </c>
      <c r="G56" s="170"/>
      <c r="H56" s="170"/>
      <c r="I56" s="170"/>
      <c r="J56" s="170"/>
      <c r="K56" s="170"/>
      <c r="L56" s="170"/>
      <c r="M56" s="170"/>
      <c r="N56" s="170"/>
      <c r="O56" s="170"/>
      <c r="P56" s="186"/>
      <c r="Q56" s="187"/>
      <c r="R56" s="181">
        <v>235524</v>
      </c>
      <c r="S56" s="182">
        <v>254354</v>
      </c>
      <c r="T56" s="186"/>
      <c r="U56" s="188"/>
      <c r="V56" s="189"/>
      <c r="W56" s="190"/>
    </row>
    <row r="57" spans="1:23" x14ac:dyDescent="0.55000000000000004">
      <c r="A57" s="171"/>
      <c r="B57" s="167" t="s">
        <v>1</v>
      </c>
      <c r="C57" s="168">
        <f>SUM(C54:C56)</f>
        <v>1432208</v>
      </c>
      <c r="D57" s="168">
        <f>SUM(D54:D56)</f>
        <v>1397373</v>
      </c>
      <c r="E57" s="168">
        <f>SUM(E54:E56)</f>
        <v>-1686944</v>
      </c>
      <c r="F57" s="169">
        <f t="shared" si="102"/>
        <v>-1.1778624333895635</v>
      </c>
      <c r="G57" s="170"/>
      <c r="H57" s="170"/>
      <c r="I57" s="170"/>
      <c r="J57" s="170"/>
      <c r="K57" s="170"/>
      <c r="L57" s="170"/>
      <c r="M57" s="170"/>
      <c r="N57" s="170"/>
      <c r="O57" s="170"/>
      <c r="P57" s="191"/>
      <c r="Q57" s="192"/>
      <c r="R57" s="173">
        <f>SUM(R54:R56)</f>
        <v>671826</v>
      </c>
      <c r="S57" s="193">
        <f>SUM(S54:S56)</f>
        <v>725547</v>
      </c>
      <c r="T57" s="191"/>
      <c r="U57" s="194"/>
      <c r="V57" s="195"/>
      <c r="W57" s="196"/>
    </row>
    <row r="58" spans="1:23" x14ac:dyDescent="0.55000000000000004">
      <c r="B58" s="197"/>
      <c r="C58" s="198"/>
      <c r="D58" s="198"/>
      <c r="E58" s="198"/>
      <c r="F58" s="199"/>
      <c r="G58" s="170"/>
      <c r="H58" s="170"/>
      <c r="I58" s="170"/>
      <c r="J58" s="170"/>
      <c r="K58" s="170"/>
      <c r="L58" s="170"/>
      <c r="M58" s="170"/>
      <c r="N58" s="170"/>
      <c r="O58" s="170"/>
      <c r="P58" s="200"/>
      <c r="Q58" s="200"/>
      <c r="R58" s="201"/>
      <c r="S58" s="201"/>
      <c r="T58" s="200"/>
      <c r="U58" s="200"/>
      <c r="V58" s="189"/>
      <c r="W58" s="189"/>
    </row>
    <row r="59" spans="1:23" x14ac:dyDescent="0.55000000000000004">
      <c r="A59" s="202"/>
      <c r="B59" s="203"/>
      <c r="C59" s="203"/>
      <c r="D59" s="203"/>
      <c r="E59" s="203"/>
      <c r="R59" s="200"/>
      <c r="S59" s="200"/>
    </row>
    <row r="60" spans="1:23" x14ac:dyDescent="0.55000000000000004">
      <c r="B60" s="203"/>
      <c r="C60" s="203"/>
      <c r="D60" s="203"/>
      <c r="E60" s="203"/>
      <c r="R60" s="200"/>
      <c r="S60" s="200"/>
    </row>
    <row r="61" spans="1:23" ht="20.399999999999999" x14ac:dyDescent="0.55000000000000004">
      <c r="A61" s="204" t="s">
        <v>264</v>
      </c>
      <c r="B61" s="203"/>
      <c r="C61" s="203"/>
      <c r="D61" s="203"/>
      <c r="E61" s="203"/>
      <c r="P61" s="205"/>
      <c r="Q61" s="205"/>
      <c r="R61" s="200"/>
      <c r="S61" s="200"/>
    </row>
    <row r="62" spans="1:23" x14ac:dyDescent="0.55000000000000004">
      <c r="A62" s="393"/>
      <c r="B62" s="393"/>
      <c r="C62" s="393"/>
      <c r="D62" s="393"/>
      <c r="E62" s="393"/>
      <c r="P62" s="205"/>
      <c r="Q62" s="205"/>
      <c r="R62" s="200"/>
      <c r="S62" s="200"/>
    </row>
    <row r="63" spans="1:23" x14ac:dyDescent="0.55000000000000004">
      <c r="P63" s="205"/>
      <c r="Q63" s="205"/>
      <c r="R63" s="200"/>
      <c r="S63" s="200"/>
    </row>
    <row r="64" spans="1:23" x14ac:dyDescent="0.55000000000000004">
      <c r="F64" s="200"/>
      <c r="P64" s="205"/>
      <c r="Q64" s="205"/>
      <c r="R64" s="200"/>
      <c r="S64" s="200"/>
    </row>
    <row r="65" spans="1:21" x14ac:dyDescent="0.55000000000000004">
      <c r="A65" s="392"/>
      <c r="B65" s="392"/>
      <c r="C65" s="392"/>
      <c r="D65" s="392"/>
      <c r="E65" s="392"/>
      <c r="F65" s="200"/>
      <c r="R65" s="200"/>
      <c r="S65" s="200"/>
    </row>
    <row r="66" spans="1:21" x14ac:dyDescent="0.55000000000000004">
      <c r="A66" s="392"/>
      <c r="B66" s="392"/>
      <c r="C66" s="392"/>
      <c r="D66" s="392"/>
      <c r="E66" s="392"/>
      <c r="F66" s="200"/>
      <c r="P66" s="200"/>
      <c r="Q66" s="200"/>
      <c r="R66" s="200"/>
      <c r="S66" s="200"/>
      <c r="T66" s="200"/>
      <c r="U66" s="200"/>
    </row>
    <row r="67" spans="1:21" x14ac:dyDescent="0.55000000000000004">
      <c r="A67" s="392"/>
      <c r="B67" s="392"/>
      <c r="C67" s="392"/>
      <c r="D67" s="392"/>
      <c r="E67" s="392"/>
      <c r="F67" s="200"/>
      <c r="P67" s="200"/>
      <c r="Q67" s="200"/>
      <c r="R67" s="200"/>
      <c r="S67" s="200"/>
      <c r="T67" s="200"/>
      <c r="U67" s="200"/>
    </row>
    <row r="68" spans="1:21" x14ac:dyDescent="0.55000000000000004">
      <c r="P68" s="200"/>
      <c r="Q68" s="200"/>
      <c r="R68" s="200"/>
      <c r="S68" s="200"/>
      <c r="T68" s="200"/>
      <c r="U68" s="200"/>
    </row>
    <row r="69" spans="1:21" x14ac:dyDescent="0.55000000000000004">
      <c r="P69" s="200"/>
      <c r="Q69" s="200"/>
      <c r="R69" s="200"/>
      <c r="S69" s="200"/>
      <c r="T69" s="200"/>
      <c r="U69" s="200"/>
    </row>
  </sheetData>
  <mergeCells count="36">
    <mergeCell ref="Y3:AB3"/>
    <mergeCell ref="C3:F3"/>
    <mergeCell ref="H3:N3"/>
    <mergeCell ref="P3:W3"/>
    <mergeCell ref="Y5:AB5"/>
    <mergeCell ref="H5:N5"/>
    <mergeCell ref="Y17:AB17"/>
    <mergeCell ref="Y23:AB23"/>
    <mergeCell ref="Y29:AB29"/>
    <mergeCell ref="Y35:AB35"/>
    <mergeCell ref="A5:F5"/>
    <mergeCell ref="A35:F35"/>
    <mergeCell ref="A29:F29"/>
    <mergeCell ref="A23:F23"/>
    <mergeCell ref="A11:F11"/>
    <mergeCell ref="H35:N35"/>
    <mergeCell ref="P5:W5"/>
    <mergeCell ref="P11:W11"/>
    <mergeCell ref="P17:W17"/>
    <mergeCell ref="P23:W23"/>
    <mergeCell ref="P29:W29"/>
    <mergeCell ref="P35:W35"/>
    <mergeCell ref="P41:W41"/>
    <mergeCell ref="P47:W47"/>
    <mergeCell ref="P53:W53"/>
    <mergeCell ref="A53:F53"/>
    <mergeCell ref="A47:F47"/>
    <mergeCell ref="A41:F41"/>
    <mergeCell ref="H11:N11"/>
    <mergeCell ref="H17:N17"/>
    <mergeCell ref="H23:N23"/>
    <mergeCell ref="H29:N29"/>
    <mergeCell ref="A67:E67"/>
    <mergeCell ref="A62:E62"/>
    <mergeCell ref="A65:E66"/>
    <mergeCell ref="A17:F17"/>
  </mergeCells>
  <pageMargins left="0.39" right="0.43" top="0.75" bottom="0.75" header="0.3" footer="0.3"/>
  <pageSetup orientation="portrait" r:id="rId1"/>
  <ignoredErrors>
    <ignoredError sqref="H36:H3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T89"/>
  <sheetViews>
    <sheetView showGridLines="0" zoomScale="85" zoomScaleNormal="85" workbookViewId="0">
      <pane xSplit="2" ySplit="3" topLeftCell="C4" activePane="bottomRight" state="frozen"/>
      <selection activeCell="J27" sqref="J27"/>
      <selection pane="topRight" activeCell="J27" sqref="J27"/>
      <selection pane="bottomLeft" activeCell="J27" sqref="J27"/>
      <selection pane="bottomRight"/>
    </sheetView>
  </sheetViews>
  <sheetFormatPr defaultColWidth="8.5546875" defaultRowHeight="18" x14ac:dyDescent="0.5"/>
  <cols>
    <col min="1" max="1" width="8.5546875" style="222" customWidth="1"/>
    <col min="2" max="2" width="5.5546875" style="223" bestFit="1" customWidth="1"/>
    <col min="3" max="3" width="9" style="223" bestFit="1" customWidth="1"/>
    <col min="4" max="4" width="11.109375" style="208" bestFit="1" customWidth="1"/>
    <col min="5" max="5" width="10.33203125" style="208" customWidth="1"/>
    <col min="6" max="6" width="16.44140625" style="208" bestFit="1" customWidth="1"/>
    <col min="7" max="7" width="14.44140625" style="208" bestFit="1" customWidth="1"/>
    <col min="8" max="8" width="10.5546875" style="208" bestFit="1" customWidth="1"/>
    <col min="9" max="9" width="10.109375" style="208" customWidth="1"/>
    <col min="10" max="10" width="15.44140625" style="208" customWidth="1"/>
    <col min="11" max="11" width="17" style="208" customWidth="1"/>
    <col min="12" max="12" width="11.5546875" style="208" customWidth="1"/>
    <col min="13" max="13" width="10.33203125" style="208" bestFit="1" customWidth="1"/>
    <col min="14" max="14" width="11.5546875" style="208" customWidth="1"/>
    <col min="15" max="15" width="10.33203125" style="208" bestFit="1" customWidth="1"/>
    <col min="16" max="16" width="11.5546875" style="208" customWidth="1"/>
    <col min="17" max="17" width="10.33203125" style="208" bestFit="1" customWidth="1"/>
    <col min="18" max="18" width="11.6640625" style="207" customWidth="1"/>
    <col min="19" max="19" width="15.33203125" style="207" bestFit="1" customWidth="1"/>
    <col min="20" max="20" width="16.44140625" style="207" bestFit="1" customWidth="1"/>
    <col min="21" max="16384" width="8.5546875" style="207"/>
  </cols>
  <sheetData>
    <row r="1" spans="1:20" x14ac:dyDescent="0.5">
      <c r="A1" s="206" t="str">
        <f>'Allocation Summary'!A1</f>
        <v>State Colleges Basis for Legislative Appropriations - 2026-2027</v>
      </c>
      <c r="B1" s="207"/>
      <c r="C1" s="207"/>
    </row>
    <row r="2" spans="1:20" ht="18.600000000000001" thickBot="1" x14ac:dyDescent="0.55000000000000004">
      <c r="A2" s="209" t="s">
        <v>307</v>
      </c>
      <c r="B2" s="207"/>
      <c r="C2" s="207"/>
    </row>
    <row r="3" spans="1:20" ht="72.599999999999994" thickBot="1" x14ac:dyDescent="0.55000000000000004">
      <c r="A3" s="210" t="s">
        <v>2</v>
      </c>
      <c r="B3" s="211" t="s">
        <v>4</v>
      </c>
      <c r="C3" s="211" t="s">
        <v>5</v>
      </c>
      <c r="D3" s="211" t="s">
        <v>6</v>
      </c>
      <c r="E3" s="211" t="s">
        <v>7</v>
      </c>
      <c r="F3" s="211" t="s">
        <v>8</v>
      </c>
      <c r="G3" s="211" t="s">
        <v>9</v>
      </c>
      <c r="H3" s="211" t="s">
        <v>10</v>
      </c>
      <c r="I3" s="211" t="s">
        <v>11</v>
      </c>
      <c r="J3" s="211" t="s">
        <v>12</v>
      </c>
      <c r="K3" s="211" t="s">
        <v>13</v>
      </c>
      <c r="L3" s="211" t="s">
        <v>6</v>
      </c>
      <c r="M3" s="211" t="s">
        <v>10</v>
      </c>
      <c r="N3" s="211" t="s">
        <v>14</v>
      </c>
      <c r="O3" s="211" t="s">
        <v>15</v>
      </c>
      <c r="P3" s="211" t="s">
        <v>16</v>
      </c>
      <c r="Q3" s="211" t="s">
        <v>17</v>
      </c>
      <c r="R3" s="211" t="s">
        <v>90</v>
      </c>
      <c r="S3" s="211" t="s">
        <v>91</v>
      </c>
      <c r="T3" s="212" t="s">
        <v>89</v>
      </c>
    </row>
    <row r="4" spans="1:20" x14ac:dyDescent="0.5">
      <c r="A4" s="213">
        <v>36273</v>
      </c>
      <c r="B4" s="214">
        <v>1</v>
      </c>
      <c r="C4" s="215">
        <f>'Cost Study'!G6</f>
        <v>16.651516586975649</v>
      </c>
      <c r="D4" s="385">
        <v>0</v>
      </c>
      <c r="E4" s="385">
        <v>0</v>
      </c>
      <c r="F4" s="385">
        <v>0</v>
      </c>
      <c r="G4" s="385">
        <v>0</v>
      </c>
      <c r="H4" s="385">
        <v>0</v>
      </c>
      <c r="I4" s="385">
        <v>0</v>
      </c>
      <c r="J4" s="385">
        <v>0</v>
      </c>
      <c r="K4" s="385">
        <v>0</v>
      </c>
      <c r="L4" s="216">
        <f>SUM(D4:G4)</f>
        <v>0</v>
      </c>
      <c r="M4" s="216">
        <f>SUM(H4:K4)</f>
        <v>0</v>
      </c>
      <c r="N4" s="216">
        <f t="shared" ref="N4:N67" si="0">IF(B4&lt;28,E4+F4,0)*0.1</f>
        <v>0</v>
      </c>
      <c r="O4" s="216">
        <f t="shared" ref="O4:O67" si="1">IF(B4&lt;28,I4+K4,0)*0.1</f>
        <v>0</v>
      </c>
      <c r="P4" s="216">
        <f>L4+N4</f>
        <v>0</v>
      </c>
      <c r="Q4" s="216">
        <f>M4+O4</f>
        <v>0</v>
      </c>
      <c r="R4" s="217">
        <f>C4*P4</f>
        <v>0</v>
      </c>
      <c r="S4" s="217">
        <f>C4*Q4</f>
        <v>0</v>
      </c>
      <c r="T4" s="217">
        <f>(G4+F4*1.1)*C4</f>
        <v>0</v>
      </c>
    </row>
    <row r="5" spans="1:20" x14ac:dyDescent="0.5">
      <c r="A5" s="218">
        <v>36273</v>
      </c>
      <c r="B5" s="219">
        <v>2</v>
      </c>
      <c r="C5" s="388">
        <f>'Cost Study'!G7</f>
        <v>17.491173863232621</v>
      </c>
      <c r="D5" s="385">
        <v>0</v>
      </c>
      <c r="E5" s="385">
        <v>0</v>
      </c>
      <c r="F5" s="385">
        <v>0</v>
      </c>
      <c r="G5" s="385">
        <v>0</v>
      </c>
      <c r="H5" s="385">
        <v>164192.7165807304</v>
      </c>
      <c r="I5" s="385">
        <v>0</v>
      </c>
      <c r="J5" s="385">
        <v>9404</v>
      </c>
      <c r="K5" s="385">
        <v>0</v>
      </c>
      <c r="L5" s="221">
        <f t="shared" ref="L5:L58" si="2">SUM(D5:G5)</f>
        <v>0</v>
      </c>
      <c r="M5" s="221">
        <f t="shared" ref="M5:M58" si="3">SUM(H5:K5)</f>
        <v>173596.7165807304</v>
      </c>
      <c r="N5" s="221">
        <f t="shared" si="0"/>
        <v>0</v>
      </c>
      <c r="O5" s="221">
        <f t="shared" si="1"/>
        <v>0</v>
      </c>
      <c r="P5" s="221">
        <f t="shared" ref="P5:Q58" si="4">L5+N5</f>
        <v>0</v>
      </c>
      <c r="Q5" s="221">
        <f t="shared" si="4"/>
        <v>173596.7165807304</v>
      </c>
      <c r="R5" s="221">
        <f t="shared" ref="R5:R68" si="5">C5*P5</f>
        <v>0</v>
      </c>
      <c r="S5" s="221">
        <f t="shared" ref="S5:S68" si="6">C5*Q5</f>
        <v>3036410.3517998727</v>
      </c>
      <c r="T5" s="221">
        <f t="shared" ref="T5:T68" si="7">(G5+F5*1.1)*C5</f>
        <v>0</v>
      </c>
    </row>
    <row r="6" spans="1:20" x14ac:dyDescent="0.5">
      <c r="A6" s="218">
        <v>36273</v>
      </c>
      <c r="B6" s="219">
        <v>3</v>
      </c>
      <c r="C6" s="388">
        <f>'Cost Study'!G8</f>
        <v>15.538717787117008</v>
      </c>
      <c r="D6" s="385">
        <v>0</v>
      </c>
      <c r="E6" s="385">
        <v>213090.3263305919</v>
      </c>
      <c r="F6" s="385">
        <v>0</v>
      </c>
      <c r="G6" s="385">
        <v>0</v>
      </c>
      <c r="H6" s="385">
        <v>128032.75408019772</v>
      </c>
      <c r="I6" s="385">
        <v>0</v>
      </c>
      <c r="J6" s="385">
        <v>400</v>
      </c>
      <c r="K6" s="385">
        <v>0</v>
      </c>
      <c r="L6" s="221">
        <f t="shared" si="2"/>
        <v>213090.3263305919</v>
      </c>
      <c r="M6" s="221">
        <f t="shared" si="3"/>
        <v>128432.75408019772</v>
      </c>
      <c r="N6" s="221">
        <f t="shared" si="0"/>
        <v>21309.032633059192</v>
      </c>
      <c r="O6" s="221">
        <f t="shared" si="1"/>
        <v>0</v>
      </c>
      <c r="P6" s="221">
        <f t="shared" si="4"/>
        <v>234399.35896365109</v>
      </c>
      <c r="Q6" s="221">
        <f t="shared" si="4"/>
        <v>128432.75408019772</v>
      </c>
      <c r="R6" s="221">
        <f t="shared" si="5"/>
        <v>3642265.4884173097</v>
      </c>
      <c r="S6" s="221">
        <f t="shared" si="6"/>
        <v>1995680.3202743928</v>
      </c>
      <c r="T6" s="221">
        <f t="shared" si="7"/>
        <v>0</v>
      </c>
    </row>
    <row r="7" spans="1:20" x14ac:dyDescent="0.5">
      <c r="A7" s="218">
        <v>36273</v>
      </c>
      <c r="B7" s="219">
        <v>4</v>
      </c>
      <c r="C7" s="388">
        <f>'Cost Study'!G9</f>
        <v>14.456268045436332</v>
      </c>
      <c r="D7" s="385">
        <v>17840.624536583287</v>
      </c>
      <c r="E7" s="385">
        <v>20173.518217070781</v>
      </c>
      <c r="F7" s="385">
        <v>0</v>
      </c>
      <c r="G7" s="385">
        <v>0</v>
      </c>
      <c r="H7" s="385">
        <v>32281.197937529298</v>
      </c>
      <c r="I7" s="385">
        <v>63462.770017471339</v>
      </c>
      <c r="J7" s="385">
        <v>1800</v>
      </c>
      <c r="K7" s="385">
        <v>32</v>
      </c>
      <c r="L7" s="221">
        <f t="shared" si="2"/>
        <v>38014.142753654072</v>
      </c>
      <c r="M7" s="221">
        <f t="shared" si="3"/>
        <v>97575.96795500064</v>
      </c>
      <c r="N7" s="221">
        <f t="shared" si="0"/>
        <v>2017.3518217070782</v>
      </c>
      <c r="O7" s="221">
        <f t="shared" si="1"/>
        <v>6349.4770017471346</v>
      </c>
      <c r="P7" s="221">
        <f t="shared" si="4"/>
        <v>40031.494575361154</v>
      </c>
      <c r="Q7" s="221">
        <f t="shared" si="4"/>
        <v>103925.44495674777</v>
      </c>
      <c r="R7" s="221">
        <f t="shared" si="5"/>
        <v>578706.01584085135</v>
      </c>
      <c r="S7" s="221">
        <f t="shared" si="6"/>
        <v>1502374.0890359853</v>
      </c>
      <c r="T7" s="221">
        <f t="shared" si="7"/>
        <v>0</v>
      </c>
    </row>
    <row r="8" spans="1:20" x14ac:dyDescent="0.5">
      <c r="A8" s="218">
        <v>36273</v>
      </c>
      <c r="B8" s="219">
        <v>5</v>
      </c>
      <c r="C8" s="388">
        <f>'Cost Study'!G10</f>
        <v>38.411791300575054</v>
      </c>
      <c r="D8" s="385">
        <v>0</v>
      </c>
      <c r="E8" s="385">
        <v>0</v>
      </c>
      <c r="F8" s="385">
        <v>0</v>
      </c>
      <c r="G8" s="385">
        <v>0</v>
      </c>
      <c r="H8" s="385">
        <v>0</v>
      </c>
      <c r="I8" s="385">
        <v>0</v>
      </c>
      <c r="J8" s="385">
        <v>0</v>
      </c>
      <c r="K8" s="385">
        <v>0</v>
      </c>
      <c r="L8" s="221">
        <f t="shared" si="2"/>
        <v>0</v>
      </c>
      <c r="M8" s="221">
        <f t="shared" si="3"/>
        <v>0</v>
      </c>
      <c r="N8" s="221">
        <f t="shared" si="0"/>
        <v>0</v>
      </c>
      <c r="O8" s="221">
        <f t="shared" si="1"/>
        <v>0</v>
      </c>
      <c r="P8" s="221">
        <f t="shared" si="4"/>
        <v>0</v>
      </c>
      <c r="Q8" s="221">
        <f t="shared" si="4"/>
        <v>0</v>
      </c>
      <c r="R8" s="221">
        <f t="shared" si="5"/>
        <v>0</v>
      </c>
      <c r="S8" s="221">
        <f t="shared" si="6"/>
        <v>0</v>
      </c>
      <c r="T8" s="221">
        <f t="shared" si="7"/>
        <v>0</v>
      </c>
    </row>
    <row r="9" spans="1:20" x14ac:dyDescent="0.5">
      <c r="A9" s="218">
        <v>36273</v>
      </c>
      <c r="B9" s="219">
        <v>6</v>
      </c>
      <c r="C9" s="388">
        <f>'Cost Study'!G11</f>
        <v>13.697541590987258</v>
      </c>
      <c r="D9" s="385">
        <v>51299.273362594278</v>
      </c>
      <c r="E9" s="385">
        <v>0</v>
      </c>
      <c r="F9" s="385">
        <v>0</v>
      </c>
      <c r="G9" s="385">
        <v>0</v>
      </c>
      <c r="H9" s="385">
        <v>2880</v>
      </c>
      <c r="I9" s="385">
        <v>0</v>
      </c>
      <c r="J9" s="385">
        <v>3924</v>
      </c>
      <c r="K9" s="385">
        <v>0</v>
      </c>
      <c r="L9" s="221">
        <f t="shared" si="2"/>
        <v>51299.273362594278</v>
      </c>
      <c r="M9" s="221">
        <f t="shared" si="3"/>
        <v>6804</v>
      </c>
      <c r="N9" s="221">
        <f t="shared" si="0"/>
        <v>0</v>
      </c>
      <c r="O9" s="221">
        <f t="shared" si="1"/>
        <v>0</v>
      </c>
      <c r="P9" s="221">
        <f t="shared" si="4"/>
        <v>51299.273362594278</v>
      </c>
      <c r="Q9" s="221">
        <f t="shared" si="4"/>
        <v>6804</v>
      </c>
      <c r="R9" s="221">
        <f t="shared" si="5"/>
        <v>702673.93047155987</v>
      </c>
      <c r="S9" s="221">
        <f t="shared" si="6"/>
        <v>93198.072985077306</v>
      </c>
      <c r="T9" s="221">
        <f t="shared" si="7"/>
        <v>0</v>
      </c>
    </row>
    <row r="10" spans="1:20" x14ac:dyDescent="0.5">
      <c r="A10" s="218">
        <v>36273</v>
      </c>
      <c r="B10" s="219">
        <v>7</v>
      </c>
      <c r="C10" s="388">
        <f>'Cost Study'!G12</f>
        <v>17.642919154122438</v>
      </c>
      <c r="D10" s="385">
        <v>0</v>
      </c>
      <c r="E10" s="385">
        <v>0</v>
      </c>
      <c r="F10" s="385">
        <v>0</v>
      </c>
      <c r="G10" s="385">
        <v>0</v>
      </c>
      <c r="H10" s="385">
        <v>0</v>
      </c>
      <c r="I10" s="385">
        <v>44455.286828312099</v>
      </c>
      <c r="J10" s="385">
        <v>0</v>
      </c>
      <c r="K10" s="385">
        <v>28</v>
      </c>
      <c r="L10" s="221">
        <f t="shared" si="2"/>
        <v>0</v>
      </c>
      <c r="M10" s="221">
        <f t="shared" si="3"/>
        <v>44483.286828312099</v>
      </c>
      <c r="N10" s="221">
        <f t="shared" si="0"/>
        <v>0</v>
      </c>
      <c r="O10" s="221">
        <f t="shared" si="1"/>
        <v>4448.3286828312102</v>
      </c>
      <c r="P10" s="221">
        <f t="shared" si="4"/>
        <v>0</v>
      </c>
      <c r="Q10" s="221">
        <f t="shared" si="4"/>
        <v>48931.615511143311</v>
      </c>
      <c r="R10" s="221">
        <f t="shared" si="5"/>
        <v>0</v>
      </c>
      <c r="S10" s="221">
        <f t="shared" si="6"/>
        <v>863296.53654370492</v>
      </c>
      <c r="T10" s="221">
        <f t="shared" si="7"/>
        <v>0</v>
      </c>
    </row>
    <row r="11" spans="1:20" x14ac:dyDescent="0.5">
      <c r="A11" s="218">
        <v>36273</v>
      </c>
      <c r="B11" s="219">
        <v>8</v>
      </c>
      <c r="C11" s="388">
        <f>'Cost Study'!G13</f>
        <v>20.323752626509162</v>
      </c>
      <c r="D11" s="385">
        <v>0</v>
      </c>
      <c r="E11" s="385">
        <v>0</v>
      </c>
      <c r="F11" s="385">
        <v>0</v>
      </c>
      <c r="G11" s="385">
        <v>0</v>
      </c>
      <c r="H11" s="385">
        <v>21099.655516256869</v>
      </c>
      <c r="I11" s="385">
        <v>0</v>
      </c>
      <c r="J11" s="385">
        <v>320</v>
      </c>
      <c r="K11" s="385">
        <v>0</v>
      </c>
      <c r="L11" s="221">
        <f t="shared" si="2"/>
        <v>0</v>
      </c>
      <c r="M11" s="221">
        <f t="shared" si="3"/>
        <v>21419.655516256869</v>
      </c>
      <c r="N11" s="221">
        <f t="shared" si="0"/>
        <v>0</v>
      </c>
      <c r="O11" s="221">
        <f t="shared" si="1"/>
        <v>0</v>
      </c>
      <c r="P11" s="221">
        <f t="shared" si="4"/>
        <v>0</v>
      </c>
      <c r="Q11" s="221">
        <f t="shared" si="4"/>
        <v>21419.655516256869</v>
      </c>
      <c r="R11" s="221">
        <f t="shared" si="5"/>
        <v>0</v>
      </c>
      <c r="S11" s="221">
        <f t="shared" si="6"/>
        <v>435327.78005744697</v>
      </c>
      <c r="T11" s="221">
        <f t="shared" si="7"/>
        <v>0</v>
      </c>
    </row>
    <row r="12" spans="1:20" x14ac:dyDescent="0.5">
      <c r="A12" s="218">
        <v>36273</v>
      </c>
      <c r="B12" s="219">
        <v>9</v>
      </c>
      <c r="C12" s="388">
        <f>'Cost Study'!G14</f>
        <v>17.875595266820156</v>
      </c>
      <c r="D12" s="385">
        <v>13507.808923168704</v>
      </c>
      <c r="E12" s="385">
        <v>3505.2436186985979</v>
      </c>
      <c r="F12" s="385">
        <v>0</v>
      </c>
      <c r="G12" s="385">
        <v>0</v>
      </c>
      <c r="H12" s="385">
        <v>89848.46328887374</v>
      </c>
      <c r="I12" s="385">
        <v>0</v>
      </c>
      <c r="J12" s="385">
        <v>0</v>
      </c>
      <c r="K12" s="385">
        <v>0</v>
      </c>
      <c r="L12" s="221">
        <f t="shared" si="2"/>
        <v>17013.052541867302</v>
      </c>
      <c r="M12" s="221">
        <f t="shared" si="3"/>
        <v>89848.46328887374</v>
      </c>
      <c r="N12" s="221">
        <f t="shared" si="0"/>
        <v>350.52436186985983</v>
      </c>
      <c r="O12" s="221">
        <f t="shared" si="1"/>
        <v>0</v>
      </c>
      <c r="P12" s="221">
        <f t="shared" si="4"/>
        <v>17363.576903737161</v>
      </c>
      <c r="Q12" s="221">
        <f t="shared" si="4"/>
        <v>89848.46328887374</v>
      </c>
      <c r="R12" s="221">
        <f t="shared" si="5"/>
        <v>310384.27311551175</v>
      </c>
      <c r="S12" s="221">
        <f t="shared" si="6"/>
        <v>1606094.7650976561</v>
      </c>
      <c r="T12" s="221">
        <f t="shared" si="7"/>
        <v>0</v>
      </c>
    </row>
    <row r="13" spans="1:20" x14ac:dyDescent="0.5">
      <c r="A13" s="218">
        <v>36273</v>
      </c>
      <c r="B13" s="219">
        <v>10</v>
      </c>
      <c r="C13" s="388">
        <f>'Cost Study'!G15</f>
        <v>23.560985498825204</v>
      </c>
      <c r="D13" s="385">
        <v>0</v>
      </c>
      <c r="E13" s="385">
        <v>896</v>
      </c>
      <c r="F13" s="385">
        <v>0</v>
      </c>
      <c r="G13" s="385">
        <v>0</v>
      </c>
      <c r="H13" s="385">
        <v>0</v>
      </c>
      <c r="I13" s="385">
        <v>0</v>
      </c>
      <c r="J13" s="385">
        <v>0</v>
      </c>
      <c r="K13" s="385">
        <v>0</v>
      </c>
      <c r="L13" s="221">
        <f t="shared" si="2"/>
        <v>896</v>
      </c>
      <c r="M13" s="221">
        <f t="shared" si="3"/>
        <v>0</v>
      </c>
      <c r="N13" s="221">
        <f t="shared" si="0"/>
        <v>89.600000000000009</v>
      </c>
      <c r="O13" s="221">
        <f t="shared" si="1"/>
        <v>0</v>
      </c>
      <c r="P13" s="221">
        <f t="shared" si="4"/>
        <v>985.6</v>
      </c>
      <c r="Q13" s="221">
        <f t="shared" si="4"/>
        <v>0</v>
      </c>
      <c r="R13" s="221">
        <f t="shared" si="5"/>
        <v>23221.707307642122</v>
      </c>
      <c r="S13" s="221">
        <f t="shared" si="6"/>
        <v>0</v>
      </c>
      <c r="T13" s="221">
        <f t="shared" si="7"/>
        <v>0</v>
      </c>
    </row>
    <row r="14" spans="1:20" x14ac:dyDescent="0.5">
      <c r="A14" s="218">
        <v>36273</v>
      </c>
      <c r="B14" s="219">
        <v>11</v>
      </c>
      <c r="C14" s="388">
        <f>'Cost Study'!G16</f>
        <v>18.674787132173176</v>
      </c>
      <c r="D14" s="385">
        <v>0</v>
      </c>
      <c r="E14" s="385">
        <v>418.17496910555246</v>
      </c>
      <c r="F14" s="385">
        <v>0</v>
      </c>
      <c r="G14" s="385">
        <v>0</v>
      </c>
      <c r="H14" s="385">
        <v>0</v>
      </c>
      <c r="I14" s="385">
        <v>181346.83768696466</v>
      </c>
      <c r="J14" s="385">
        <v>0</v>
      </c>
      <c r="K14" s="385">
        <v>4323</v>
      </c>
      <c r="L14" s="221">
        <f t="shared" si="2"/>
        <v>418.17496910555246</v>
      </c>
      <c r="M14" s="221">
        <f t="shared" si="3"/>
        <v>185669.83768696466</v>
      </c>
      <c r="N14" s="221">
        <f t="shared" si="0"/>
        <v>41.817496910555249</v>
      </c>
      <c r="O14" s="221">
        <f t="shared" si="1"/>
        <v>18566.983768696467</v>
      </c>
      <c r="P14" s="221">
        <f t="shared" si="4"/>
        <v>459.9924660161077</v>
      </c>
      <c r="Q14" s="221">
        <f t="shared" si="4"/>
        <v>204236.82145566112</v>
      </c>
      <c r="R14" s="221">
        <f t="shared" si="5"/>
        <v>8590.2613852542145</v>
      </c>
      <c r="S14" s="221">
        <f t="shared" si="6"/>
        <v>3814079.1652361308</v>
      </c>
      <c r="T14" s="221">
        <f t="shared" si="7"/>
        <v>0</v>
      </c>
    </row>
    <row r="15" spans="1:20" x14ac:dyDescent="0.5">
      <c r="A15" s="218">
        <v>36273</v>
      </c>
      <c r="B15" s="219">
        <v>12</v>
      </c>
      <c r="C15" s="388">
        <f>'Cost Study'!G17</f>
        <v>16.752680114235524</v>
      </c>
      <c r="D15" s="385">
        <v>164233.43520688626</v>
      </c>
      <c r="E15" s="385">
        <v>0</v>
      </c>
      <c r="F15" s="385">
        <v>0</v>
      </c>
      <c r="G15" s="385">
        <v>26512.546469510376</v>
      </c>
      <c r="H15" s="385">
        <v>0</v>
      </c>
      <c r="I15" s="385">
        <v>0</v>
      </c>
      <c r="J15" s="385">
        <v>0</v>
      </c>
      <c r="K15" s="385">
        <v>0</v>
      </c>
      <c r="L15" s="221">
        <f t="shared" si="2"/>
        <v>190745.98167639665</v>
      </c>
      <c r="M15" s="221">
        <f t="shared" si="3"/>
        <v>0</v>
      </c>
      <c r="N15" s="221">
        <f t="shared" si="0"/>
        <v>0</v>
      </c>
      <c r="O15" s="221">
        <f t="shared" si="1"/>
        <v>0</v>
      </c>
      <c r="P15" s="221">
        <f t="shared" si="4"/>
        <v>190745.98167639665</v>
      </c>
      <c r="Q15" s="221">
        <f t="shared" si="4"/>
        <v>0</v>
      </c>
      <c r="R15" s="221">
        <f t="shared" si="5"/>
        <v>3195506.414100504</v>
      </c>
      <c r="S15" s="221">
        <f t="shared" si="6"/>
        <v>0</v>
      </c>
      <c r="T15" s="221">
        <f t="shared" si="7"/>
        <v>444156.21001751174</v>
      </c>
    </row>
    <row r="16" spans="1:20" x14ac:dyDescent="0.5">
      <c r="A16" s="218">
        <v>36273</v>
      </c>
      <c r="B16" s="219">
        <v>13</v>
      </c>
      <c r="C16" s="388">
        <f>'Cost Study'!G18</f>
        <v>15.194761794433429</v>
      </c>
      <c r="D16" s="385">
        <v>0</v>
      </c>
      <c r="E16" s="385">
        <v>0</v>
      </c>
      <c r="F16" s="385">
        <v>0</v>
      </c>
      <c r="G16" s="385">
        <v>0</v>
      </c>
      <c r="H16" s="385">
        <v>0</v>
      </c>
      <c r="I16" s="385">
        <v>0</v>
      </c>
      <c r="J16" s="385">
        <v>200</v>
      </c>
      <c r="K16" s="385">
        <v>0</v>
      </c>
      <c r="L16" s="221">
        <f t="shared" si="2"/>
        <v>0</v>
      </c>
      <c r="M16" s="221">
        <f t="shared" si="3"/>
        <v>200</v>
      </c>
      <c r="N16" s="221">
        <f t="shared" si="0"/>
        <v>0</v>
      </c>
      <c r="O16" s="221">
        <f t="shared" si="1"/>
        <v>0</v>
      </c>
      <c r="P16" s="221">
        <f t="shared" si="4"/>
        <v>0</v>
      </c>
      <c r="Q16" s="221">
        <f t="shared" si="4"/>
        <v>200</v>
      </c>
      <c r="R16" s="221">
        <f t="shared" si="5"/>
        <v>0</v>
      </c>
      <c r="S16" s="221">
        <f t="shared" si="6"/>
        <v>3038.9523588866859</v>
      </c>
      <c r="T16" s="221">
        <f t="shared" si="7"/>
        <v>0</v>
      </c>
    </row>
    <row r="17" spans="1:20" x14ac:dyDescent="0.5">
      <c r="A17" s="218">
        <v>36273</v>
      </c>
      <c r="B17" s="219">
        <v>14</v>
      </c>
      <c r="C17" s="388">
        <f>'Cost Study'!G19</f>
        <v>23.753196200618969</v>
      </c>
      <c r="D17" s="385">
        <v>0</v>
      </c>
      <c r="E17" s="385">
        <v>0</v>
      </c>
      <c r="F17" s="385">
        <v>0</v>
      </c>
      <c r="G17" s="385">
        <v>0</v>
      </c>
      <c r="H17" s="385">
        <v>0</v>
      </c>
      <c r="I17" s="385">
        <v>13886.893765713554</v>
      </c>
      <c r="J17" s="385">
        <v>0</v>
      </c>
      <c r="K17" s="385">
        <v>762</v>
      </c>
      <c r="L17" s="221">
        <f t="shared" si="2"/>
        <v>0</v>
      </c>
      <c r="M17" s="221">
        <f t="shared" si="3"/>
        <v>14648.893765713554</v>
      </c>
      <c r="N17" s="221">
        <f t="shared" si="0"/>
        <v>0</v>
      </c>
      <c r="O17" s="221">
        <f t="shared" si="1"/>
        <v>1464.8893765713556</v>
      </c>
      <c r="P17" s="221">
        <f t="shared" si="4"/>
        <v>0</v>
      </c>
      <c r="Q17" s="221">
        <f t="shared" si="4"/>
        <v>16113.783142284909</v>
      </c>
      <c r="R17" s="221">
        <f t="shared" si="5"/>
        <v>0</v>
      </c>
      <c r="S17" s="221">
        <f t="shared" si="6"/>
        <v>382753.85251291987</v>
      </c>
      <c r="T17" s="221">
        <f t="shared" si="7"/>
        <v>0</v>
      </c>
    </row>
    <row r="18" spans="1:20" x14ac:dyDescent="0.5">
      <c r="A18" s="218">
        <v>36273</v>
      </c>
      <c r="B18" s="219">
        <v>15</v>
      </c>
      <c r="C18" s="388">
        <f>'Cost Study'!G20</f>
        <v>34.274203035646117</v>
      </c>
      <c r="D18" s="385">
        <v>0</v>
      </c>
      <c r="E18" s="385">
        <v>0</v>
      </c>
      <c r="F18" s="385">
        <v>0</v>
      </c>
      <c r="G18" s="385">
        <v>0</v>
      </c>
      <c r="H18" s="385">
        <v>0</v>
      </c>
      <c r="I18" s="385">
        <v>37872.605786849621</v>
      </c>
      <c r="J18" s="385">
        <v>0</v>
      </c>
      <c r="K18" s="385">
        <v>756</v>
      </c>
      <c r="L18" s="221">
        <f t="shared" si="2"/>
        <v>0</v>
      </c>
      <c r="M18" s="221">
        <f t="shared" si="3"/>
        <v>38628.605786849621</v>
      </c>
      <c r="N18" s="221">
        <f t="shared" si="0"/>
        <v>0</v>
      </c>
      <c r="O18" s="221">
        <f t="shared" si="1"/>
        <v>3862.8605786849621</v>
      </c>
      <c r="P18" s="221">
        <f t="shared" si="4"/>
        <v>0</v>
      </c>
      <c r="Q18" s="221">
        <f t="shared" si="4"/>
        <v>42491.466365534579</v>
      </c>
      <c r="R18" s="221">
        <f t="shared" si="5"/>
        <v>0</v>
      </c>
      <c r="S18" s="221">
        <f t="shared" si="6"/>
        <v>1456361.1454946601</v>
      </c>
      <c r="T18" s="221">
        <f t="shared" si="7"/>
        <v>0</v>
      </c>
    </row>
    <row r="19" spans="1:20" x14ac:dyDescent="0.5">
      <c r="A19" s="218">
        <v>36273</v>
      </c>
      <c r="B19" s="219">
        <v>16</v>
      </c>
      <c r="C19" s="388">
        <f>'Cost Study'!G21</f>
        <v>20.667708619192741</v>
      </c>
      <c r="D19" s="385">
        <v>0</v>
      </c>
      <c r="E19" s="385">
        <v>0</v>
      </c>
      <c r="F19" s="385">
        <v>0</v>
      </c>
      <c r="G19" s="385">
        <v>0</v>
      </c>
      <c r="H19" s="385">
        <v>0</v>
      </c>
      <c r="I19" s="385">
        <v>171288.2157923893</v>
      </c>
      <c r="J19" s="385">
        <v>0</v>
      </c>
      <c r="K19" s="385">
        <v>4538</v>
      </c>
      <c r="L19" s="221">
        <f t="shared" si="2"/>
        <v>0</v>
      </c>
      <c r="M19" s="221">
        <f t="shared" si="3"/>
        <v>175826.2157923893</v>
      </c>
      <c r="N19" s="221">
        <f t="shared" si="0"/>
        <v>0</v>
      </c>
      <c r="O19" s="221">
        <f t="shared" si="1"/>
        <v>17582.62157923893</v>
      </c>
      <c r="P19" s="221">
        <f t="shared" si="4"/>
        <v>0</v>
      </c>
      <c r="Q19" s="221">
        <f t="shared" si="4"/>
        <v>193408.83737162824</v>
      </c>
      <c r="R19" s="221">
        <f t="shared" si="5"/>
        <v>0</v>
      </c>
      <c r="S19" s="221">
        <f t="shared" si="6"/>
        <v>3997317.495173648</v>
      </c>
      <c r="T19" s="221">
        <f t="shared" si="7"/>
        <v>0</v>
      </c>
    </row>
    <row r="20" spans="1:20" x14ac:dyDescent="0.5">
      <c r="A20" s="218">
        <v>36273</v>
      </c>
      <c r="B20" s="219">
        <v>17</v>
      </c>
      <c r="C20" s="388">
        <f>'Cost Study'!G22</f>
        <v>27.496246709234395</v>
      </c>
      <c r="D20" s="385">
        <v>0</v>
      </c>
      <c r="E20" s="385">
        <v>0</v>
      </c>
      <c r="F20" s="385">
        <v>0</v>
      </c>
      <c r="G20" s="385">
        <v>0</v>
      </c>
      <c r="H20" s="385">
        <v>0</v>
      </c>
      <c r="I20" s="385">
        <v>29761.897813951506</v>
      </c>
      <c r="J20" s="385">
        <v>0</v>
      </c>
      <c r="K20" s="385">
        <v>0</v>
      </c>
      <c r="L20" s="221">
        <f t="shared" si="2"/>
        <v>0</v>
      </c>
      <c r="M20" s="221">
        <f t="shared" si="3"/>
        <v>29761.897813951506</v>
      </c>
      <c r="N20" s="221">
        <f t="shared" si="0"/>
        <v>0</v>
      </c>
      <c r="O20" s="221">
        <f t="shared" si="1"/>
        <v>2976.1897813951509</v>
      </c>
      <c r="P20" s="221">
        <f t="shared" si="4"/>
        <v>0</v>
      </c>
      <c r="Q20" s="221">
        <f t="shared" si="4"/>
        <v>32738.087595346657</v>
      </c>
      <c r="R20" s="221">
        <f t="shared" si="5"/>
        <v>0</v>
      </c>
      <c r="S20" s="221">
        <f t="shared" si="6"/>
        <v>900174.53331017785</v>
      </c>
      <c r="T20" s="221">
        <f t="shared" si="7"/>
        <v>0</v>
      </c>
    </row>
    <row r="21" spans="1:20" x14ac:dyDescent="0.5">
      <c r="A21" s="218">
        <v>36273</v>
      </c>
      <c r="B21" s="219">
        <v>18</v>
      </c>
      <c r="C21" s="388">
        <f>'Cost Study'!G23</f>
        <v>22.690979164390267</v>
      </c>
      <c r="D21" s="385">
        <v>0</v>
      </c>
      <c r="E21" s="385">
        <v>0</v>
      </c>
      <c r="F21" s="385">
        <v>0</v>
      </c>
      <c r="G21" s="385">
        <v>0</v>
      </c>
      <c r="H21" s="385">
        <v>0</v>
      </c>
      <c r="I21" s="385">
        <v>0</v>
      </c>
      <c r="J21" s="385">
        <v>0</v>
      </c>
      <c r="K21" s="385">
        <v>0</v>
      </c>
      <c r="L21" s="221">
        <f t="shared" si="2"/>
        <v>0</v>
      </c>
      <c r="M21" s="221">
        <f t="shared" si="3"/>
        <v>0</v>
      </c>
      <c r="N21" s="221">
        <f t="shared" si="0"/>
        <v>0</v>
      </c>
      <c r="O21" s="221">
        <f t="shared" si="1"/>
        <v>0</v>
      </c>
      <c r="P21" s="221">
        <f t="shared" si="4"/>
        <v>0</v>
      </c>
      <c r="Q21" s="221">
        <f t="shared" si="4"/>
        <v>0</v>
      </c>
      <c r="R21" s="221">
        <f t="shared" si="5"/>
        <v>0</v>
      </c>
      <c r="S21" s="221">
        <f t="shared" si="6"/>
        <v>0</v>
      </c>
      <c r="T21" s="221">
        <f t="shared" si="7"/>
        <v>0</v>
      </c>
    </row>
    <row r="22" spans="1:20" x14ac:dyDescent="0.5">
      <c r="A22" s="218">
        <v>36273</v>
      </c>
      <c r="B22" s="219">
        <v>19</v>
      </c>
      <c r="C22" s="388">
        <f>'Cost Study'!G24</f>
        <v>15.609532256198923</v>
      </c>
      <c r="D22" s="385">
        <v>0</v>
      </c>
      <c r="E22" s="385">
        <v>75819.671879660804</v>
      </c>
      <c r="F22" s="385">
        <v>37963.889717475606</v>
      </c>
      <c r="G22" s="385">
        <v>0</v>
      </c>
      <c r="H22" s="385">
        <v>0</v>
      </c>
      <c r="I22" s="385">
        <v>0</v>
      </c>
      <c r="J22" s="385">
        <v>0</v>
      </c>
      <c r="K22" s="385">
        <v>0</v>
      </c>
      <c r="L22" s="221">
        <f t="shared" si="2"/>
        <v>113783.5615971364</v>
      </c>
      <c r="M22" s="221">
        <f t="shared" si="3"/>
        <v>0</v>
      </c>
      <c r="N22" s="221">
        <f t="shared" si="0"/>
        <v>11378.356159713641</v>
      </c>
      <c r="O22" s="221">
        <f t="shared" si="1"/>
        <v>0</v>
      </c>
      <c r="P22" s="221">
        <f t="shared" si="4"/>
        <v>125161.91775685005</v>
      </c>
      <c r="Q22" s="221">
        <f t="shared" si="4"/>
        <v>0</v>
      </c>
      <c r="R22" s="221">
        <f t="shared" si="5"/>
        <v>1953718.9924732675</v>
      </c>
      <c r="S22" s="221">
        <f t="shared" si="6"/>
        <v>0</v>
      </c>
      <c r="T22" s="221">
        <f t="shared" si="7"/>
        <v>651858.41722728556</v>
      </c>
    </row>
    <row r="23" spans="1:20" x14ac:dyDescent="0.5">
      <c r="A23" s="218">
        <v>36273</v>
      </c>
      <c r="B23" s="219">
        <v>20</v>
      </c>
      <c r="C23" s="388">
        <f>'Cost Study'!G25</f>
        <v>18.634321721269227</v>
      </c>
      <c r="D23" s="385">
        <v>0</v>
      </c>
      <c r="E23" s="385">
        <v>0</v>
      </c>
      <c r="F23" s="385">
        <v>0</v>
      </c>
      <c r="G23" s="385">
        <v>0</v>
      </c>
      <c r="H23" s="385">
        <v>5113.8654280478968</v>
      </c>
      <c r="I23" s="385">
        <v>0</v>
      </c>
      <c r="J23" s="385">
        <v>0</v>
      </c>
      <c r="K23" s="385">
        <v>0</v>
      </c>
      <c r="L23" s="221">
        <f t="shared" si="2"/>
        <v>0</v>
      </c>
      <c r="M23" s="221">
        <f t="shared" si="3"/>
        <v>5113.8654280478968</v>
      </c>
      <c r="N23" s="221">
        <f t="shared" si="0"/>
        <v>0</v>
      </c>
      <c r="O23" s="221">
        <f t="shared" si="1"/>
        <v>0</v>
      </c>
      <c r="P23" s="221">
        <f t="shared" si="4"/>
        <v>0</v>
      </c>
      <c r="Q23" s="221">
        <f t="shared" si="4"/>
        <v>5113.8654280478968</v>
      </c>
      <c r="R23" s="221">
        <f t="shared" si="5"/>
        <v>0</v>
      </c>
      <c r="S23" s="221">
        <f t="shared" si="6"/>
        <v>95293.413625520683</v>
      </c>
      <c r="T23" s="221">
        <f t="shared" si="7"/>
        <v>0</v>
      </c>
    </row>
    <row r="24" spans="1:20" x14ac:dyDescent="0.5">
      <c r="A24" s="218">
        <v>36273</v>
      </c>
      <c r="B24" s="219">
        <v>21</v>
      </c>
      <c r="C24" s="388">
        <f>'Cost Study'!G26</f>
        <v>19.200837473924533</v>
      </c>
      <c r="D24" s="385">
        <v>0</v>
      </c>
      <c r="E24" s="385">
        <v>0</v>
      </c>
      <c r="F24" s="385">
        <v>0</v>
      </c>
      <c r="G24" s="385">
        <v>0</v>
      </c>
      <c r="H24" s="385">
        <v>26475.138705416117</v>
      </c>
      <c r="I24" s="385">
        <v>0</v>
      </c>
      <c r="J24" s="385">
        <v>13702</v>
      </c>
      <c r="K24" s="385">
        <v>0</v>
      </c>
      <c r="L24" s="221">
        <f t="shared" si="2"/>
        <v>0</v>
      </c>
      <c r="M24" s="221">
        <f t="shared" si="3"/>
        <v>40177.138705416117</v>
      </c>
      <c r="N24" s="221">
        <f t="shared" si="0"/>
        <v>0</v>
      </c>
      <c r="O24" s="221">
        <f t="shared" si="1"/>
        <v>0</v>
      </c>
      <c r="P24" s="221">
        <f t="shared" si="4"/>
        <v>0</v>
      </c>
      <c r="Q24" s="221">
        <f t="shared" si="4"/>
        <v>40177.138705416117</v>
      </c>
      <c r="R24" s="221">
        <f t="shared" si="5"/>
        <v>0</v>
      </c>
      <c r="S24" s="221">
        <f t="shared" si="6"/>
        <v>771434.71045001759</v>
      </c>
      <c r="T24" s="221">
        <f t="shared" si="7"/>
        <v>0</v>
      </c>
    </row>
    <row r="25" spans="1:20" x14ac:dyDescent="0.5">
      <c r="A25" s="218">
        <v>36273</v>
      </c>
      <c r="B25" s="219">
        <v>22</v>
      </c>
      <c r="C25" s="388">
        <f>'Cost Study'!G27</f>
        <v>23.348542091579464</v>
      </c>
      <c r="D25" s="385">
        <v>0</v>
      </c>
      <c r="E25" s="385">
        <v>0</v>
      </c>
      <c r="F25" s="385">
        <v>0</v>
      </c>
      <c r="G25" s="385">
        <v>0</v>
      </c>
      <c r="H25" s="385">
        <v>14462.293433331914</v>
      </c>
      <c r="I25" s="385">
        <v>0</v>
      </c>
      <c r="J25" s="385">
        <v>11520</v>
      </c>
      <c r="K25" s="385">
        <v>0</v>
      </c>
      <c r="L25" s="221">
        <f t="shared" si="2"/>
        <v>0</v>
      </c>
      <c r="M25" s="221">
        <f t="shared" si="3"/>
        <v>25982.293433331914</v>
      </c>
      <c r="N25" s="221">
        <f t="shared" si="0"/>
        <v>0</v>
      </c>
      <c r="O25" s="221">
        <f t="shared" si="1"/>
        <v>0</v>
      </c>
      <c r="P25" s="221">
        <f t="shared" si="4"/>
        <v>0</v>
      </c>
      <c r="Q25" s="221">
        <f t="shared" si="4"/>
        <v>25982.293433331914</v>
      </c>
      <c r="R25" s="221">
        <f t="shared" si="5"/>
        <v>0</v>
      </c>
      <c r="S25" s="221">
        <f t="shared" si="6"/>
        <v>606648.67186391889</v>
      </c>
      <c r="T25" s="221">
        <f t="shared" si="7"/>
        <v>0</v>
      </c>
    </row>
    <row r="26" spans="1:20" x14ac:dyDescent="0.5">
      <c r="A26" s="218">
        <v>36273</v>
      </c>
      <c r="B26" s="219">
        <v>23</v>
      </c>
      <c r="C26" s="388">
        <f>'Cost Study'!G28</f>
        <v>20.526079681028914</v>
      </c>
      <c r="D26" s="385">
        <v>0</v>
      </c>
      <c r="E26" s="385">
        <v>0</v>
      </c>
      <c r="F26" s="385">
        <v>0</v>
      </c>
      <c r="G26" s="385">
        <v>0</v>
      </c>
      <c r="H26" s="385">
        <v>0</v>
      </c>
      <c r="I26" s="385">
        <v>0</v>
      </c>
      <c r="J26" s="385">
        <v>0</v>
      </c>
      <c r="K26" s="385">
        <v>0</v>
      </c>
      <c r="L26" s="221">
        <f t="shared" si="2"/>
        <v>0</v>
      </c>
      <c r="M26" s="221">
        <f t="shared" si="3"/>
        <v>0</v>
      </c>
      <c r="N26" s="221">
        <f t="shared" si="0"/>
        <v>0</v>
      </c>
      <c r="O26" s="221">
        <f t="shared" si="1"/>
        <v>0</v>
      </c>
      <c r="P26" s="221">
        <f t="shared" si="4"/>
        <v>0</v>
      </c>
      <c r="Q26" s="221">
        <f t="shared" si="4"/>
        <v>0</v>
      </c>
      <c r="R26" s="221">
        <f t="shared" si="5"/>
        <v>0</v>
      </c>
      <c r="S26" s="221">
        <f t="shared" si="6"/>
        <v>0</v>
      </c>
      <c r="T26" s="221">
        <f t="shared" si="7"/>
        <v>0</v>
      </c>
    </row>
    <row r="27" spans="1:20" x14ac:dyDescent="0.5">
      <c r="A27" s="218">
        <v>36273</v>
      </c>
      <c r="B27" s="219">
        <v>24</v>
      </c>
      <c r="C27" s="388">
        <f>'Cost Study'!G29</f>
        <v>16.590818470619723</v>
      </c>
      <c r="D27" s="385">
        <v>11845.905825201346</v>
      </c>
      <c r="E27" s="385">
        <v>0</v>
      </c>
      <c r="F27" s="385">
        <v>0</v>
      </c>
      <c r="G27" s="385">
        <v>0</v>
      </c>
      <c r="H27" s="385">
        <v>80969.755315975621</v>
      </c>
      <c r="I27" s="385">
        <v>0</v>
      </c>
      <c r="J27" s="385">
        <v>226845</v>
      </c>
      <c r="K27" s="385">
        <v>0</v>
      </c>
      <c r="L27" s="221">
        <f t="shared" si="2"/>
        <v>11845.905825201346</v>
      </c>
      <c r="M27" s="221">
        <f t="shared" si="3"/>
        <v>307814.75531597564</v>
      </c>
      <c r="N27" s="221">
        <f t="shared" si="0"/>
        <v>0</v>
      </c>
      <c r="O27" s="221">
        <f t="shared" si="1"/>
        <v>0</v>
      </c>
      <c r="P27" s="221">
        <f t="shared" si="4"/>
        <v>11845.905825201346</v>
      </c>
      <c r="Q27" s="221">
        <f t="shared" si="4"/>
        <v>307814.75531597564</v>
      </c>
      <c r="R27" s="221">
        <f t="shared" si="5"/>
        <v>196533.27316597226</v>
      </c>
      <c r="S27" s="221">
        <f t="shared" si="6"/>
        <v>5106898.7280255789</v>
      </c>
      <c r="T27" s="221">
        <f t="shared" si="7"/>
        <v>0</v>
      </c>
    </row>
    <row r="28" spans="1:20" x14ac:dyDescent="0.5">
      <c r="A28" s="218">
        <v>36273</v>
      </c>
      <c r="B28" s="219">
        <v>25</v>
      </c>
      <c r="C28" s="388">
        <f>'Cost Study'!G30</f>
        <v>13.970683114588926</v>
      </c>
      <c r="D28" s="385">
        <v>202743.21728384538</v>
      </c>
      <c r="E28" s="385">
        <v>0</v>
      </c>
      <c r="F28" s="385">
        <v>0</v>
      </c>
      <c r="G28" s="385">
        <v>0</v>
      </c>
      <c r="H28" s="385">
        <v>0</v>
      </c>
      <c r="I28" s="385">
        <v>0</v>
      </c>
      <c r="J28" s="385">
        <v>0</v>
      </c>
      <c r="K28" s="385">
        <v>0</v>
      </c>
      <c r="L28" s="221">
        <f t="shared" si="2"/>
        <v>202743.21728384538</v>
      </c>
      <c r="M28" s="221">
        <f t="shared" si="3"/>
        <v>0</v>
      </c>
      <c r="N28" s="221">
        <f t="shared" si="0"/>
        <v>0</v>
      </c>
      <c r="O28" s="221">
        <f t="shared" si="1"/>
        <v>0</v>
      </c>
      <c r="P28" s="221">
        <f t="shared" si="4"/>
        <v>202743.21728384538</v>
      </c>
      <c r="Q28" s="221">
        <f t="shared" si="4"/>
        <v>0</v>
      </c>
      <c r="R28" s="221">
        <f t="shared" si="5"/>
        <v>2832461.2423048522</v>
      </c>
      <c r="S28" s="221">
        <f t="shared" si="6"/>
        <v>0</v>
      </c>
      <c r="T28" s="221">
        <f t="shared" si="7"/>
        <v>0</v>
      </c>
    </row>
    <row r="29" spans="1:20" x14ac:dyDescent="0.5">
      <c r="A29" s="218">
        <v>36273</v>
      </c>
      <c r="B29" s="219">
        <v>26</v>
      </c>
      <c r="C29" s="388">
        <f>'Cost Study'!G31</f>
        <v>17.926177030450091</v>
      </c>
      <c r="D29" s="385">
        <v>66988.441641453959</v>
      </c>
      <c r="E29" s="385">
        <v>0</v>
      </c>
      <c r="F29" s="385">
        <v>0</v>
      </c>
      <c r="G29" s="385">
        <v>0</v>
      </c>
      <c r="H29" s="385">
        <v>22947.424042272127</v>
      </c>
      <c r="I29" s="385">
        <v>0</v>
      </c>
      <c r="J29" s="385">
        <v>0</v>
      </c>
      <c r="K29" s="385">
        <v>0</v>
      </c>
      <c r="L29" s="221">
        <f t="shared" si="2"/>
        <v>66988.441641453959</v>
      </c>
      <c r="M29" s="221">
        <f t="shared" si="3"/>
        <v>22947.424042272127</v>
      </c>
      <c r="N29" s="221">
        <f t="shared" si="0"/>
        <v>0</v>
      </c>
      <c r="O29" s="221">
        <f t="shared" si="1"/>
        <v>0</v>
      </c>
      <c r="P29" s="221">
        <f t="shared" si="4"/>
        <v>66988.441641453959</v>
      </c>
      <c r="Q29" s="221">
        <f t="shared" si="4"/>
        <v>22947.424042272127</v>
      </c>
      <c r="R29" s="221">
        <f t="shared" si="5"/>
        <v>1200846.6638586784</v>
      </c>
      <c r="S29" s="221">
        <f t="shared" si="6"/>
        <v>411359.58577457682</v>
      </c>
      <c r="T29" s="221">
        <f t="shared" si="7"/>
        <v>0</v>
      </c>
    </row>
    <row r="30" spans="1:20" x14ac:dyDescent="0.5">
      <c r="A30" s="218">
        <v>23582</v>
      </c>
      <c r="B30" s="219">
        <v>1</v>
      </c>
      <c r="C30" s="220">
        <f t="shared" ref="C30:C81" si="8">C4</f>
        <v>16.651516586975649</v>
      </c>
      <c r="D30" s="385">
        <v>0</v>
      </c>
      <c r="E30" s="385">
        <v>0</v>
      </c>
      <c r="F30" s="385">
        <v>0</v>
      </c>
      <c r="G30" s="385">
        <v>0</v>
      </c>
      <c r="H30" s="385">
        <v>0</v>
      </c>
      <c r="I30" s="385">
        <v>0</v>
      </c>
      <c r="J30" s="385">
        <v>0</v>
      </c>
      <c r="K30" s="385">
        <v>0</v>
      </c>
      <c r="L30" s="221">
        <f t="shared" si="2"/>
        <v>0</v>
      </c>
      <c r="M30" s="221">
        <f t="shared" si="3"/>
        <v>0</v>
      </c>
      <c r="N30" s="221">
        <f t="shared" si="0"/>
        <v>0</v>
      </c>
      <c r="O30" s="221">
        <f t="shared" si="1"/>
        <v>0</v>
      </c>
      <c r="P30" s="221">
        <f t="shared" si="4"/>
        <v>0</v>
      </c>
      <c r="Q30" s="221">
        <f t="shared" si="4"/>
        <v>0</v>
      </c>
      <c r="R30" s="221">
        <f t="shared" si="5"/>
        <v>0</v>
      </c>
      <c r="S30" s="221">
        <f t="shared" si="6"/>
        <v>0</v>
      </c>
      <c r="T30" s="221">
        <f t="shared" si="7"/>
        <v>0</v>
      </c>
    </row>
    <row r="31" spans="1:20" x14ac:dyDescent="0.5">
      <c r="A31" s="218">
        <v>23582</v>
      </c>
      <c r="B31" s="219">
        <v>2</v>
      </c>
      <c r="C31" s="220">
        <f t="shared" si="8"/>
        <v>17.491173863232621</v>
      </c>
      <c r="D31" s="385">
        <v>0</v>
      </c>
      <c r="E31" s="385">
        <v>0</v>
      </c>
      <c r="F31" s="385">
        <v>0</v>
      </c>
      <c r="G31" s="385">
        <v>0</v>
      </c>
      <c r="H31" s="385">
        <v>67263.095771144275</v>
      </c>
      <c r="I31" s="385">
        <v>0</v>
      </c>
      <c r="J31" s="385">
        <v>2880</v>
      </c>
      <c r="K31" s="385">
        <v>0</v>
      </c>
      <c r="L31" s="221">
        <f t="shared" si="2"/>
        <v>0</v>
      </c>
      <c r="M31" s="221">
        <f t="shared" si="3"/>
        <v>70143.095771144275</v>
      </c>
      <c r="N31" s="221">
        <f t="shared" si="0"/>
        <v>0</v>
      </c>
      <c r="O31" s="221">
        <f t="shared" si="1"/>
        <v>0</v>
      </c>
      <c r="P31" s="221">
        <f t="shared" si="4"/>
        <v>0</v>
      </c>
      <c r="Q31" s="221">
        <f t="shared" si="4"/>
        <v>70143.095771144275</v>
      </c>
      <c r="R31" s="221">
        <f t="shared" si="5"/>
        <v>0</v>
      </c>
      <c r="S31" s="221">
        <f t="shared" si="6"/>
        <v>1226885.0834384614</v>
      </c>
      <c r="T31" s="221">
        <f t="shared" si="7"/>
        <v>0</v>
      </c>
    </row>
    <row r="32" spans="1:20" x14ac:dyDescent="0.5">
      <c r="A32" s="218">
        <v>23582</v>
      </c>
      <c r="B32" s="219">
        <v>3</v>
      </c>
      <c r="C32" s="220">
        <f t="shared" si="8"/>
        <v>15.538717787117008</v>
      </c>
      <c r="D32" s="385">
        <v>0</v>
      </c>
      <c r="E32" s="385">
        <v>108054.82151741293</v>
      </c>
      <c r="F32" s="385">
        <v>0</v>
      </c>
      <c r="G32" s="385">
        <v>0</v>
      </c>
      <c r="H32" s="385">
        <v>78729.16231343284</v>
      </c>
      <c r="I32" s="385">
        <v>8519.8476368159209</v>
      </c>
      <c r="J32" s="385">
        <v>80</v>
      </c>
      <c r="K32" s="385">
        <v>0</v>
      </c>
      <c r="L32" s="221">
        <f t="shared" si="2"/>
        <v>108054.82151741293</v>
      </c>
      <c r="M32" s="221">
        <f t="shared" si="3"/>
        <v>87329.009950248757</v>
      </c>
      <c r="N32" s="221">
        <f t="shared" si="0"/>
        <v>10805.482151741293</v>
      </c>
      <c r="O32" s="221">
        <f t="shared" si="1"/>
        <v>851.98476368159209</v>
      </c>
      <c r="P32" s="221">
        <f t="shared" si="4"/>
        <v>118860.30366915422</v>
      </c>
      <c r="Q32" s="221">
        <f t="shared" si="4"/>
        <v>88180.994713930355</v>
      </c>
      <c r="R32" s="221">
        <f t="shared" si="5"/>
        <v>1846936.7148060156</v>
      </c>
      <c r="S32" s="221">
        <f t="shared" si="6"/>
        <v>1370219.5910470204</v>
      </c>
      <c r="T32" s="221">
        <f t="shared" si="7"/>
        <v>0</v>
      </c>
    </row>
    <row r="33" spans="1:20" x14ac:dyDescent="0.5">
      <c r="A33" s="218">
        <v>23582</v>
      </c>
      <c r="B33" s="219">
        <v>4</v>
      </c>
      <c r="C33" s="220">
        <f t="shared" si="8"/>
        <v>14.456268045436332</v>
      </c>
      <c r="D33" s="385">
        <v>14337.787313432837</v>
      </c>
      <c r="E33" s="385">
        <v>0</v>
      </c>
      <c r="F33" s="385">
        <v>0</v>
      </c>
      <c r="G33" s="385">
        <v>0</v>
      </c>
      <c r="H33" s="385">
        <v>29127.758706467663</v>
      </c>
      <c r="I33" s="385">
        <v>14238.217661691542</v>
      </c>
      <c r="J33" s="385">
        <v>3501</v>
      </c>
      <c r="K33" s="385">
        <v>0</v>
      </c>
      <c r="L33" s="221">
        <f t="shared" si="2"/>
        <v>14337.787313432837</v>
      </c>
      <c r="M33" s="221">
        <f t="shared" si="3"/>
        <v>46866.976368159201</v>
      </c>
      <c r="N33" s="221">
        <f t="shared" si="0"/>
        <v>0</v>
      </c>
      <c r="O33" s="221">
        <f t="shared" si="1"/>
        <v>1423.8217661691542</v>
      </c>
      <c r="P33" s="221">
        <f t="shared" si="4"/>
        <v>14337.787313432837</v>
      </c>
      <c r="Q33" s="221">
        <f t="shared" si="4"/>
        <v>48290.798134328354</v>
      </c>
      <c r="R33" s="221">
        <f t="shared" si="5"/>
        <v>207270.89658144154</v>
      </c>
      <c r="S33" s="221">
        <f t="shared" si="6"/>
        <v>698104.72195790743</v>
      </c>
      <c r="T33" s="221">
        <f t="shared" si="7"/>
        <v>0</v>
      </c>
    </row>
    <row r="34" spans="1:20" x14ac:dyDescent="0.5">
      <c r="A34" s="218">
        <v>23582</v>
      </c>
      <c r="B34" s="219">
        <v>5</v>
      </c>
      <c r="C34" s="220">
        <f t="shared" si="8"/>
        <v>38.411791300575054</v>
      </c>
      <c r="D34" s="385">
        <v>0</v>
      </c>
      <c r="E34" s="385">
        <v>0</v>
      </c>
      <c r="F34" s="385">
        <v>0</v>
      </c>
      <c r="G34" s="385">
        <v>0</v>
      </c>
      <c r="H34" s="385">
        <v>0</v>
      </c>
      <c r="I34" s="385">
        <v>0</v>
      </c>
      <c r="J34" s="385">
        <v>0</v>
      </c>
      <c r="K34" s="385">
        <v>0</v>
      </c>
      <c r="L34" s="221">
        <f t="shared" si="2"/>
        <v>0</v>
      </c>
      <c r="M34" s="221">
        <f t="shared" si="3"/>
        <v>0</v>
      </c>
      <c r="N34" s="221">
        <f t="shared" si="0"/>
        <v>0</v>
      </c>
      <c r="O34" s="221">
        <f t="shared" si="1"/>
        <v>0</v>
      </c>
      <c r="P34" s="221">
        <f t="shared" si="4"/>
        <v>0</v>
      </c>
      <c r="Q34" s="221">
        <f t="shared" si="4"/>
        <v>0</v>
      </c>
      <c r="R34" s="221">
        <f t="shared" si="5"/>
        <v>0</v>
      </c>
      <c r="S34" s="221">
        <f t="shared" si="6"/>
        <v>0</v>
      </c>
      <c r="T34" s="221">
        <f t="shared" si="7"/>
        <v>0</v>
      </c>
    </row>
    <row r="35" spans="1:20" x14ac:dyDescent="0.5">
      <c r="A35" s="218">
        <v>23582</v>
      </c>
      <c r="B35" s="219">
        <v>6</v>
      </c>
      <c r="C35" s="220">
        <f t="shared" si="8"/>
        <v>13.697541590987258</v>
      </c>
      <c r="D35" s="385">
        <v>15220.432835820895</v>
      </c>
      <c r="E35" s="385">
        <v>0</v>
      </c>
      <c r="F35" s="385">
        <v>0</v>
      </c>
      <c r="G35" s="385">
        <v>0</v>
      </c>
      <c r="H35" s="385">
        <v>0</v>
      </c>
      <c r="I35" s="385">
        <v>0</v>
      </c>
      <c r="J35" s="385">
        <v>0</v>
      </c>
      <c r="K35" s="385">
        <v>0</v>
      </c>
      <c r="L35" s="221">
        <f t="shared" si="2"/>
        <v>15220.432835820895</v>
      </c>
      <c r="M35" s="221">
        <f t="shared" si="3"/>
        <v>0</v>
      </c>
      <c r="N35" s="221">
        <f t="shared" si="0"/>
        <v>0</v>
      </c>
      <c r="O35" s="221">
        <f t="shared" si="1"/>
        <v>0</v>
      </c>
      <c r="P35" s="221">
        <f t="shared" si="4"/>
        <v>15220.432835820895</v>
      </c>
      <c r="Q35" s="221">
        <f t="shared" si="4"/>
        <v>0</v>
      </c>
      <c r="R35" s="221">
        <f t="shared" si="5"/>
        <v>208482.51180148486</v>
      </c>
      <c r="S35" s="221">
        <f t="shared" si="6"/>
        <v>0</v>
      </c>
      <c r="T35" s="221">
        <f t="shared" si="7"/>
        <v>0</v>
      </c>
    </row>
    <row r="36" spans="1:20" x14ac:dyDescent="0.5">
      <c r="A36" s="218">
        <v>23582</v>
      </c>
      <c r="B36" s="219">
        <v>7</v>
      </c>
      <c r="C36" s="220">
        <f t="shared" si="8"/>
        <v>17.642919154122438</v>
      </c>
      <c r="D36" s="385">
        <v>0</v>
      </c>
      <c r="E36" s="385">
        <v>11977.109452736318</v>
      </c>
      <c r="F36" s="385">
        <v>0</v>
      </c>
      <c r="G36" s="385">
        <v>0</v>
      </c>
      <c r="H36" s="385">
        <v>0</v>
      </c>
      <c r="I36" s="385">
        <v>8320.0329601990052</v>
      </c>
      <c r="J36" s="385">
        <v>0</v>
      </c>
      <c r="K36" s="385">
        <v>824</v>
      </c>
      <c r="L36" s="221">
        <f t="shared" si="2"/>
        <v>11977.109452736318</v>
      </c>
      <c r="M36" s="221">
        <f t="shared" si="3"/>
        <v>9144.0329601990052</v>
      </c>
      <c r="N36" s="221">
        <f t="shared" si="0"/>
        <v>1197.710945273632</v>
      </c>
      <c r="O36" s="221">
        <f t="shared" si="1"/>
        <v>914.40329601990061</v>
      </c>
      <c r="P36" s="221">
        <f t="shared" si="4"/>
        <v>13174.82039800995</v>
      </c>
      <c r="Q36" s="221">
        <f t="shared" si="4"/>
        <v>10058.436256218905</v>
      </c>
      <c r="R36" s="221">
        <f t="shared" si="5"/>
        <v>232442.29115217275</v>
      </c>
      <c r="S36" s="221">
        <f t="shared" si="6"/>
        <v>177460.17768536412</v>
      </c>
      <c r="T36" s="221">
        <f t="shared" si="7"/>
        <v>0</v>
      </c>
    </row>
    <row r="37" spans="1:20" x14ac:dyDescent="0.5">
      <c r="A37" s="218">
        <v>23582</v>
      </c>
      <c r="B37" s="219">
        <v>8</v>
      </c>
      <c r="C37" s="220">
        <f t="shared" si="8"/>
        <v>20.323752626509162</v>
      </c>
      <c r="D37" s="385">
        <v>0</v>
      </c>
      <c r="E37" s="385">
        <v>0</v>
      </c>
      <c r="F37" s="385">
        <v>0</v>
      </c>
      <c r="G37" s="385">
        <v>0</v>
      </c>
      <c r="H37" s="385">
        <v>800</v>
      </c>
      <c r="I37" s="385">
        <v>0</v>
      </c>
      <c r="J37" s="385">
        <v>48</v>
      </c>
      <c r="K37" s="385">
        <v>0</v>
      </c>
      <c r="L37" s="221">
        <f t="shared" si="2"/>
        <v>0</v>
      </c>
      <c r="M37" s="221">
        <f t="shared" si="3"/>
        <v>848</v>
      </c>
      <c r="N37" s="221">
        <f t="shared" si="0"/>
        <v>0</v>
      </c>
      <c r="O37" s="221">
        <f t="shared" si="1"/>
        <v>0</v>
      </c>
      <c r="P37" s="221">
        <f t="shared" si="4"/>
        <v>0</v>
      </c>
      <c r="Q37" s="221">
        <f t="shared" si="4"/>
        <v>848</v>
      </c>
      <c r="R37" s="221">
        <f t="shared" si="5"/>
        <v>0</v>
      </c>
      <c r="S37" s="221">
        <f t="shared" si="6"/>
        <v>17234.54222727977</v>
      </c>
      <c r="T37" s="221">
        <f t="shared" si="7"/>
        <v>0</v>
      </c>
    </row>
    <row r="38" spans="1:20" x14ac:dyDescent="0.5">
      <c r="A38" s="218">
        <v>23582</v>
      </c>
      <c r="B38" s="219">
        <v>9</v>
      </c>
      <c r="C38" s="220">
        <f t="shared" si="8"/>
        <v>17.875595266820156</v>
      </c>
      <c r="D38" s="385">
        <v>12018.279850746268</v>
      </c>
      <c r="E38" s="385">
        <v>5257.2313432835817</v>
      </c>
      <c r="F38" s="385">
        <v>0</v>
      </c>
      <c r="G38" s="385">
        <v>0</v>
      </c>
      <c r="H38" s="385">
        <v>224557.23631840796</v>
      </c>
      <c r="I38" s="385">
        <v>0</v>
      </c>
      <c r="J38" s="385">
        <v>0</v>
      </c>
      <c r="K38" s="385">
        <v>0</v>
      </c>
      <c r="L38" s="221">
        <f t="shared" si="2"/>
        <v>17275.511194029852</v>
      </c>
      <c r="M38" s="221">
        <f t="shared" si="3"/>
        <v>224557.23631840796</v>
      </c>
      <c r="N38" s="221">
        <f t="shared" si="0"/>
        <v>525.72313432835824</v>
      </c>
      <c r="O38" s="221">
        <f t="shared" si="1"/>
        <v>0</v>
      </c>
      <c r="P38" s="221">
        <f t="shared" si="4"/>
        <v>17801.234328358209</v>
      </c>
      <c r="Q38" s="221">
        <f t="shared" si="4"/>
        <v>224557.23631840796</v>
      </c>
      <c r="R38" s="221">
        <f t="shared" si="5"/>
        <v>318207.66010355647</v>
      </c>
      <c r="S38" s="221">
        <f t="shared" si="6"/>
        <v>4014094.2706635487</v>
      </c>
      <c r="T38" s="221">
        <f t="shared" si="7"/>
        <v>0</v>
      </c>
    </row>
    <row r="39" spans="1:20" x14ac:dyDescent="0.5">
      <c r="A39" s="218">
        <v>23582</v>
      </c>
      <c r="B39" s="219">
        <v>10</v>
      </c>
      <c r="C39" s="220">
        <f t="shared" si="8"/>
        <v>23.560985498825204</v>
      </c>
      <c r="D39" s="385">
        <v>0</v>
      </c>
      <c r="E39" s="385">
        <v>0</v>
      </c>
      <c r="F39" s="385">
        <v>0</v>
      </c>
      <c r="G39" s="385">
        <v>0</v>
      </c>
      <c r="H39" s="385">
        <v>0</v>
      </c>
      <c r="I39" s="385">
        <v>0</v>
      </c>
      <c r="J39" s="385">
        <v>0</v>
      </c>
      <c r="K39" s="385">
        <v>0</v>
      </c>
      <c r="L39" s="221">
        <f t="shared" si="2"/>
        <v>0</v>
      </c>
      <c r="M39" s="221">
        <f t="shared" si="3"/>
        <v>0</v>
      </c>
      <c r="N39" s="221">
        <f t="shared" si="0"/>
        <v>0</v>
      </c>
      <c r="O39" s="221">
        <f t="shared" si="1"/>
        <v>0</v>
      </c>
      <c r="P39" s="221">
        <f t="shared" si="4"/>
        <v>0</v>
      </c>
      <c r="Q39" s="221">
        <f t="shared" si="4"/>
        <v>0</v>
      </c>
      <c r="R39" s="221">
        <f t="shared" si="5"/>
        <v>0</v>
      </c>
      <c r="S39" s="221">
        <f t="shared" si="6"/>
        <v>0</v>
      </c>
      <c r="T39" s="221">
        <f t="shared" si="7"/>
        <v>0</v>
      </c>
    </row>
    <row r="40" spans="1:20" x14ac:dyDescent="0.5">
      <c r="A40" s="218">
        <v>23582</v>
      </c>
      <c r="B40" s="219">
        <v>11</v>
      </c>
      <c r="C40" s="220">
        <f t="shared" si="8"/>
        <v>18.674787132173176</v>
      </c>
      <c r="D40" s="385">
        <v>0</v>
      </c>
      <c r="E40" s="385">
        <v>0</v>
      </c>
      <c r="F40" s="385">
        <v>0</v>
      </c>
      <c r="G40" s="385">
        <v>0</v>
      </c>
      <c r="H40" s="385">
        <v>0</v>
      </c>
      <c r="I40" s="385">
        <v>68438.572761194024</v>
      </c>
      <c r="J40" s="385">
        <v>0</v>
      </c>
      <c r="K40" s="385">
        <v>616</v>
      </c>
      <c r="L40" s="221">
        <f t="shared" si="2"/>
        <v>0</v>
      </c>
      <c r="M40" s="221">
        <f t="shared" si="3"/>
        <v>69054.572761194024</v>
      </c>
      <c r="N40" s="221">
        <f t="shared" si="0"/>
        <v>0</v>
      </c>
      <c r="O40" s="221">
        <f t="shared" si="1"/>
        <v>6905.4572761194031</v>
      </c>
      <c r="P40" s="221">
        <f t="shared" si="4"/>
        <v>0</v>
      </c>
      <c r="Q40" s="221">
        <f t="shared" si="4"/>
        <v>75960.030037313423</v>
      </c>
      <c r="R40" s="221">
        <f t="shared" si="5"/>
        <v>0</v>
      </c>
      <c r="S40" s="221">
        <f t="shared" si="6"/>
        <v>1418537.3915003086</v>
      </c>
      <c r="T40" s="221">
        <f t="shared" si="7"/>
        <v>0</v>
      </c>
    </row>
    <row r="41" spans="1:20" x14ac:dyDescent="0.5">
      <c r="A41" s="218">
        <v>23582</v>
      </c>
      <c r="B41" s="219">
        <v>12</v>
      </c>
      <c r="C41" s="220">
        <f t="shared" si="8"/>
        <v>16.752680114235524</v>
      </c>
      <c r="D41" s="385">
        <v>93907.589552238802</v>
      </c>
      <c r="E41" s="385">
        <v>0</v>
      </c>
      <c r="F41" s="385">
        <v>0</v>
      </c>
      <c r="G41" s="385">
        <v>10881.970149253732</v>
      </c>
      <c r="H41" s="385">
        <v>0</v>
      </c>
      <c r="I41" s="385">
        <v>0</v>
      </c>
      <c r="J41" s="385">
        <v>0</v>
      </c>
      <c r="K41" s="385">
        <v>0</v>
      </c>
      <c r="L41" s="221">
        <f t="shared" si="2"/>
        <v>104789.55970149253</v>
      </c>
      <c r="M41" s="221">
        <f t="shared" si="3"/>
        <v>0</v>
      </c>
      <c r="N41" s="221">
        <f t="shared" si="0"/>
        <v>0</v>
      </c>
      <c r="O41" s="221">
        <f t="shared" si="1"/>
        <v>0</v>
      </c>
      <c r="P41" s="221">
        <f t="shared" si="4"/>
        <v>104789.55970149253</v>
      </c>
      <c r="Q41" s="221">
        <f t="shared" si="4"/>
        <v>0</v>
      </c>
      <c r="R41" s="221">
        <f t="shared" si="5"/>
        <v>1755505.97299069</v>
      </c>
      <c r="S41" s="221">
        <f t="shared" si="6"/>
        <v>0</v>
      </c>
      <c r="T41" s="221">
        <f t="shared" si="7"/>
        <v>182302.16492310757</v>
      </c>
    </row>
    <row r="42" spans="1:20" x14ac:dyDescent="0.5">
      <c r="A42" s="218">
        <v>23582</v>
      </c>
      <c r="B42" s="219">
        <v>13</v>
      </c>
      <c r="C42" s="220">
        <f t="shared" si="8"/>
        <v>15.194761794433429</v>
      </c>
      <c r="D42" s="385">
        <v>3462.646766169154</v>
      </c>
      <c r="E42" s="385">
        <v>0</v>
      </c>
      <c r="F42" s="385">
        <v>0</v>
      </c>
      <c r="G42" s="385">
        <v>0</v>
      </c>
      <c r="H42" s="385">
        <v>0</v>
      </c>
      <c r="I42" s="385">
        <v>0</v>
      </c>
      <c r="J42" s="385">
        <v>0</v>
      </c>
      <c r="K42" s="385">
        <v>0</v>
      </c>
      <c r="L42" s="221">
        <f t="shared" si="2"/>
        <v>3462.646766169154</v>
      </c>
      <c r="M42" s="221">
        <f t="shared" si="3"/>
        <v>0</v>
      </c>
      <c r="N42" s="221">
        <f t="shared" si="0"/>
        <v>0</v>
      </c>
      <c r="O42" s="221">
        <f t="shared" si="1"/>
        <v>0</v>
      </c>
      <c r="P42" s="221">
        <f t="shared" si="4"/>
        <v>3462.646766169154</v>
      </c>
      <c r="Q42" s="221">
        <f t="shared" si="4"/>
        <v>0</v>
      </c>
      <c r="R42" s="221">
        <f t="shared" si="5"/>
        <v>52614.092790205526</v>
      </c>
      <c r="S42" s="221">
        <f t="shared" si="6"/>
        <v>0</v>
      </c>
      <c r="T42" s="221">
        <f t="shared" si="7"/>
        <v>0</v>
      </c>
    </row>
    <row r="43" spans="1:20" x14ac:dyDescent="0.5">
      <c r="A43" s="218">
        <v>23582</v>
      </c>
      <c r="B43" s="219">
        <v>14</v>
      </c>
      <c r="C43" s="220">
        <f t="shared" si="8"/>
        <v>23.753196200618969</v>
      </c>
      <c r="D43" s="385">
        <v>0</v>
      </c>
      <c r="E43" s="385">
        <v>0</v>
      </c>
      <c r="F43" s="385">
        <v>0</v>
      </c>
      <c r="G43" s="385">
        <v>0</v>
      </c>
      <c r="H43" s="385">
        <v>0</v>
      </c>
      <c r="I43" s="385">
        <v>110833.0708955224</v>
      </c>
      <c r="J43" s="385">
        <v>0</v>
      </c>
      <c r="K43" s="385">
        <v>2784</v>
      </c>
      <c r="L43" s="221">
        <f t="shared" si="2"/>
        <v>0</v>
      </c>
      <c r="M43" s="221">
        <f t="shared" si="3"/>
        <v>113617.0708955224</v>
      </c>
      <c r="N43" s="221">
        <f t="shared" si="0"/>
        <v>0</v>
      </c>
      <c r="O43" s="221">
        <f t="shared" si="1"/>
        <v>11361.707089552241</v>
      </c>
      <c r="P43" s="221">
        <f t="shared" si="4"/>
        <v>0</v>
      </c>
      <c r="Q43" s="221">
        <f t="shared" si="4"/>
        <v>124978.77798507464</v>
      </c>
      <c r="R43" s="221">
        <f t="shared" si="5"/>
        <v>0</v>
      </c>
      <c r="S43" s="221">
        <f t="shared" si="6"/>
        <v>2968645.4343930767</v>
      </c>
      <c r="T43" s="221">
        <f t="shared" si="7"/>
        <v>0</v>
      </c>
    </row>
    <row r="44" spans="1:20" x14ac:dyDescent="0.5">
      <c r="A44" s="218">
        <v>23582</v>
      </c>
      <c r="B44" s="219">
        <v>15</v>
      </c>
      <c r="C44" s="220">
        <f t="shared" si="8"/>
        <v>34.274203035646117</v>
      </c>
      <c r="D44" s="385">
        <v>0</v>
      </c>
      <c r="E44" s="385">
        <v>0</v>
      </c>
      <c r="F44" s="385">
        <v>0</v>
      </c>
      <c r="G44" s="385">
        <v>0</v>
      </c>
      <c r="H44" s="385">
        <v>0</v>
      </c>
      <c r="I44" s="385">
        <v>0</v>
      </c>
      <c r="J44" s="385">
        <v>0</v>
      </c>
      <c r="K44" s="385">
        <v>0</v>
      </c>
      <c r="L44" s="221">
        <f t="shared" si="2"/>
        <v>0</v>
      </c>
      <c r="M44" s="221">
        <f t="shared" si="3"/>
        <v>0</v>
      </c>
      <c r="N44" s="221">
        <f t="shared" si="0"/>
        <v>0</v>
      </c>
      <c r="O44" s="221">
        <f t="shared" si="1"/>
        <v>0</v>
      </c>
      <c r="P44" s="221">
        <f t="shared" si="4"/>
        <v>0</v>
      </c>
      <c r="Q44" s="221">
        <f t="shared" si="4"/>
        <v>0</v>
      </c>
      <c r="R44" s="221">
        <f t="shared" si="5"/>
        <v>0</v>
      </c>
      <c r="S44" s="221">
        <f t="shared" si="6"/>
        <v>0</v>
      </c>
      <c r="T44" s="221">
        <f t="shared" si="7"/>
        <v>0</v>
      </c>
    </row>
    <row r="45" spans="1:20" x14ac:dyDescent="0.5">
      <c r="A45" s="218">
        <v>23582</v>
      </c>
      <c r="B45" s="219">
        <v>16</v>
      </c>
      <c r="C45" s="220">
        <f t="shared" si="8"/>
        <v>20.667708619192741</v>
      </c>
      <c r="D45" s="385">
        <v>0</v>
      </c>
      <c r="E45" s="385">
        <v>0</v>
      </c>
      <c r="F45" s="385">
        <v>0</v>
      </c>
      <c r="G45" s="385">
        <v>0</v>
      </c>
      <c r="H45" s="385">
        <v>2766.4004975124381</v>
      </c>
      <c r="I45" s="385">
        <v>43660.932835820895</v>
      </c>
      <c r="J45" s="385">
        <v>0</v>
      </c>
      <c r="K45" s="385">
        <v>5459</v>
      </c>
      <c r="L45" s="221">
        <f t="shared" si="2"/>
        <v>0</v>
      </c>
      <c r="M45" s="221">
        <f t="shared" si="3"/>
        <v>51886.333333333336</v>
      </c>
      <c r="N45" s="221">
        <f t="shared" si="0"/>
        <v>0</v>
      </c>
      <c r="O45" s="221">
        <f t="shared" si="1"/>
        <v>4911.99328358209</v>
      </c>
      <c r="P45" s="221">
        <f t="shared" si="4"/>
        <v>0</v>
      </c>
      <c r="Q45" s="221">
        <f t="shared" si="4"/>
        <v>56798.326616915423</v>
      </c>
      <c r="R45" s="221">
        <f t="shared" si="5"/>
        <v>0</v>
      </c>
      <c r="S45" s="221">
        <f t="shared" si="6"/>
        <v>1173891.2645761473</v>
      </c>
      <c r="T45" s="221">
        <f t="shared" si="7"/>
        <v>0</v>
      </c>
    </row>
    <row r="46" spans="1:20" x14ac:dyDescent="0.5">
      <c r="A46" s="218">
        <v>23582</v>
      </c>
      <c r="B46" s="219">
        <v>17</v>
      </c>
      <c r="C46" s="220">
        <f t="shared" si="8"/>
        <v>27.496246709234395</v>
      </c>
      <c r="D46" s="385">
        <v>0</v>
      </c>
      <c r="E46" s="385">
        <v>0</v>
      </c>
      <c r="F46" s="385">
        <v>0</v>
      </c>
      <c r="G46" s="385">
        <v>0</v>
      </c>
      <c r="H46" s="385">
        <v>0</v>
      </c>
      <c r="I46" s="385">
        <v>0</v>
      </c>
      <c r="J46" s="385">
        <v>0</v>
      </c>
      <c r="K46" s="385">
        <v>0</v>
      </c>
      <c r="L46" s="221">
        <f t="shared" si="2"/>
        <v>0</v>
      </c>
      <c r="M46" s="221">
        <f t="shared" si="3"/>
        <v>0</v>
      </c>
      <c r="N46" s="221">
        <f t="shared" si="0"/>
        <v>0</v>
      </c>
      <c r="O46" s="221">
        <f t="shared" si="1"/>
        <v>0</v>
      </c>
      <c r="P46" s="221">
        <f t="shared" si="4"/>
        <v>0</v>
      </c>
      <c r="Q46" s="221">
        <f t="shared" si="4"/>
        <v>0</v>
      </c>
      <c r="R46" s="221">
        <f t="shared" si="5"/>
        <v>0</v>
      </c>
      <c r="S46" s="221">
        <f t="shared" si="6"/>
        <v>0</v>
      </c>
      <c r="T46" s="221">
        <f t="shared" si="7"/>
        <v>0</v>
      </c>
    </row>
    <row r="47" spans="1:20" x14ac:dyDescent="0.5">
      <c r="A47" s="218">
        <v>23582</v>
      </c>
      <c r="B47" s="219">
        <v>18</v>
      </c>
      <c r="C47" s="220">
        <f t="shared" si="8"/>
        <v>22.690979164390267</v>
      </c>
      <c r="D47" s="385">
        <v>0</v>
      </c>
      <c r="E47" s="385">
        <v>0</v>
      </c>
      <c r="F47" s="385">
        <v>0</v>
      </c>
      <c r="G47" s="385">
        <v>0</v>
      </c>
      <c r="H47" s="385">
        <v>0</v>
      </c>
      <c r="I47" s="385">
        <v>147087.47139303482</v>
      </c>
      <c r="J47" s="385">
        <v>0</v>
      </c>
      <c r="K47" s="385">
        <v>423</v>
      </c>
      <c r="L47" s="221">
        <f t="shared" si="2"/>
        <v>0</v>
      </c>
      <c r="M47" s="221">
        <f t="shared" si="3"/>
        <v>147510.47139303482</v>
      </c>
      <c r="N47" s="221">
        <f t="shared" si="0"/>
        <v>0</v>
      </c>
      <c r="O47" s="221">
        <f t="shared" si="1"/>
        <v>14751.047139303482</v>
      </c>
      <c r="P47" s="221">
        <f t="shared" si="4"/>
        <v>0</v>
      </c>
      <c r="Q47" s="221">
        <f t="shared" si="4"/>
        <v>162261.51853233832</v>
      </c>
      <c r="R47" s="221">
        <f t="shared" si="5"/>
        <v>0</v>
      </c>
      <c r="S47" s="221">
        <f t="shared" si="6"/>
        <v>3681872.7361996141</v>
      </c>
      <c r="T47" s="221">
        <f t="shared" si="7"/>
        <v>0</v>
      </c>
    </row>
    <row r="48" spans="1:20" x14ac:dyDescent="0.5">
      <c r="A48" s="218">
        <v>23582</v>
      </c>
      <c r="B48" s="219">
        <v>19</v>
      </c>
      <c r="C48" s="220">
        <f t="shared" si="8"/>
        <v>15.609532256198923</v>
      </c>
      <c r="D48" s="385">
        <v>0</v>
      </c>
      <c r="E48" s="385">
        <v>44043.610074626864</v>
      </c>
      <c r="F48" s="385">
        <v>12945.970149253732</v>
      </c>
      <c r="G48" s="385">
        <v>0</v>
      </c>
      <c r="H48" s="385">
        <v>0</v>
      </c>
      <c r="I48" s="385">
        <v>0</v>
      </c>
      <c r="J48" s="385">
        <v>0</v>
      </c>
      <c r="K48" s="385">
        <v>0</v>
      </c>
      <c r="L48" s="221">
        <f t="shared" si="2"/>
        <v>56989.580223880592</v>
      </c>
      <c r="M48" s="221">
        <f t="shared" si="3"/>
        <v>0</v>
      </c>
      <c r="N48" s="221">
        <f t="shared" si="0"/>
        <v>5698.9580223880594</v>
      </c>
      <c r="O48" s="221">
        <f t="shared" si="1"/>
        <v>0</v>
      </c>
      <c r="P48" s="221">
        <f t="shared" si="4"/>
        <v>62688.538246268654</v>
      </c>
      <c r="Q48" s="221">
        <f t="shared" si="4"/>
        <v>0</v>
      </c>
      <c r="R48" s="221">
        <f t="shared" si="5"/>
        <v>978538.75984909048</v>
      </c>
      <c r="S48" s="221">
        <f t="shared" si="6"/>
        <v>0</v>
      </c>
      <c r="T48" s="221">
        <f t="shared" si="7"/>
        <v>222288.59249582098</v>
      </c>
    </row>
    <row r="49" spans="1:20" x14ac:dyDescent="0.5">
      <c r="A49" s="218">
        <v>23582</v>
      </c>
      <c r="B49" s="219">
        <v>20</v>
      </c>
      <c r="C49" s="220">
        <f t="shared" si="8"/>
        <v>18.634321721269227</v>
      </c>
      <c r="D49" s="385">
        <v>0</v>
      </c>
      <c r="E49" s="385">
        <v>0</v>
      </c>
      <c r="F49" s="385">
        <v>0</v>
      </c>
      <c r="G49" s="385">
        <v>0</v>
      </c>
      <c r="H49" s="385">
        <v>2589.8470149253731</v>
      </c>
      <c r="I49" s="385">
        <v>0</v>
      </c>
      <c r="J49" s="385">
        <v>256</v>
      </c>
      <c r="K49" s="385">
        <v>0</v>
      </c>
      <c r="L49" s="221">
        <f t="shared" si="2"/>
        <v>0</v>
      </c>
      <c r="M49" s="221">
        <f t="shared" si="3"/>
        <v>2845.8470149253731</v>
      </c>
      <c r="N49" s="221">
        <f t="shared" si="0"/>
        <v>0</v>
      </c>
      <c r="O49" s="221">
        <f t="shared" si="1"/>
        <v>0</v>
      </c>
      <c r="P49" s="221">
        <f t="shared" si="4"/>
        <v>0</v>
      </c>
      <c r="Q49" s="221">
        <f t="shared" si="4"/>
        <v>2845.8470149253731</v>
      </c>
      <c r="R49" s="221">
        <f t="shared" si="5"/>
        <v>0</v>
      </c>
      <c r="S49" s="221">
        <f t="shared" si="6"/>
        <v>53030.428845633069</v>
      </c>
      <c r="T49" s="221">
        <f t="shared" si="7"/>
        <v>0</v>
      </c>
    </row>
    <row r="50" spans="1:20" x14ac:dyDescent="0.5">
      <c r="A50" s="218">
        <v>23582</v>
      </c>
      <c r="B50" s="219">
        <v>21</v>
      </c>
      <c r="C50" s="220">
        <f t="shared" si="8"/>
        <v>19.200837473924533</v>
      </c>
      <c r="D50" s="385">
        <v>0</v>
      </c>
      <c r="E50" s="385">
        <v>0</v>
      </c>
      <c r="F50" s="385">
        <v>0</v>
      </c>
      <c r="G50" s="385">
        <v>0</v>
      </c>
      <c r="H50" s="385">
        <v>5775.8781094527367</v>
      </c>
      <c r="I50" s="385">
        <v>0</v>
      </c>
      <c r="J50" s="385">
        <v>12906</v>
      </c>
      <c r="K50" s="385">
        <v>0</v>
      </c>
      <c r="L50" s="221">
        <f t="shared" si="2"/>
        <v>0</v>
      </c>
      <c r="M50" s="221">
        <f t="shared" si="3"/>
        <v>18681.878109452737</v>
      </c>
      <c r="N50" s="221">
        <f t="shared" si="0"/>
        <v>0</v>
      </c>
      <c r="O50" s="221">
        <f t="shared" si="1"/>
        <v>0</v>
      </c>
      <c r="P50" s="221">
        <f t="shared" si="4"/>
        <v>0</v>
      </c>
      <c r="Q50" s="221">
        <f t="shared" si="4"/>
        <v>18681.878109452737</v>
      </c>
      <c r="R50" s="221">
        <f t="shared" si="5"/>
        <v>0</v>
      </c>
      <c r="S50" s="221">
        <f t="shared" si="6"/>
        <v>358707.70528727054</v>
      </c>
      <c r="T50" s="221">
        <f t="shared" si="7"/>
        <v>0</v>
      </c>
    </row>
    <row r="51" spans="1:20" x14ac:dyDescent="0.5">
      <c r="A51" s="218">
        <v>23582</v>
      </c>
      <c r="B51" s="219">
        <v>22</v>
      </c>
      <c r="C51" s="220">
        <f t="shared" si="8"/>
        <v>23.348542091579464</v>
      </c>
      <c r="D51" s="385">
        <v>0</v>
      </c>
      <c r="E51" s="385">
        <v>0</v>
      </c>
      <c r="F51" s="385">
        <v>0</v>
      </c>
      <c r="G51" s="385">
        <v>0</v>
      </c>
      <c r="H51" s="385">
        <v>3568</v>
      </c>
      <c r="I51" s="385">
        <v>0</v>
      </c>
      <c r="J51" s="385">
        <v>0</v>
      </c>
      <c r="K51" s="385">
        <v>0</v>
      </c>
      <c r="L51" s="221">
        <f t="shared" si="2"/>
        <v>0</v>
      </c>
      <c r="M51" s="221">
        <f t="shared" si="3"/>
        <v>3568</v>
      </c>
      <c r="N51" s="221">
        <f t="shared" si="0"/>
        <v>0</v>
      </c>
      <c r="O51" s="221">
        <f t="shared" si="1"/>
        <v>0</v>
      </c>
      <c r="P51" s="221">
        <f t="shared" si="4"/>
        <v>0</v>
      </c>
      <c r="Q51" s="221">
        <f t="shared" si="4"/>
        <v>3568</v>
      </c>
      <c r="R51" s="221">
        <f t="shared" si="5"/>
        <v>0</v>
      </c>
      <c r="S51" s="221">
        <f t="shared" si="6"/>
        <v>83307.598182755522</v>
      </c>
      <c r="T51" s="221">
        <f t="shared" si="7"/>
        <v>0</v>
      </c>
    </row>
    <row r="52" spans="1:20" x14ac:dyDescent="0.5">
      <c r="A52" s="218">
        <v>23582</v>
      </c>
      <c r="B52" s="219">
        <v>23</v>
      </c>
      <c r="C52" s="220">
        <f t="shared" si="8"/>
        <v>20.526079681028914</v>
      </c>
      <c r="D52" s="385">
        <v>0</v>
      </c>
      <c r="E52" s="385">
        <v>0</v>
      </c>
      <c r="F52" s="385">
        <v>0</v>
      </c>
      <c r="G52" s="385">
        <v>0</v>
      </c>
      <c r="H52" s="385">
        <v>0</v>
      </c>
      <c r="I52" s="385">
        <v>0</v>
      </c>
      <c r="J52" s="385">
        <v>0</v>
      </c>
      <c r="K52" s="385">
        <v>0</v>
      </c>
      <c r="L52" s="221">
        <f t="shared" si="2"/>
        <v>0</v>
      </c>
      <c r="M52" s="221">
        <f t="shared" si="3"/>
        <v>0</v>
      </c>
      <c r="N52" s="221">
        <f t="shared" si="0"/>
        <v>0</v>
      </c>
      <c r="O52" s="221">
        <f t="shared" si="1"/>
        <v>0</v>
      </c>
      <c r="P52" s="221">
        <f t="shared" si="4"/>
        <v>0</v>
      </c>
      <c r="Q52" s="221">
        <f t="shared" si="4"/>
        <v>0</v>
      </c>
      <c r="R52" s="221">
        <f t="shared" si="5"/>
        <v>0</v>
      </c>
      <c r="S52" s="221">
        <f t="shared" si="6"/>
        <v>0</v>
      </c>
      <c r="T52" s="221">
        <f t="shared" si="7"/>
        <v>0</v>
      </c>
    </row>
    <row r="53" spans="1:20" x14ac:dyDescent="0.5">
      <c r="A53" s="218">
        <v>23582</v>
      </c>
      <c r="B53" s="219">
        <v>24</v>
      </c>
      <c r="C53" s="220">
        <f t="shared" si="8"/>
        <v>16.590818470619723</v>
      </c>
      <c r="D53" s="385">
        <v>7448.4011194029854</v>
      </c>
      <c r="E53" s="385">
        <v>0</v>
      </c>
      <c r="F53" s="385">
        <v>0</v>
      </c>
      <c r="G53" s="385">
        <v>0</v>
      </c>
      <c r="H53" s="385">
        <v>20442.835820895521</v>
      </c>
      <c r="I53" s="385">
        <v>0</v>
      </c>
      <c r="J53" s="385">
        <v>5073</v>
      </c>
      <c r="K53" s="385">
        <v>0</v>
      </c>
      <c r="L53" s="221">
        <f t="shared" si="2"/>
        <v>7448.4011194029854</v>
      </c>
      <c r="M53" s="221">
        <f t="shared" si="3"/>
        <v>25515.835820895521</v>
      </c>
      <c r="N53" s="221">
        <f t="shared" si="0"/>
        <v>0</v>
      </c>
      <c r="O53" s="221">
        <f t="shared" si="1"/>
        <v>0</v>
      </c>
      <c r="P53" s="221">
        <f t="shared" si="4"/>
        <v>7448.4011194029854</v>
      </c>
      <c r="Q53" s="221">
        <f t="shared" si="4"/>
        <v>25515.835820895521</v>
      </c>
      <c r="R53" s="221">
        <f t="shared" si="5"/>
        <v>123575.07086837567</v>
      </c>
      <c r="S53" s="221">
        <f t="shared" si="6"/>
        <v>423328.60023061378</v>
      </c>
      <c r="T53" s="221">
        <f t="shared" si="7"/>
        <v>0</v>
      </c>
    </row>
    <row r="54" spans="1:20" x14ac:dyDescent="0.5">
      <c r="A54" s="218">
        <v>23582</v>
      </c>
      <c r="B54" s="219">
        <v>25</v>
      </c>
      <c r="C54" s="220">
        <f t="shared" si="8"/>
        <v>13.970683114588926</v>
      </c>
      <c r="D54" s="385">
        <v>171417.72574626867</v>
      </c>
      <c r="E54" s="385">
        <v>0</v>
      </c>
      <c r="F54" s="385">
        <v>0</v>
      </c>
      <c r="G54" s="385">
        <v>0</v>
      </c>
      <c r="H54" s="385">
        <v>0</v>
      </c>
      <c r="I54" s="385">
        <v>0</v>
      </c>
      <c r="J54" s="385">
        <v>0</v>
      </c>
      <c r="K54" s="385">
        <v>0</v>
      </c>
      <c r="L54" s="221">
        <f t="shared" si="2"/>
        <v>171417.72574626867</v>
      </c>
      <c r="M54" s="221">
        <f t="shared" si="3"/>
        <v>0</v>
      </c>
      <c r="N54" s="221">
        <f t="shared" si="0"/>
        <v>0</v>
      </c>
      <c r="O54" s="221">
        <f t="shared" si="1"/>
        <v>0</v>
      </c>
      <c r="P54" s="221">
        <f t="shared" si="4"/>
        <v>171417.72574626867</v>
      </c>
      <c r="Q54" s="221">
        <f t="shared" si="4"/>
        <v>0</v>
      </c>
      <c r="R54" s="221">
        <f t="shared" si="5"/>
        <v>2394822.7266246313</v>
      </c>
      <c r="S54" s="221">
        <f t="shared" si="6"/>
        <v>0</v>
      </c>
      <c r="T54" s="221">
        <f t="shared" si="7"/>
        <v>0</v>
      </c>
    </row>
    <row r="55" spans="1:20" x14ac:dyDescent="0.5">
      <c r="A55" s="218">
        <v>23582</v>
      </c>
      <c r="B55" s="219">
        <v>26</v>
      </c>
      <c r="C55" s="220">
        <f t="shared" si="8"/>
        <v>17.926177030450091</v>
      </c>
      <c r="D55" s="385">
        <v>32765.453358208957</v>
      </c>
      <c r="E55" s="385">
        <v>0</v>
      </c>
      <c r="F55" s="385">
        <v>0</v>
      </c>
      <c r="G55" s="385">
        <v>0</v>
      </c>
      <c r="H55" s="385">
        <v>0</v>
      </c>
      <c r="I55" s="385">
        <v>0</v>
      </c>
      <c r="J55" s="385">
        <v>0</v>
      </c>
      <c r="K55" s="385">
        <v>0</v>
      </c>
      <c r="L55" s="221">
        <f t="shared" si="2"/>
        <v>32765.453358208957</v>
      </c>
      <c r="M55" s="221">
        <f t="shared" si="3"/>
        <v>0</v>
      </c>
      <c r="N55" s="221">
        <f t="shared" si="0"/>
        <v>0</v>
      </c>
      <c r="O55" s="221">
        <f t="shared" si="1"/>
        <v>0</v>
      </c>
      <c r="P55" s="221">
        <f t="shared" si="4"/>
        <v>32765.453358208957</v>
      </c>
      <c r="Q55" s="221">
        <f t="shared" si="4"/>
        <v>0</v>
      </c>
      <c r="R55" s="221">
        <f t="shared" si="5"/>
        <v>587359.31738220924</v>
      </c>
      <c r="S55" s="221">
        <f t="shared" si="6"/>
        <v>0</v>
      </c>
      <c r="T55" s="221">
        <f t="shared" si="7"/>
        <v>0</v>
      </c>
    </row>
    <row r="56" spans="1:20" x14ac:dyDescent="0.5">
      <c r="A56" s="218">
        <v>23485</v>
      </c>
      <c r="B56" s="219">
        <v>1</v>
      </c>
      <c r="C56" s="220">
        <f t="shared" si="8"/>
        <v>16.651516586975649</v>
      </c>
      <c r="D56" s="385">
        <v>0</v>
      </c>
      <c r="E56" s="385">
        <v>0</v>
      </c>
      <c r="F56" s="385">
        <v>0</v>
      </c>
      <c r="G56" s="385">
        <v>0</v>
      </c>
      <c r="H56" s="385">
        <v>0</v>
      </c>
      <c r="I56" s="385">
        <v>0</v>
      </c>
      <c r="J56" s="385">
        <v>0</v>
      </c>
      <c r="K56" s="385">
        <v>0</v>
      </c>
      <c r="L56" s="221">
        <f t="shared" si="2"/>
        <v>0</v>
      </c>
      <c r="M56" s="221">
        <f t="shared" si="3"/>
        <v>0</v>
      </c>
      <c r="N56" s="221">
        <f t="shared" si="0"/>
        <v>0</v>
      </c>
      <c r="O56" s="221">
        <f t="shared" si="1"/>
        <v>0</v>
      </c>
      <c r="P56" s="221">
        <f t="shared" si="4"/>
        <v>0</v>
      </c>
      <c r="Q56" s="221">
        <f t="shared" si="4"/>
        <v>0</v>
      </c>
      <c r="R56" s="221">
        <f t="shared" si="5"/>
        <v>0</v>
      </c>
      <c r="S56" s="221">
        <f t="shared" si="6"/>
        <v>0</v>
      </c>
      <c r="T56" s="221">
        <f t="shared" si="7"/>
        <v>0</v>
      </c>
    </row>
    <row r="57" spans="1:20" x14ac:dyDescent="0.5">
      <c r="A57" s="218">
        <v>23485</v>
      </c>
      <c r="B57" s="219">
        <v>2</v>
      </c>
      <c r="C57" s="220">
        <f t="shared" si="8"/>
        <v>17.491173863232621</v>
      </c>
      <c r="D57" s="385">
        <v>0</v>
      </c>
      <c r="E57" s="385">
        <v>0</v>
      </c>
      <c r="F57" s="385">
        <v>0</v>
      </c>
      <c r="G57" s="385">
        <v>0</v>
      </c>
      <c r="H57" s="385">
        <v>64379.071847006599</v>
      </c>
      <c r="I57" s="385">
        <v>0</v>
      </c>
      <c r="J57" s="385">
        <v>7840</v>
      </c>
      <c r="K57" s="385">
        <v>0</v>
      </c>
      <c r="L57" s="221">
        <f t="shared" si="2"/>
        <v>0</v>
      </c>
      <c r="M57" s="221">
        <f t="shared" si="3"/>
        <v>72219.071847006591</v>
      </c>
      <c r="N57" s="221">
        <f t="shared" si="0"/>
        <v>0</v>
      </c>
      <c r="O57" s="221">
        <f t="shared" si="1"/>
        <v>0</v>
      </c>
      <c r="P57" s="221">
        <f t="shared" si="4"/>
        <v>0</v>
      </c>
      <c r="Q57" s="221">
        <f t="shared" si="4"/>
        <v>72219.071847006591</v>
      </c>
      <c r="R57" s="221">
        <f t="shared" si="5"/>
        <v>0</v>
      </c>
      <c r="S57" s="221">
        <f t="shared" si="6"/>
        <v>1263196.3419172806</v>
      </c>
      <c r="T57" s="221">
        <f t="shared" si="7"/>
        <v>0</v>
      </c>
    </row>
    <row r="58" spans="1:20" x14ac:dyDescent="0.5">
      <c r="A58" s="218">
        <v>23485</v>
      </c>
      <c r="B58" s="219">
        <v>3</v>
      </c>
      <c r="C58" s="220">
        <f t="shared" si="8"/>
        <v>15.538717787117008</v>
      </c>
      <c r="D58" s="385">
        <v>0</v>
      </c>
      <c r="E58" s="385">
        <v>102401.68755089711</v>
      </c>
      <c r="F58" s="385">
        <v>0</v>
      </c>
      <c r="G58" s="385">
        <v>0</v>
      </c>
      <c r="H58" s="385">
        <v>46554.809992907241</v>
      </c>
      <c r="I58" s="385">
        <v>7237.2185882785616</v>
      </c>
      <c r="J58" s="385">
        <v>11270</v>
      </c>
      <c r="K58" s="385">
        <v>0</v>
      </c>
      <c r="L58" s="221">
        <f t="shared" si="2"/>
        <v>102401.68755089711</v>
      </c>
      <c r="M58" s="221">
        <f t="shared" si="3"/>
        <v>65062.028581185805</v>
      </c>
      <c r="N58" s="221">
        <f t="shared" si="0"/>
        <v>10240.168755089711</v>
      </c>
      <c r="O58" s="221">
        <f t="shared" si="1"/>
        <v>723.72185882785618</v>
      </c>
      <c r="P58" s="221">
        <f t="shared" si="4"/>
        <v>112641.85630598682</v>
      </c>
      <c r="Q58" s="221">
        <f t="shared" si="4"/>
        <v>65785.750440013668</v>
      </c>
      <c r="R58" s="221">
        <f t="shared" si="5"/>
        <v>1750310.0161557156</v>
      </c>
      <c r="S58" s="221">
        <f t="shared" si="6"/>
        <v>1022226.210501081</v>
      </c>
      <c r="T58" s="221">
        <f t="shared" si="7"/>
        <v>0</v>
      </c>
    </row>
    <row r="59" spans="1:20" x14ac:dyDescent="0.5">
      <c r="A59" s="218">
        <v>23485</v>
      </c>
      <c r="B59" s="219">
        <v>4</v>
      </c>
      <c r="C59" s="220">
        <f t="shared" si="8"/>
        <v>14.456268045436332</v>
      </c>
      <c r="D59" s="385">
        <v>8826.7330758925054</v>
      </c>
      <c r="E59" s="385">
        <v>35074.919484067563</v>
      </c>
      <c r="F59" s="385">
        <v>0</v>
      </c>
      <c r="G59" s="385">
        <v>0</v>
      </c>
      <c r="H59" s="385">
        <v>39411.019097906326</v>
      </c>
      <c r="I59" s="385">
        <v>14342.393779388973</v>
      </c>
      <c r="J59" s="385">
        <v>10296</v>
      </c>
      <c r="K59" s="385">
        <v>0</v>
      </c>
      <c r="L59" s="221">
        <f t="shared" ref="L59:L81" si="9">SUM(D59:G59)</f>
        <v>43901.652559960072</v>
      </c>
      <c r="M59" s="221">
        <f t="shared" ref="M59:M81" si="10">SUM(H59:K59)</f>
        <v>64049.412877295297</v>
      </c>
      <c r="N59" s="221">
        <f t="shared" si="0"/>
        <v>3507.4919484067564</v>
      </c>
      <c r="O59" s="221">
        <f t="shared" si="1"/>
        <v>1434.2393779388974</v>
      </c>
      <c r="P59" s="221">
        <f t="shared" ref="P59:Q81" si="11">L59+N59</f>
        <v>47409.14450836683</v>
      </c>
      <c r="Q59" s="221">
        <f t="shared" si="11"/>
        <v>65483.652255234192</v>
      </c>
      <c r="R59" s="221">
        <f t="shared" si="5"/>
        <v>685359.3008177767</v>
      </c>
      <c r="S59" s="221">
        <f t="shared" si="6"/>
        <v>946649.2295958068</v>
      </c>
      <c r="T59" s="221">
        <f t="shared" si="7"/>
        <v>0</v>
      </c>
    </row>
    <row r="60" spans="1:20" x14ac:dyDescent="0.5">
      <c r="A60" s="218">
        <v>23485</v>
      </c>
      <c r="B60" s="219">
        <v>5</v>
      </c>
      <c r="C60" s="220">
        <f t="shared" si="8"/>
        <v>38.411791300575054</v>
      </c>
      <c r="D60" s="385">
        <v>0</v>
      </c>
      <c r="E60" s="385">
        <v>0</v>
      </c>
      <c r="F60" s="385">
        <v>0</v>
      </c>
      <c r="G60" s="385">
        <v>0</v>
      </c>
      <c r="H60" s="385">
        <v>0</v>
      </c>
      <c r="I60" s="385">
        <v>0</v>
      </c>
      <c r="J60" s="385">
        <v>0</v>
      </c>
      <c r="K60" s="385">
        <v>0</v>
      </c>
      <c r="L60" s="221">
        <f t="shared" si="9"/>
        <v>0</v>
      </c>
      <c r="M60" s="221">
        <f t="shared" si="10"/>
        <v>0</v>
      </c>
      <c r="N60" s="221">
        <f t="shared" si="0"/>
        <v>0</v>
      </c>
      <c r="O60" s="221">
        <f t="shared" si="1"/>
        <v>0</v>
      </c>
      <c r="P60" s="221">
        <f t="shared" si="11"/>
        <v>0</v>
      </c>
      <c r="Q60" s="221">
        <f t="shared" si="11"/>
        <v>0</v>
      </c>
      <c r="R60" s="221">
        <f t="shared" si="5"/>
        <v>0</v>
      </c>
      <c r="S60" s="221">
        <f t="shared" si="6"/>
        <v>0</v>
      </c>
      <c r="T60" s="221">
        <f t="shared" si="7"/>
        <v>0</v>
      </c>
    </row>
    <row r="61" spans="1:20" x14ac:dyDescent="0.5">
      <c r="A61" s="218">
        <v>23485</v>
      </c>
      <c r="B61" s="219">
        <v>6</v>
      </c>
      <c r="C61" s="220">
        <f t="shared" si="8"/>
        <v>13.697541590987258</v>
      </c>
      <c r="D61" s="385">
        <v>38088.78114902672</v>
      </c>
      <c r="E61" s="385">
        <v>0</v>
      </c>
      <c r="F61" s="385">
        <v>0</v>
      </c>
      <c r="G61" s="385">
        <v>0</v>
      </c>
      <c r="H61" s="385">
        <v>14882.06583129745</v>
      </c>
      <c r="I61" s="385">
        <v>0</v>
      </c>
      <c r="J61" s="385">
        <v>0</v>
      </c>
      <c r="K61" s="385">
        <v>0</v>
      </c>
      <c r="L61" s="221">
        <f t="shared" si="9"/>
        <v>38088.78114902672</v>
      </c>
      <c r="M61" s="221">
        <f t="shared" si="10"/>
        <v>14882.06583129745</v>
      </c>
      <c r="N61" s="221">
        <f t="shared" si="0"/>
        <v>0</v>
      </c>
      <c r="O61" s="221">
        <f t="shared" si="1"/>
        <v>0</v>
      </c>
      <c r="P61" s="221">
        <f t="shared" si="11"/>
        <v>38088.78114902672</v>
      </c>
      <c r="Q61" s="221">
        <f t="shared" si="11"/>
        <v>14882.06583129745</v>
      </c>
      <c r="R61" s="221">
        <f t="shared" si="5"/>
        <v>521722.66393880494</v>
      </c>
      <c r="S61" s="221">
        <f t="shared" si="6"/>
        <v>203847.71568400718</v>
      </c>
      <c r="T61" s="221">
        <f t="shared" si="7"/>
        <v>0</v>
      </c>
    </row>
    <row r="62" spans="1:20" x14ac:dyDescent="0.5">
      <c r="A62" s="218">
        <v>23485</v>
      </c>
      <c r="B62" s="219">
        <v>7</v>
      </c>
      <c r="C62" s="220">
        <f t="shared" si="8"/>
        <v>17.642919154122438</v>
      </c>
      <c r="D62" s="385">
        <v>0</v>
      </c>
      <c r="E62" s="385">
        <v>0</v>
      </c>
      <c r="F62" s="385">
        <v>0</v>
      </c>
      <c r="G62" s="385">
        <v>0</v>
      </c>
      <c r="H62" s="385">
        <v>0</v>
      </c>
      <c r="I62" s="385">
        <v>225723.23450757875</v>
      </c>
      <c r="J62" s="385">
        <v>0</v>
      </c>
      <c r="K62" s="385">
        <v>0</v>
      </c>
      <c r="L62" s="221">
        <f t="shared" si="9"/>
        <v>0</v>
      </c>
      <c r="M62" s="221">
        <f t="shared" si="10"/>
        <v>225723.23450757875</v>
      </c>
      <c r="N62" s="221">
        <f t="shared" si="0"/>
        <v>0</v>
      </c>
      <c r="O62" s="221">
        <f t="shared" si="1"/>
        <v>22572.323450757875</v>
      </c>
      <c r="P62" s="221">
        <f t="shared" si="11"/>
        <v>0</v>
      </c>
      <c r="Q62" s="221">
        <f t="shared" si="11"/>
        <v>248295.55795833661</v>
      </c>
      <c r="R62" s="221">
        <f t="shared" si="5"/>
        <v>0</v>
      </c>
      <c r="S62" s="221">
        <f t="shared" si="6"/>
        <v>4380658.4553866545</v>
      </c>
      <c r="T62" s="221">
        <f t="shared" si="7"/>
        <v>0</v>
      </c>
    </row>
    <row r="63" spans="1:20" x14ac:dyDescent="0.5">
      <c r="A63" s="218">
        <v>23485</v>
      </c>
      <c r="B63" s="219">
        <v>8</v>
      </c>
      <c r="C63" s="220">
        <f t="shared" si="8"/>
        <v>20.323752626509162</v>
      </c>
      <c r="D63" s="385">
        <v>0</v>
      </c>
      <c r="E63" s="385">
        <v>0</v>
      </c>
      <c r="F63" s="385">
        <v>0</v>
      </c>
      <c r="G63" s="385">
        <v>0</v>
      </c>
      <c r="H63" s="385">
        <v>0</v>
      </c>
      <c r="I63" s="385">
        <v>0</v>
      </c>
      <c r="J63" s="385">
        <v>30960</v>
      </c>
      <c r="K63" s="385">
        <v>0</v>
      </c>
      <c r="L63" s="221">
        <f t="shared" si="9"/>
        <v>0</v>
      </c>
      <c r="M63" s="221">
        <f t="shared" si="10"/>
        <v>30960</v>
      </c>
      <c r="N63" s="221">
        <f t="shared" si="0"/>
        <v>0</v>
      </c>
      <c r="O63" s="221">
        <f t="shared" si="1"/>
        <v>0</v>
      </c>
      <c r="P63" s="221">
        <f t="shared" si="11"/>
        <v>0</v>
      </c>
      <c r="Q63" s="221">
        <f t="shared" si="11"/>
        <v>30960</v>
      </c>
      <c r="R63" s="221">
        <f t="shared" si="5"/>
        <v>0</v>
      </c>
      <c r="S63" s="221">
        <f t="shared" si="6"/>
        <v>629223.38131672365</v>
      </c>
      <c r="T63" s="221">
        <f t="shared" si="7"/>
        <v>0</v>
      </c>
    </row>
    <row r="64" spans="1:20" x14ac:dyDescent="0.5">
      <c r="A64" s="218">
        <v>23485</v>
      </c>
      <c r="B64" s="219">
        <v>9</v>
      </c>
      <c r="C64" s="220">
        <f t="shared" si="8"/>
        <v>17.875595266820156</v>
      </c>
      <c r="D64" s="385">
        <v>23480.68153518796</v>
      </c>
      <c r="E64" s="385">
        <v>3652.0064097512281</v>
      </c>
      <c r="F64" s="385">
        <v>0</v>
      </c>
      <c r="G64" s="385">
        <v>0</v>
      </c>
      <c r="H64" s="385">
        <v>212806.33745764047</v>
      </c>
      <c r="I64" s="385">
        <v>0</v>
      </c>
      <c r="J64" s="385">
        <v>9000</v>
      </c>
      <c r="K64" s="385">
        <v>0</v>
      </c>
      <c r="L64" s="221">
        <f t="shared" si="9"/>
        <v>27132.687944939189</v>
      </c>
      <c r="M64" s="221">
        <f t="shared" si="10"/>
        <v>221806.33745764047</v>
      </c>
      <c r="N64" s="221">
        <f t="shared" si="0"/>
        <v>365.20064097512284</v>
      </c>
      <c r="O64" s="221">
        <f t="shared" si="1"/>
        <v>0</v>
      </c>
      <c r="P64" s="221">
        <f t="shared" si="11"/>
        <v>27497.888585914312</v>
      </c>
      <c r="Q64" s="221">
        <f t="shared" si="11"/>
        <v>221806.33745764047</v>
      </c>
      <c r="R64" s="221">
        <f t="shared" si="5"/>
        <v>491541.12705391785</v>
      </c>
      <c r="S64" s="221">
        <f t="shared" si="6"/>
        <v>3964920.3160085124</v>
      </c>
      <c r="T64" s="221">
        <f t="shared" si="7"/>
        <v>0</v>
      </c>
    </row>
    <row r="65" spans="1:20" x14ac:dyDescent="0.5">
      <c r="A65" s="218">
        <v>23485</v>
      </c>
      <c r="B65" s="219">
        <v>10</v>
      </c>
      <c r="C65" s="220">
        <f t="shared" si="8"/>
        <v>23.560985498825204</v>
      </c>
      <c r="D65" s="385">
        <v>0</v>
      </c>
      <c r="E65" s="385">
        <v>0</v>
      </c>
      <c r="F65" s="385">
        <v>0</v>
      </c>
      <c r="G65" s="385">
        <v>0</v>
      </c>
      <c r="H65" s="385">
        <v>0</v>
      </c>
      <c r="I65" s="385">
        <v>0</v>
      </c>
      <c r="J65" s="385">
        <v>0</v>
      </c>
      <c r="K65" s="385">
        <v>0</v>
      </c>
      <c r="L65" s="221">
        <f t="shared" si="9"/>
        <v>0</v>
      </c>
      <c r="M65" s="221">
        <f t="shared" si="10"/>
        <v>0</v>
      </c>
      <c r="N65" s="221">
        <f t="shared" si="0"/>
        <v>0</v>
      </c>
      <c r="O65" s="221">
        <f t="shared" si="1"/>
        <v>0</v>
      </c>
      <c r="P65" s="221">
        <f t="shared" si="11"/>
        <v>0</v>
      </c>
      <c r="Q65" s="221">
        <f t="shared" si="11"/>
        <v>0</v>
      </c>
      <c r="R65" s="221">
        <f t="shared" si="5"/>
        <v>0</v>
      </c>
      <c r="S65" s="221">
        <f t="shared" si="6"/>
        <v>0</v>
      </c>
      <c r="T65" s="221">
        <f t="shared" si="7"/>
        <v>0</v>
      </c>
    </row>
    <row r="66" spans="1:20" x14ac:dyDescent="0.5">
      <c r="A66" s="218">
        <v>23485</v>
      </c>
      <c r="B66" s="219">
        <v>11</v>
      </c>
      <c r="C66" s="220">
        <f t="shared" si="8"/>
        <v>18.674787132173176</v>
      </c>
      <c r="D66" s="385">
        <v>0</v>
      </c>
      <c r="E66" s="385">
        <v>0</v>
      </c>
      <c r="F66" s="385">
        <v>0</v>
      </c>
      <c r="G66" s="385">
        <v>0</v>
      </c>
      <c r="H66" s="385">
        <v>0</v>
      </c>
      <c r="I66" s="385">
        <v>85578.602358998614</v>
      </c>
      <c r="J66" s="385">
        <v>0</v>
      </c>
      <c r="K66" s="385">
        <v>69916</v>
      </c>
      <c r="L66" s="221">
        <f t="shared" si="9"/>
        <v>0</v>
      </c>
      <c r="M66" s="221">
        <f t="shared" si="10"/>
        <v>155494.60235899861</v>
      </c>
      <c r="N66" s="221">
        <f t="shared" si="0"/>
        <v>0</v>
      </c>
      <c r="O66" s="221">
        <f t="shared" si="1"/>
        <v>15549.460235899862</v>
      </c>
      <c r="P66" s="221">
        <f t="shared" si="11"/>
        <v>0</v>
      </c>
      <c r="Q66" s="221">
        <f t="shared" si="11"/>
        <v>171044.06259489848</v>
      </c>
      <c r="R66" s="221">
        <f t="shared" si="5"/>
        <v>0</v>
      </c>
      <c r="S66" s="221">
        <f t="shared" si="6"/>
        <v>3194211.4591818335</v>
      </c>
      <c r="T66" s="221">
        <f t="shared" si="7"/>
        <v>0</v>
      </c>
    </row>
    <row r="67" spans="1:20" x14ac:dyDescent="0.5">
      <c r="A67" s="218">
        <v>23485</v>
      </c>
      <c r="B67" s="219">
        <v>12</v>
      </c>
      <c r="C67" s="220">
        <f t="shared" si="8"/>
        <v>16.752680114235524</v>
      </c>
      <c r="D67" s="385">
        <v>95208.414217038386</v>
      </c>
      <c r="E67" s="385">
        <v>0</v>
      </c>
      <c r="F67" s="385">
        <v>0</v>
      </c>
      <c r="G67" s="385">
        <v>8550.083589460688</v>
      </c>
      <c r="H67" s="385">
        <v>0</v>
      </c>
      <c r="I67" s="385">
        <v>0</v>
      </c>
      <c r="J67" s="385">
        <v>0</v>
      </c>
      <c r="K67" s="385">
        <v>0</v>
      </c>
      <c r="L67" s="221">
        <f t="shared" si="9"/>
        <v>103758.49780649907</v>
      </c>
      <c r="M67" s="221">
        <f t="shared" si="10"/>
        <v>0</v>
      </c>
      <c r="N67" s="221">
        <f t="shared" si="0"/>
        <v>0</v>
      </c>
      <c r="O67" s="221">
        <f t="shared" si="1"/>
        <v>0</v>
      </c>
      <c r="P67" s="221">
        <f t="shared" si="11"/>
        <v>103758.49780649907</v>
      </c>
      <c r="Q67" s="221">
        <f t="shared" si="11"/>
        <v>0</v>
      </c>
      <c r="R67" s="221">
        <f t="shared" si="5"/>
        <v>1738232.9228858873</v>
      </c>
      <c r="S67" s="221">
        <f t="shared" si="6"/>
        <v>0</v>
      </c>
      <c r="T67" s="221">
        <f t="shared" si="7"/>
        <v>143236.81532420954</v>
      </c>
    </row>
    <row r="68" spans="1:20" x14ac:dyDescent="0.5">
      <c r="A68" s="218">
        <v>23485</v>
      </c>
      <c r="B68" s="219">
        <v>13</v>
      </c>
      <c r="C68" s="220">
        <f t="shared" si="8"/>
        <v>15.194761794433429</v>
      </c>
      <c r="D68" s="385">
        <v>672</v>
      </c>
      <c r="E68" s="385">
        <v>0</v>
      </c>
      <c r="F68" s="385">
        <v>0</v>
      </c>
      <c r="G68" s="385">
        <v>0</v>
      </c>
      <c r="H68" s="385">
        <v>0</v>
      </c>
      <c r="I68" s="385">
        <v>0</v>
      </c>
      <c r="J68" s="385">
        <v>0</v>
      </c>
      <c r="K68" s="385">
        <v>0</v>
      </c>
      <c r="L68" s="221">
        <f t="shared" si="9"/>
        <v>672</v>
      </c>
      <c r="M68" s="221">
        <f t="shared" si="10"/>
        <v>0</v>
      </c>
      <c r="N68" s="221">
        <f t="shared" ref="N68:N81" si="12">IF(B68&lt;28,E68+F68,0)*0.1</f>
        <v>0</v>
      </c>
      <c r="O68" s="221">
        <f t="shared" ref="O68:O81" si="13">IF(B68&lt;28,I68+K68,0)*0.1</f>
        <v>0</v>
      </c>
      <c r="P68" s="221">
        <f t="shared" si="11"/>
        <v>672</v>
      </c>
      <c r="Q68" s="221">
        <f t="shared" si="11"/>
        <v>0</v>
      </c>
      <c r="R68" s="221">
        <f t="shared" si="5"/>
        <v>10210.879925859264</v>
      </c>
      <c r="S68" s="221">
        <f t="shared" si="6"/>
        <v>0</v>
      </c>
      <c r="T68" s="221">
        <f t="shared" si="7"/>
        <v>0</v>
      </c>
    </row>
    <row r="69" spans="1:20" x14ac:dyDescent="0.5">
      <c r="A69" s="218">
        <v>23485</v>
      </c>
      <c r="B69" s="219">
        <v>14</v>
      </c>
      <c r="C69" s="220">
        <f t="shared" si="8"/>
        <v>23.753196200618969</v>
      </c>
      <c r="D69" s="385">
        <v>0</v>
      </c>
      <c r="E69" s="385">
        <v>0</v>
      </c>
      <c r="F69" s="385">
        <v>0</v>
      </c>
      <c r="G69" s="385">
        <v>0</v>
      </c>
      <c r="H69" s="385">
        <v>0</v>
      </c>
      <c r="I69" s="385">
        <v>65514.09294139281</v>
      </c>
      <c r="J69" s="385">
        <v>0</v>
      </c>
      <c r="K69" s="385">
        <v>0</v>
      </c>
      <c r="L69" s="221">
        <f t="shared" si="9"/>
        <v>0</v>
      </c>
      <c r="M69" s="221">
        <f t="shared" si="10"/>
        <v>65514.09294139281</v>
      </c>
      <c r="N69" s="221">
        <f t="shared" si="12"/>
        <v>0</v>
      </c>
      <c r="O69" s="221">
        <f t="shared" si="13"/>
        <v>6551.409294139281</v>
      </c>
      <c r="P69" s="221">
        <f t="shared" si="11"/>
        <v>0</v>
      </c>
      <c r="Q69" s="221">
        <f t="shared" si="11"/>
        <v>72065.502235532098</v>
      </c>
      <c r="R69" s="221">
        <f t="shared" ref="R69:R81" si="14">C69*P69</f>
        <v>0</v>
      </c>
      <c r="S69" s="221">
        <f t="shared" ref="S69:S81" si="15">C69*Q69</f>
        <v>1711786.0138967389</v>
      </c>
      <c r="T69" s="221">
        <f t="shared" ref="T69:T81" si="16">(G69+F69*1.1)*C69</f>
        <v>0</v>
      </c>
    </row>
    <row r="70" spans="1:20" x14ac:dyDescent="0.5">
      <c r="A70" s="218">
        <v>23485</v>
      </c>
      <c r="B70" s="219">
        <v>15</v>
      </c>
      <c r="C70" s="220">
        <f t="shared" si="8"/>
        <v>34.274203035646117</v>
      </c>
      <c r="D70" s="385">
        <v>0</v>
      </c>
      <c r="E70" s="385">
        <v>0</v>
      </c>
      <c r="F70" s="385">
        <v>0</v>
      </c>
      <c r="G70" s="385">
        <v>0</v>
      </c>
      <c r="H70" s="385">
        <v>0</v>
      </c>
      <c r="I70" s="385">
        <v>0</v>
      </c>
      <c r="J70" s="385">
        <v>0</v>
      </c>
      <c r="K70" s="385">
        <v>0</v>
      </c>
      <c r="L70" s="221">
        <f t="shared" si="9"/>
        <v>0</v>
      </c>
      <c r="M70" s="221">
        <f t="shared" si="10"/>
        <v>0</v>
      </c>
      <c r="N70" s="221">
        <f t="shared" si="12"/>
        <v>0</v>
      </c>
      <c r="O70" s="221">
        <f t="shared" si="13"/>
        <v>0</v>
      </c>
      <c r="P70" s="221">
        <f t="shared" si="11"/>
        <v>0</v>
      </c>
      <c r="Q70" s="221">
        <f t="shared" si="11"/>
        <v>0</v>
      </c>
      <c r="R70" s="221">
        <f t="shared" si="14"/>
        <v>0</v>
      </c>
      <c r="S70" s="221">
        <f t="shared" si="15"/>
        <v>0</v>
      </c>
      <c r="T70" s="221">
        <f t="shared" si="16"/>
        <v>0</v>
      </c>
    </row>
    <row r="71" spans="1:20" x14ac:dyDescent="0.5">
      <c r="A71" s="218">
        <v>23485</v>
      </c>
      <c r="B71" s="219">
        <v>16</v>
      </c>
      <c r="C71" s="220">
        <f t="shared" si="8"/>
        <v>20.667708619192741</v>
      </c>
      <c r="D71" s="385">
        <v>1728</v>
      </c>
      <c r="E71" s="385">
        <v>0</v>
      </c>
      <c r="F71" s="385">
        <v>0</v>
      </c>
      <c r="G71" s="385">
        <v>0</v>
      </c>
      <c r="H71" s="385">
        <v>0</v>
      </c>
      <c r="I71" s="385">
        <v>70434.131399900172</v>
      </c>
      <c r="J71" s="385">
        <v>0</v>
      </c>
      <c r="K71" s="385">
        <v>2325</v>
      </c>
      <c r="L71" s="221">
        <f t="shared" si="9"/>
        <v>1728</v>
      </c>
      <c r="M71" s="221">
        <f t="shared" si="10"/>
        <v>72759.131399900172</v>
      </c>
      <c r="N71" s="221">
        <f t="shared" si="12"/>
        <v>0</v>
      </c>
      <c r="O71" s="221">
        <f t="shared" si="13"/>
        <v>7275.913139990018</v>
      </c>
      <c r="P71" s="221">
        <f t="shared" si="11"/>
        <v>1728</v>
      </c>
      <c r="Q71" s="221">
        <f t="shared" si="11"/>
        <v>80035.044539890194</v>
      </c>
      <c r="R71" s="221">
        <f t="shared" si="14"/>
        <v>35713.800493965056</v>
      </c>
      <c r="S71" s="221">
        <f t="shared" si="15"/>
        <v>1654140.9798745634</v>
      </c>
      <c r="T71" s="221">
        <f t="shared" si="16"/>
        <v>0</v>
      </c>
    </row>
    <row r="72" spans="1:20" x14ac:dyDescent="0.5">
      <c r="A72" s="218">
        <v>23485</v>
      </c>
      <c r="B72" s="219">
        <v>17</v>
      </c>
      <c r="C72" s="220">
        <f t="shared" si="8"/>
        <v>27.496246709234395</v>
      </c>
      <c r="D72" s="385">
        <v>0</v>
      </c>
      <c r="E72" s="385">
        <v>0</v>
      </c>
      <c r="F72" s="385">
        <v>0</v>
      </c>
      <c r="G72" s="385">
        <v>0</v>
      </c>
      <c r="H72" s="385">
        <v>0</v>
      </c>
      <c r="I72" s="385">
        <v>0</v>
      </c>
      <c r="J72" s="385">
        <v>0</v>
      </c>
      <c r="K72" s="385">
        <v>0</v>
      </c>
      <c r="L72" s="221">
        <f t="shared" si="9"/>
        <v>0</v>
      </c>
      <c r="M72" s="221">
        <f t="shared" si="10"/>
        <v>0</v>
      </c>
      <c r="N72" s="221">
        <f t="shared" si="12"/>
        <v>0</v>
      </c>
      <c r="O72" s="221">
        <f t="shared" si="13"/>
        <v>0</v>
      </c>
      <c r="P72" s="221">
        <f t="shared" si="11"/>
        <v>0</v>
      </c>
      <c r="Q72" s="221">
        <f t="shared" si="11"/>
        <v>0</v>
      </c>
      <c r="R72" s="221">
        <f t="shared" si="14"/>
        <v>0</v>
      </c>
      <c r="S72" s="221">
        <f t="shared" si="15"/>
        <v>0</v>
      </c>
      <c r="T72" s="221">
        <f t="shared" si="16"/>
        <v>0</v>
      </c>
    </row>
    <row r="73" spans="1:20" x14ac:dyDescent="0.5">
      <c r="A73" s="218">
        <v>23485</v>
      </c>
      <c r="B73" s="219">
        <v>18</v>
      </c>
      <c r="C73" s="220">
        <f t="shared" si="8"/>
        <v>22.690979164390267</v>
      </c>
      <c r="D73" s="385">
        <v>0</v>
      </c>
      <c r="E73" s="385">
        <v>0</v>
      </c>
      <c r="F73" s="385">
        <v>0</v>
      </c>
      <c r="G73" s="385">
        <v>0</v>
      </c>
      <c r="H73" s="385">
        <v>0</v>
      </c>
      <c r="I73" s="385">
        <v>106507.78889852103</v>
      </c>
      <c r="J73" s="385">
        <v>0</v>
      </c>
      <c r="K73" s="385">
        <v>0</v>
      </c>
      <c r="L73" s="221">
        <f t="shared" si="9"/>
        <v>0</v>
      </c>
      <c r="M73" s="221">
        <f t="shared" si="10"/>
        <v>106507.78889852103</v>
      </c>
      <c r="N73" s="221">
        <f t="shared" si="12"/>
        <v>0</v>
      </c>
      <c r="O73" s="221">
        <f t="shared" si="13"/>
        <v>10650.778889852103</v>
      </c>
      <c r="P73" s="221">
        <f t="shared" si="11"/>
        <v>0</v>
      </c>
      <c r="Q73" s="221">
        <f t="shared" si="11"/>
        <v>117158.56778837313</v>
      </c>
      <c r="R73" s="221">
        <f t="shared" si="14"/>
        <v>0</v>
      </c>
      <c r="S73" s="221">
        <f t="shared" si="15"/>
        <v>2658442.6206157794</v>
      </c>
      <c r="T73" s="221">
        <f t="shared" si="16"/>
        <v>0</v>
      </c>
    </row>
    <row r="74" spans="1:20" x14ac:dyDescent="0.5">
      <c r="A74" s="218">
        <v>23485</v>
      </c>
      <c r="B74" s="219">
        <v>19</v>
      </c>
      <c r="C74" s="220">
        <f t="shared" si="8"/>
        <v>15.609532256198923</v>
      </c>
      <c r="D74" s="385">
        <v>0</v>
      </c>
      <c r="E74" s="385">
        <v>32842.425828145111</v>
      </c>
      <c r="F74" s="385">
        <v>15538.572306722359</v>
      </c>
      <c r="G74" s="385">
        <v>0</v>
      </c>
      <c r="H74" s="385">
        <v>0</v>
      </c>
      <c r="I74" s="385">
        <v>6405.144613444716</v>
      </c>
      <c r="J74" s="385">
        <v>0</v>
      </c>
      <c r="K74" s="385">
        <v>0</v>
      </c>
      <c r="L74" s="221">
        <f t="shared" si="9"/>
        <v>48380.99813486747</v>
      </c>
      <c r="M74" s="221">
        <f t="shared" si="10"/>
        <v>6405.144613444716</v>
      </c>
      <c r="N74" s="221">
        <f t="shared" si="12"/>
        <v>4838.0998134867468</v>
      </c>
      <c r="O74" s="221">
        <f t="shared" si="13"/>
        <v>640.51446134447167</v>
      </c>
      <c r="P74" s="221">
        <f>L74+N74</f>
        <v>53219.097948354218</v>
      </c>
      <c r="Q74" s="221">
        <f t="shared" si="11"/>
        <v>7045.6590747891878</v>
      </c>
      <c r="R74" s="221">
        <f t="shared" si="14"/>
        <v>830725.22607064515</v>
      </c>
      <c r="S74" s="221">
        <f t="shared" si="15"/>
        <v>109979.44259410248</v>
      </c>
      <c r="T74" s="221">
        <f t="shared" si="16"/>
        <v>266804.83020076819</v>
      </c>
    </row>
    <row r="75" spans="1:20" x14ac:dyDescent="0.5">
      <c r="A75" s="218">
        <v>23485</v>
      </c>
      <c r="B75" s="219">
        <v>20</v>
      </c>
      <c r="C75" s="220">
        <f t="shared" si="8"/>
        <v>18.634321721269227</v>
      </c>
      <c r="D75" s="385">
        <v>0</v>
      </c>
      <c r="E75" s="385">
        <v>0</v>
      </c>
      <c r="F75" s="385">
        <v>0</v>
      </c>
      <c r="G75" s="385">
        <v>0</v>
      </c>
      <c r="H75" s="385">
        <v>36530.080121890351</v>
      </c>
      <c r="I75" s="385">
        <v>0</v>
      </c>
      <c r="J75" s="385">
        <v>0</v>
      </c>
      <c r="K75" s="385">
        <v>0</v>
      </c>
      <c r="L75" s="221">
        <f t="shared" si="9"/>
        <v>0</v>
      </c>
      <c r="M75" s="221">
        <f t="shared" si="10"/>
        <v>36530.080121890351</v>
      </c>
      <c r="N75" s="221">
        <f t="shared" si="12"/>
        <v>0</v>
      </c>
      <c r="O75" s="221">
        <f t="shared" si="13"/>
        <v>0</v>
      </c>
      <c r="P75" s="221">
        <f t="shared" si="11"/>
        <v>0</v>
      </c>
      <c r="Q75" s="221">
        <f t="shared" si="11"/>
        <v>36530.080121890351</v>
      </c>
      <c r="R75" s="221">
        <f t="shared" si="14"/>
        <v>0</v>
      </c>
      <c r="S75" s="221">
        <f t="shared" si="15"/>
        <v>680713.26549504662</v>
      </c>
      <c r="T75" s="221">
        <f t="shared" si="16"/>
        <v>0</v>
      </c>
    </row>
    <row r="76" spans="1:20" x14ac:dyDescent="0.5">
      <c r="A76" s="218">
        <v>23485</v>
      </c>
      <c r="B76" s="219">
        <v>21</v>
      </c>
      <c r="C76" s="220">
        <f t="shared" si="8"/>
        <v>19.200837473924533</v>
      </c>
      <c r="D76" s="385">
        <v>0</v>
      </c>
      <c r="E76" s="385">
        <v>0</v>
      </c>
      <c r="F76" s="385">
        <v>0</v>
      </c>
      <c r="G76" s="385">
        <v>0</v>
      </c>
      <c r="H76" s="385">
        <v>0</v>
      </c>
      <c r="I76" s="385">
        <v>0</v>
      </c>
      <c r="J76" s="385">
        <v>80200</v>
      </c>
      <c r="K76" s="385">
        <v>0</v>
      </c>
      <c r="L76" s="221">
        <f t="shared" si="9"/>
        <v>0</v>
      </c>
      <c r="M76" s="221">
        <f t="shared" si="10"/>
        <v>80200</v>
      </c>
      <c r="N76" s="221">
        <f t="shared" si="12"/>
        <v>0</v>
      </c>
      <c r="O76" s="221">
        <f t="shared" si="13"/>
        <v>0</v>
      </c>
      <c r="P76" s="221">
        <f t="shared" si="11"/>
        <v>0</v>
      </c>
      <c r="Q76" s="221">
        <f t="shared" si="11"/>
        <v>80200</v>
      </c>
      <c r="R76" s="221">
        <f t="shared" si="14"/>
        <v>0</v>
      </c>
      <c r="S76" s="221">
        <f t="shared" si="15"/>
        <v>1539907.1654087475</v>
      </c>
      <c r="T76" s="221">
        <f t="shared" si="16"/>
        <v>0</v>
      </c>
    </row>
    <row r="77" spans="1:20" x14ac:dyDescent="0.5">
      <c r="A77" s="218">
        <v>23485</v>
      </c>
      <c r="B77" s="219">
        <v>22</v>
      </c>
      <c r="C77" s="220">
        <f t="shared" si="8"/>
        <v>23.348542091579464</v>
      </c>
      <c r="D77" s="385">
        <v>0</v>
      </c>
      <c r="E77" s="385">
        <v>0</v>
      </c>
      <c r="F77" s="385">
        <v>0</v>
      </c>
      <c r="G77" s="385">
        <v>0</v>
      </c>
      <c r="H77" s="385">
        <v>864</v>
      </c>
      <c r="I77" s="385">
        <v>0</v>
      </c>
      <c r="J77" s="385">
        <v>7104</v>
      </c>
      <c r="K77" s="385">
        <v>0</v>
      </c>
      <c r="L77" s="221">
        <f t="shared" si="9"/>
        <v>0</v>
      </c>
      <c r="M77" s="221">
        <f t="shared" si="10"/>
        <v>7968</v>
      </c>
      <c r="N77" s="221">
        <f t="shared" si="12"/>
        <v>0</v>
      </c>
      <c r="O77" s="221">
        <f t="shared" si="13"/>
        <v>0</v>
      </c>
      <c r="P77" s="221">
        <f t="shared" si="11"/>
        <v>0</v>
      </c>
      <c r="Q77" s="221">
        <f t="shared" si="11"/>
        <v>7968</v>
      </c>
      <c r="R77" s="221">
        <f t="shared" si="14"/>
        <v>0</v>
      </c>
      <c r="S77" s="221">
        <f t="shared" si="15"/>
        <v>186041.18338570517</v>
      </c>
      <c r="T77" s="221">
        <f t="shared" si="16"/>
        <v>0</v>
      </c>
    </row>
    <row r="78" spans="1:20" x14ac:dyDescent="0.5">
      <c r="A78" s="218">
        <v>23485</v>
      </c>
      <c r="B78" s="219">
        <v>23</v>
      </c>
      <c r="C78" s="220">
        <f t="shared" si="8"/>
        <v>20.526079681028914</v>
      </c>
      <c r="D78" s="385">
        <v>3449.7684608716213</v>
      </c>
      <c r="E78" s="385">
        <v>500.40192292536847</v>
      </c>
      <c r="F78" s="385">
        <v>0</v>
      </c>
      <c r="G78" s="385">
        <v>0</v>
      </c>
      <c r="H78" s="385">
        <v>0</v>
      </c>
      <c r="I78" s="385">
        <v>0</v>
      </c>
      <c r="J78" s="385">
        <v>0</v>
      </c>
      <c r="K78" s="385">
        <v>0</v>
      </c>
      <c r="L78" s="221">
        <f t="shared" si="9"/>
        <v>3950.1703837969899</v>
      </c>
      <c r="M78" s="221">
        <f t="shared" si="10"/>
        <v>0</v>
      </c>
      <c r="N78" s="221">
        <f t="shared" si="12"/>
        <v>50.040192292536851</v>
      </c>
      <c r="O78" s="221">
        <f t="shared" si="13"/>
        <v>0</v>
      </c>
      <c r="P78" s="221">
        <f t="shared" si="11"/>
        <v>4000.2105760895265</v>
      </c>
      <c r="Q78" s="221">
        <f t="shared" si="11"/>
        <v>0</v>
      </c>
      <c r="R78" s="221">
        <f t="shared" si="14"/>
        <v>82108.641025708203</v>
      </c>
      <c r="S78" s="221">
        <f t="shared" si="15"/>
        <v>0</v>
      </c>
      <c r="T78" s="221">
        <f t="shared" si="16"/>
        <v>0</v>
      </c>
    </row>
    <row r="79" spans="1:20" x14ac:dyDescent="0.5">
      <c r="A79" s="218">
        <v>23485</v>
      </c>
      <c r="B79" s="219">
        <v>24</v>
      </c>
      <c r="C79" s="220">
        <f t="shared" si="8"/>
        <v>16.590818470619723</v>
      </c>
      <c r="D79" s="385">
        <v>6147.9694223343058</v>
      </c>
      <c r="E79" s="385">
        <v>0</v>
      </c>
      <c r="F79" s="385">
        <v>0</v>
      </c>
      <c r="G79" s="385">
        <v>0</v>
      </c>
      <c r="H79" s="385">
        <v>0</v>
      </c>
      <c r="I79" s="385">
        <v>0</v>
      </c>
      <c r="J79" s="385">
        <v>0</v>
      </c>
      <c r="K79" s="385">
        <v>0</v>
      </c>
      <c r="L79" s="221">
        <f t="shared" si="9"/>
        <v>6147.9694223343058</v>
      </c>
      <c r="M79" s="221">
        <f t="shared" si="10"/>
        <v>0</v>
      </c>
      <c r="N79" s="221">
        <f t="shared" si="12"/>
        <v>0</v>
      </c>
      <c r="O79" s="221">
        <f t="shared" si="13"/>
        <v>0</v>
      </c>
      <c r="P79" s="221">
        <f t="shared" si="11"/>
        <v>6147.9694223343058</v>
      </c>
      <c r="Q79" s="221">
        <f t="shared" si="11"/>
        <v>0</v>
      </c>
      <c r="R79" s="221">
        <f t="shared" si="14"/>
        <v>101999.84464886927</v>
      </c>
      <c r="S79" s="221">
        <f t="shared" si="15"/>
        <v>0</v>
      </c>
      <c r="T79" s="221">
        <f t="shared" si="16"/>
        <v>0</v>
      </c>
    </row>
    <row r="80" spans="1:20" x14ac:dyDescent="0.5">
      <c r="A80" s="218">
        <v>23485</v>
      </c>
      <c r="B80" s="219">
        <v>25</v>
      </c>
      <c r="C80" s="220">
        <f t="shared" si="8"/>
        <v>13.970683114588926</v>
      </c>
      <c r="D80" s="385">
        <v>171511.21927128485</v>
      </c>
      <c r="E80" s="385">
        <v>0</v>
      </c>
      <c r="F80" s="385">
        <v>0</v>
      </c>
      <c r="G80" s="385">
        <v>0</v>
      </c>
      <c r="H80" s="385">
        <v>0</v>
      </c>
      <c r="I80" s="385">
        <v>0</v>
      </c>
      <c r="J80" s="385">
        <v>0</v>
      </c>
      <c r="K80" s="385">
        <v>0</v>
      </c>
      <c r="L80" s="221">
        <f t="shared" si="9"/>
        <v>171511.21927128485</v>
      </c>
      <c r="M80" s="221">
        <f t="shared" si="10"/>
        <v>0</v>
      </c>
      <c r="N80" s="221">
        <f t="shared" si="12"/>
        <v>0</v>
      </c>
      <c r="O80" s="221">
        <f t="shared" si="13"/>
        <v>0</v>
      </c>
      <c r="P80" s="221">
        <f t="shared" si="11"/>
        <v>171511.21927128485</v>
      </c>
      <c r="Q80" s="221">
        <f t="shared" si="11"/>
        <v>0</v>
      </c>
      <c r="R80" s="221">
        <f t="shared" si="14"/>
        <v>2396128.8950358978</v>
      </c>
      <c r="S80" s="221">
        <f t="shared" si="15"/>
        <v>0</v>
      </c>
      <c r="T80" s="221">
        <f t="shared" si="16"/>
        <v>0</v>
      </c>
    </row>
    <row r="81" spans="1:20" x14ac:dyDescent="0.5">
      <c r="A81" s="218">
        <v>23485</v>
      </c>
      <c r="B81" s="219">
        <v>26</v>
      </c>
      <c r="C81" s="220">
        <f t="shared" si="8"/>
        <v>17.926177030450091</v>
      </c>
      <c r="D81" s="385">
        <v>76247.176399506134</v>
      </c>
      <c r="E81" s="385">
        <v>0</v>
      </c>
      <c r="F81" s="385">
        <v>0</v>
      </c>
      <c r="G81" s="385">
        <v>0</v>
      </c>
      <c r="H81" s="385">
        <v>13140.106023589986</v>
      </c>
      <c r="I81" s="385">
        <v>0</v>
      </c>
      <c r="J81" s="385">
        <v>0</v>
      </c>
      <c r="K81" s="385">
        <v>0</v>
      </c>
      <c r="L81" s="221">
        <f t="shared" si="9"/>
        <v>76247.176399506134</v>
      </c>
      <c r="M81" s="221">
        <f t="shared" si="10"/>
        <v>13140.106023589986</v>
      </c>
      <c r="N81" s="221">
        <f t="shared" si="12"/>
        <v>0</v>
      </c>
      <c r="O81" s="221">
        <f t="shared" si="13"/>
        <v>0</v>
      </c>
      <c r="P81" s="221">
        <f t="shared" si="11"/>
        <v>76247.176399506134</v>
      </c>
      <c r="Q81" s="221">
        <f t="shared" si="11"/>
        <v>13140.106023589986</v>
      </c>
      <c r="R81" s="221">
        <f t="shared" si="14"/>
        <v>1366820.3822095031</v>
      </c>
      <c r="S81" s="221">
        <f t="shared" si="15"/>
        <v>235551.86677775768</v>
      </c>
      <c r="T81" s="221">
        <f t="shared" si="16"/>
        <v>0</v>
      </c>
    </row>
    <row r="82" spans="1:20" x14ac:dyDescent="0.5">
      <c r="D82" s="208">
        <f>SUM(D4:D81)</f>
        <v>1304397.7668531642</v>
      </c>
      <c r="E82" s="208">
        <f t="shared" ref="E82:T82" si="17">SUM(E4:E81)</f>
        <v>657707.14859897376</v>
      </c>
      <c r="F82" s="208">
        <f t="shared" si="17"/>
        <v>66448.4321734517</v>
      </c>
      <c r="G82" s="208">
        <f t="shared" si="17"/>
        <v>45944.600208224794</v>
      </c>
      <c r="H82" s="208">
        <f t="shared" si="17"/>
        <v>1452490.9692531093</v>
      </c>
      <c r="I82" s="208">
        <f t="shared" si="17"/>
        <v>1524915.2609234347</v>
      </c>
      <c r="J82" s="208">
        <f t="shared" si="17"/>
        <v>449529</v>
      </c>
      <c r="K82" s="208">
        <f t="shared" si="17"/>
        <v>92786</v>
      </c>
      <c r="L82" s="208">
        <f t="shared" si="17"/>
        <v>2074497.9478338144</v>
      </c>
      <c r="M82" s="208">
        <f t="shared" si="17"/>
        <v>3519721.2301765443</v>
      </c>
      <c r="N82" s="208">
        <f t="shared" si="17"/>
        <v>72415.558077242531</v>
      </c>
      <c r="O82" s="208">
        <f t="shared" si="17"/>
        <v>161770.12609234342</v>
      </c>
      <c r="P82" s="208">
        <f t="shared" si="17"/>
        <v>2146913.5059110573</v>
      </c>
      <c r="Q82" s="208">
        <f t="shared" si="17"/>
        <v>3681491.3562688883</v>
      </c>
      <c r="R82" s="208">
        <f t="shared" si="17"/>
        <v>33361537.977653824</v>
      </c>
      <c r="S82" s="208">
        <f t="shared" si="17"/>
        <v>69124557.363495514</v>
      </c>
      <c r="T82" s="208">
        <f t="shared" si="17"/>
        <v>1910647.0301887034</v>
      </c>
    </row>
    <row r="84" spans="1:20" x14ac:dyDescent="0.5">
      <c r="L84" s="208">
        <f>SUM(L82:M82)</f>
        <v>5594219.1780103585</v>
      </c>
      <c r="S84" s="224">
        <f>R82+S82</f>
        <v>102486095.34114933</v>
      </c>
    </row>
    <row r="85" spans="1:20" x14ac:dyDescent="0.5">
      <c r="S85" s="224"/>
      <c r="T85" s="225"/>
    </row>
    <row r="87" spans="1:20" x14ac:dyDescent="0.5">
      <c r="N87" s="387" t="s">
        <v>134</v>
      </c>
      <c r="S87" s="226"/>
      <c r="T87" s="225"/>
    </row>
    <row r="89" spans="1:20" x14ac:dyDescent="0.5">
      <c r="S89" s="226"/>
    </row>
  </sheetData>
  <pageMargins left="0.25" right="0.17" top="0.5" bottom="0.5" header="0.3" footer="0.3"/>
  <pageSetup fitToHeight="0" orientation="landscape" r:id="rId1"/>
  <colBreaks count="1" manualBreakCount="1">
    <brk id="15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outlinePr summaryBelow="0" summaryRight="0"/>
  </sheetPr>
  <dimension ref="A1:J42"/>
  <sheetViews>
    <sheetView showGridLines="0" zoomScale="85" zoomScaleNormal="85" workbookViewId="0"/>
  </sheetViews>
  <sheetFormatPr defaultColWidth="12" defaultRowHeight="19.2" outlineLevelRow="3" outlineLevelCol="3" x14ac:dyDescent="0.55000000000000004"/>
  <cols>
    <col min="1" max="1" width="7" style="2" customWidth="1"/>
    <col min="2" max="2" width="35.109375" style="2" bestFit="1" customWidth="1"/>
    <col min="3" max="3" width="15.33203125" style="2" customWidth="1"/>
    <col min="4" max="4" width="13.6640625" style="2" customWidth="1"/>
    <col min="5" max="5" width="16.88671875" style="2" bestFit="1" customWidth="1"/>
    <col min="6" max="6" width="17.5546875" style="2" bestFit="1" customWidth="1"/>
    <col min="7" max="7" width="14.5546875" style="2" customWidth="1"/>
    <col min="8" max="8" width="12" style="2"/>
    <col min="9" max="9" width="24" style="2" customWidth="1"/>
    <col min="10" max="10" width="12" style="2"/>
    <col min="11" max="16384" width="12" style="2" outlineLevel="3"/>
  </cols>
  <sheetData>
    <row r="1" spans="1:7" x14ac:dyDescent="0.55000000000000004">
      <c r="A1" s="1" t="str">
        <f>'Allocation Summary'!A1</f>
        <v>State Colleges Basis for Legislative Appropriations - 2026-2027</v>
      </c>
    </row>
    <row r="2" spans="1:7" x14ac:dyDescent="0.55000000000000004">
      <c r="A2" s="1" t="s">
        <v>285</v>
      </c>
    </row>
    <row r="3" spans="1:7" x14ac:dyDescent="0.55000000000000004">
      <c r="A3" s="1" t="s">
        <v>141</v>
      </c>
    </row>
    <row r="4" spans="1:7" ht="19.8" thickBot="1" x14ac:dyDescent="0.6">
      <c r="A4" s="1" t="s">
        <v>284</v>
      </c>
      <c r="B4" s="3"/>
      <c r="C4" s="3"/>
      <c r="D4" s="3"/>
      <c r="E4" s="3"/>
      <c r="F4" s="4" t="s">
        <v>58</v>
      </c>
      <c r="G4" s="5">
        <v>1.0116352725987636</v>
      </c>
    </row>
    <row r="5" spans="1:7" ht="57" customHeight="1" thickBot="1" x14ac:dyDescent="0.6">
      <c r="A5" s="6" t="s">
        <v>4</v>
      </c>
      <c r="B5" s="395" t="s">
        <v>147</v>
      </c>
      <c r="C5" s="396"/>
      <c r="D5" s="6" t="s">
        <v>59</v>
      </c>
      <c r="E5" s="6" t="s">
        <v>60</v>
      </c>
      <c r="F5" s="6" t="s">
        <v>61</v>
      </c>
      <c r="G5" s="7" t="s">
        <v>62</v>
      </c>
    </row>
    <row r="6" spans="1:7" x14ac:dyDescent="0.55000000000000004">
      <c r="A6" s="8">
        <v>1</v>
      </c>
      <c r="B6" s="399" t="s">
        <v>63</v>
      </c>
      <c r="C6" s="400"/>
      <c r="D6" s="9">
        <v>2293868</v>
      </c>
      <c r="E6" s="10">
        <v>37766972.619646564</v>
      </c>
      <c r="F6" s="11">
        <f>ROUND(E6/D6,2)</f>
        <v>16.46</v>
      </c>
      <c r="G6" s="12">
        <f>IFERROR($G$4*F6,0)</f>
        <v>16.651516586975649</v>
      </c>
    </row>
    <row r="7" spans="1:7" x14ac:dyDescent="0.55000000000000004">
      <c r="A7" s="8">
        <v>2</v>
      </c>
      <c r="B7" s="397" t="s">
        <v>64</v>
      </c>
      <c r="C7" s="398"/>
      <c r="D7" s="9">
        <v>6800649</v>
      </c>
      <c r="E7" s="10">
        <v>117597668.17714131</v>
      </c>
      <c r="F7" s="13">
        <f t="shared" ref="F7:F31" si="0">ROUND(E7/D7,2)</f>
        <v>17.29</v>
      </c>
      <c r="G7" s="14">
        <f t="shared" ref="G7:G31" si="1">IFERROR($G$4*F7,0)</f>
        <v>17.491173863232621</v>
      </c>
    </row>
    <row r="8" spans="1:7" x14ac:dyDescent="0.55000000000000004">
      <c r="A8" s="8">
        <v>3</v>
      </c>
      <c r="B8" s="397" t="s">
        <v>65</v>
      </c>
      <c r="C8" s="398"/>
      <c r="D8" s="9">
        <v>37805036</v>
      </c>
      <c r="E8" s="10">
        <v>580563845.78943014</v>
      </c>
      <c r="F8" s="13">
        <f t="shared" si="0"/>
        <v>15.36</v>
      </c>
      <c r="G8" s="14">
        <f t="shared" si="1"/>
        <v>15.538717787117008</v>
      </c>
    </row>
    <row r="9" spans="1:7" x14ac:dyDescent="0.55000000000000004">
      <c r="A9" s="8">
        <v>4</v>
      </c>
      <c r="B9" s="397" t="s">
        <v>66</v>
      </c>
      <c r="C9" s="398"/>
      <c r="D9" s="9">
        <v>19060453</v>
      </c>
      <c r="E9" s="10">
        <v>272469010.61458814</v>
      </c>
      <c r="F9" s="13">
        <f t="shared" si="0"/>
        <v>14.29</v>
      </c>
      <c r="G9" s="14">
        <f t="shared" si="1"/>
        <v>14.456268045436332</v>
      </c>
    </row>
    <row r="10" spans="1:7" x14ac:dyDescent="0.55000000000000004">
      <c r="A10" s="8">
        <v>5</v>
      </c>
      <c r="B10" s="397" t="s">
        <v>67</v>
      </c>
      <c r="C10" s="398"/>
      <c r="D10" s="9">
        <v>179423</v>
      </c>
      <c r="E10" s="10">
        <v>6812394.1867495626</v>
      </c>
      <c r="F10" s="13">
        <f t="shared" si="0"/>
        <v>37.97</v>
      </c>
      <c r="G10" s="14">
        <f t="shared" si="1"/>
        <v>38.411791300575054</v>
      </c>
    </row>
    <row r="11" spans="1:7" x14ac:dyDescent="0.55000000000000004">
      <c r="A11" s="8">
        <v>6</v>
      </c>
      <c r="B11" s="397" t="s">
        <v>68</v>
      </c>
      <c r="C11" s="398"/>
      <c r="D11" s="9">
        <v>9706412</v>
      </c>
      <c r="E11" s="10">
        <v>131455459.90214293</v>
      </c>
      <c r="F11" s="13">
        <f t="shared" si="0"/>
        <v>13.54</v>
      </c>
      <c r="G11" s="14">
        <f t="shared" si="1"/>
        <v>13.697541590987258</v>
      </c>
    </row>
    <row r="12" spans="1:7" x14ac:dyDescent="0.55000000000000004">
      <c r="A12" s="8">
        <v>7</v>
      </c>
      <c r="B12" s="397" t="s">
        <v>69</v>
      </c>
      <c r="C12" s="398"/>
      <c r="D12" s="9">
        <v>9895352</v>
      </c>
      <c r="E12" s="10">
        <v>172609793.24306056</v>
      </c>
      <c r="F12" s="13">
        <f t="shared" si="0"/>
        <v>17.440000000000001</v>
      </c>
      <c r="G12" s="14">
        <f t="shared" si="1"/>
        <v>17.642919154122438</v>
      </c>
    </row>
    <row r="13" spans="1:7" x14ac:dyDescent="0.55000000000000004">
      <c r="A13" s="8">
        <v>8</v>
      </c>
      <c r="B13" s="397" t="s">
        <v>70</v>
      </c>
      <c r="C13" s="398"/>
      <c r="D13" s="9">
        <v>2803746</v>
      </c>
      <c r="E13" s="10">
        <v>56315675.087956049</v>
      </c>
      <c r="F13" s="13">
        <f t="shared" si="0"/>
        <v>20.09</v>
      </c>
      <c r="G13" s="14">
        <f t="shared" si="1"/>
        <v>20.323752626509162</v>
      </c>
    </row>
    <row r="14" spans="1:7" x14ac:dyDescent="0.55000000000000004">
      <c r="A14" s="8">
        <v>9</v>
      </c>
      <c r="B14" s="397" t="s">
        <v>71</v>
      </c>
      <c r="C14" s="398"/>
      <c r="D14" s="9">
        <v>9022191</v>
      </c>
      <c r="E14" s="10">
        <v>159395943.51252192</v>
      </c>
      <c r="F14" s="13">
        <f t="shared" si="0"/>
        <v>17.670000000000002</v>
      </c>
      <c r="G14" s="14">
        <f t="shared" si="1"/>
        <v>17.875595266820156</v>
      </c>
    </row>
    <row r="15" spans="1:7" x14ac:dyDescent="0.55000000000000004">
      <c r="A15" s="8">
        <v>10</v>
      </c>
      <c r="B15" s="397" t="s">
        <v>72</v>
      </c>
      <c r="C15" s="398"/>
      <c r="D15" s="9">
        <v>531198</v>
      </c>
      <c r="E15" s="10">
        <v>12369213.34609272</v>
      </c>
      <c r="F15" s="13">
        <f t="shared" si="0"/>
        <v>23.29</v>
      </c>
      <c r="G15" s="14">
        <f t="shared" si="1"/>
        <v>23.560985498825204</v>
      </c>
    </row>
    <row r="16" spans="1:7" x14ac:dyDescent="0.55000000000000004">
      <c r="A16" s="8">
        <v>11</v>
      </c>
      <c r="B16" s="397" t="s">
        <v>73</v>
      </c>
      <c r="C16" s="398"/>
      <c r="D16" s="9">
        <v>7652634</v>
      </c>
      <c r="E16" s="10">
        <v>141233416.96340519</v>
      </c>
      <c r="F16" s="13">
        <f t="shared" si="0"/>
        <v>18.46</v>
      </c>
      <c r="G16" s="14">
        <f t="shared" si="1"/>
        <v>18.674787132173176</v>
      </c>
    </row>
    <row r="17" spans="1:7" x14ac:dyDescent="0.55000000000000004">
      <c r="A17" s="8">
        <v>12</v>
      </c>
      <c r="B17" s="397" t="s">
        <v>74</v>
      </c>
      <c r="C17" s="398"/>
      <c r="D17" s="15">
        <v>27690530</v>
      </c>
      <c r="E17" s="16">
        <v>458486147.25388801</v>
      </c>
      <c r="F17" s="13">
        <f t="shared" si="0"/>
        <v>16.559999999999999</v>
      </c>
      <c r="G17" s="14">
        <f t="shared" si="1"/>
        <v>16.752680114235524</v>
      </c>
    </row>
    <row r="18" spans="1:7" x14ac:dyDescent="0.55000000000000004">
      <c r="A18" s="8">
        <v>13</v>
      </c>
      <c r="B18" s="397" t="s">
        <v>75</v>
      </c>
      <c r="C18" s="398"/>
      <c r="D18" s="9">
        <v>4854592</v>
      </c>
      <c r="E18" s="10">
        <v>72903272.186090589</v>
      </c>
      <c r="F18" s="13">
        <f t="shared" si="0"/>
        <v>15.02</v>
      </c>
      <c r="G18" s="14">
        <f t="shared" si="1"/>
        <v>15.194761794433429</v>
      </c>
    </row>
    <row r="19" spans="1:7" x14ac:dyDescent="0.55000000000000004">
      <c r="A19" s="8">
        <v>14</v>
      </c>
      <c r="B19" s="397" t="s">
        <v>76</v>
      </c>
      <c r="C19" s="398"/>
      <c r="D19" s="9">
        <v>8645466</v>
      </c>
      <c r="E19" s="10">
        <v>202991512.19320261</v>
      </c>
      <c r="F19" s="13">
        <f t="shared" si="0"/>
        <v>23.48</v>
      </c>
      <c r="G19" s="14">
        <f t="shared" si="1"/>
        <v>23.753196200618969</v>
      </c>
    </row>
    <row r="20" spans="1:7" x14ac:dyDescent="0.55000000000000004">
      <c r="A20" s="8">
        <v>15</v>
      </c>
      <c r="B20" s="397" t="s">
        <v>77</v>
      </c>
      <c r="C20" s="398"/>
      <c r="D20" s="9">
        <v>576282</v>
      </c>
      <c r="E20" s="10">
        <v>19523986.112039208</v>
      </c>
      <c r="F20" s="13">
        <f t="shared" si="0"/>
        <v>33.880000000000003</v>
      </c>
      <c r="G20" s="14">
        <f t="shared" si="1"/>
        <v>34.274203035646117</v>
      </c>
    </row>
    <row r="21" spans="1:7" x14ac:dyDescent="0.55000000000000004">
      <c r="A21" s="8">
        <v>16</v>
      </c>
      <c r="B21" s="397" t="s">
        <v>78</v>
      </c>
      <c r="C21" s="398"/>
      <c r="D21" s="9">
        <v>13387774</v>
      </c>
      <c r="E21" s="10">
        <v>273486854.97605622</v>
      </c>
      <c r="F21" s="13">
        <f t="shared" si="0"/>
        <v>20.43</v>
      </c>
      <c r="G21" s="14">
        <f t="shared" si="1"/>
        <v>20.667708619192741</v>
      </c>
    </row>
    <row r="22" spans="1:7" x14ac:dyDescent="0.55000000000000004">
      <c r="A22" s="8">
        <v>17</v>
      </c>
      <c r="B22" s="397" t="s">
        <v>79</v>
      </c>
      <c r="C22" s="398"/>
      <c r="D22" s="9">
        <v>780682</v>
      </c>
      <c r="E22" s="10">
        <v>21216180.508797765</v>
      </c>
      <c r="F22" s="13">
        <f t="shared" si="0"/>
        <v>27.18</v>
      </c>
      <c r="G22" s="14">
        <f t="shared" si="1"/>
        <v>27.496246709234395</v>
      </c>
    </row>
    <row r="23" spans="1:7" x14ac:dyDescent="0.55000000000000004">
      <c r="A23" s="8">
        <v>18</v>
      </c>
      <c r="B23" s="397" t="s">
        <v>80</v>
      </c>
      <c r="C23" s="398"/>
      <c r="D23" s="9">
        <v>3334305</v>
      </c>
      <c r="E23" s="10">
        <v>74774817.916604891</v>
      </c>
      <c r="F23" s="13">
        <f t="shared" si="0"/>
        <v>22.43</v>
      </c>
      <c r="G23" s="14">
        <f t="shared" si="1"/>
        <v>22.690979164390267</v>
      </c>
    </row>
    <row r="24" spans="1:7" x14ac:dyDescent="0.55000000000000004">
      <c r="A24" s="8">
        <v>19</v>
      </c>
      <c r="B24" s="397" t="s">
        <v>81</v>
      </c>
      <c r="C24" s="398"/>
      <c r="D24" s="15">
        <v>20298018</v>
      </c>
      <c r="E24" s="16">
        <v>313287130.16612685</v>
      </c>
      <c r="F24" s="13">
        <f t="shared" si="0"/>
        <v>15.43</v>
      </c>
      <c r="G24" s="14">
        <f t="shared" si="1"/>
        <v>15.609532256198923</v>
      </c>
    </row>
    <row r="25" spans="1:7" x14ac:dyDescent="0.55000000000000004">
      <c r="A25" s="8">
        <v>20</v>
      </c>
      <c r="B25" s="397" t="s">
        <v>82</v>
      </c>
      <c r="C25" s="398"/>
      <c r="D25" s="9">
        <v>3552710</v>
      </c>
      <c r="E25" s="10">
        <v>65434638.561879113</v>
      </c>
      <c r="F25" s="13">
        <f t="shared" si="0"/>
        <v>18.420000000000002</v>
      </c>
      <c r="G25" s="14">
        <f t="shared" si="1"/>
        <v>18.634321721269227</v>
      </c>
    </row>
    <row r="26" spans="1:7" x14ac:dyDescent="0.55000000000000004">
      <c r="A26" s="8">
        <v>21</v>
      </c>
      <c r="B26" s="397" t="s">
        <v>83</v>
      </c>
      <c r="C26" s="398"/>
      <c r="D26" s="9">
        <v>3293249</v>
      </c>
      <c r="E26" s="10">
        <v>62511636.429631703</v>
      </c>
      <c r="F26" s="13">
        <f t="shared" si="0"/>
        <v>18.98</v>
      </c>
      <c r="G26" s="14">
        <f t="shared" si="1"/>
        <v>19.200837473924533</v>
      </c>
    </row>
    <row r="27" spans="1:7" x14ac:dyDescent="0.55000000000000004">
      <c r="A27" s="8">
        <v>22</v>
      </c>
      <c r="B27" s="397" t="s">
        <v>84</v>
      </c>
      <c r="C27" s="398"/>
      <c r="D27" s="9">
        <v>784409</v>
      </c>
      <c r="E27" s="10">
        <v>18104925.37814571</v>
      </c>
      <c r="F27" s="13">
        <f t="shared" si="0"/>
        <v>23.08</v>
      </c>
      <c r="G27" s="14">
        <f t="shared" si="1"/>
        <v>23.348542091579464</v>
      </c>
    </row>
    <row r="28" spans="1:7" x14ac:dyDescent="0.55000000000000004">
      <c r="A28" s="8">
        <v>23</v>
      </c>
      <c r="B28" s="397" t="s">
        <v>85</v>
      </c>
      <c r="C28" s="398"/>
      <c r="D28" s="9">
        <v>2805140</v>
      </c>
      <c r="E28" s="10">
        <v>56906654.041503415</v>
      </c>
      <c r="F28" s="13">
        <f t="shared" si="0"/>
        <v>20.29</v>
      </c>
      <c r="G28" s="14">
        <f t="shared" si="1"/>
        <v>20.526079681028914</v>
      </c>
    </row>
    <row r="29" spans="1:7" x14ac:dyDescent="0.55000000000000004">
      <c r="A29" s="8">
        <v>24</v>
      </c>
      <c r="B29" s="397" t="s">
        <v>86</v>
      </c>
      <c r="C29" s="398"/>
      <c r="D29" s="9">
        <v>7726085</v>
      </c>
      <c r="E29" s="10">
        <v>126682338.66570613</v>
      </c>
      <c r="F29" s="13">
        <f t="shared" si="0"/>
        <v>16.399999999999999</v>
      </c>
      <c r="G29" s="14">
        <f t="shared" si="1"/>
        <v>16.590818470619723</v>
      </c>
    </row>
    <row r="30" spans="1:7" x14ac:dyDescent="0.55000000000000004">
      <c r="A30" s="8">
        <v>25</v>
      </c>
      <c r="B30" s="397" t="s">
        <v>87</v>
      </c>
      <c r="C30" s="398"/>
      <c r="D30" s="9">
        <v>50994626</v>
      </c>
      <c r="E30" s="10">
        <v>704380310.66517711</v>
      </c>
      <c r="F30" s="13">
        <f t="shared" si="0"/>
        <v>13.81</v>
      </c>
      <c r="G30" s="14">
        <f t="shared" si="1"/>
        <v>13.970683114588926</v>
      </c>
    </row>
    <row r="31" spans="1:7" ht="19.8" thickBot="1" x14ac:dyDescent="0.6">
      <c r="A31" s="17">
        <v>26</v>
      </c>
      <c r="B31" s="401" t="s">
        <v>88</v>
      </c>
      <c r="C31" s="402"/>
      <c r="D31" s="18">
        <v>14419779</v>
      </c>
      <c r="E31" s="19">
        <v>255510559.94424021</v>
      </c>
      <c r="F31" s="20">
        <f t="shared" si="0"/>
        <v>17.72</v>
      </c>
      <c r="G31" s="21">
        <f t="shared" si="1"/>
        <v>17.926177030450091</v>
      </c>
    </row>
    <row r="32" spans="1:7" x14ac:dyDescent="0.55000000000000004">
      <c r="B32" s="22"/>
      <c r="C32" s="22"/>
      <c r="D32" s="23">
        <f>SUM(D6:D31)</f>
        <v>268894609</v>
      </c>
      <c r="E32" s="24">
        <f>SUM(E6:E31)</f>
        <v>4414790358.441824</v>
      </c>
      <c r="F32" s="25">
        <f>E32/D32</f>
        <v>16.418292560271539</v>
      </c>
      <c r="G32" s="25"/>
    </row>
    <row r="33" spans="2:9" ht="14.7" customHeight="1" x14ac:dyDescent="0.55000000000000004">
      <c r="B33" s="22"/>
      <c r="C33" s="22"/>
      <c r="D33" s="26"/>
      <c r="E33" s="27"/>
      <c r="F33" s="27"/>
      <c r="G33" s="25"/>
    </row>
    <row r="34" spans="2:9" ht="14.7" customHeight="1" x14ac:dyDescent="0.55000000000000004">
      <c r="B34" s="28" t="s">
        <v>126</v>
      </c>
    </row>
    <row r="35" spans="2:9" x14ac:dyDescent="0.55000000000000004">
      <c r="B35" s="2" t="s">
        <v>127</v>
      </c>
      <c r="E35" s="29">
        <f>(Hours!R82+Hours!S82)/(Hours!L82+Hours!M82)</f>
        <v>18.319999999999922</v>
      </c>
      <c r="F35" s="30"/>
      <c r="G35" s="31"/>
      <c r="H35" s="2" t="s">
        <v>134</v>
      </c>
      <c r="I35" s="386" t="s">
        <v>134</v>
      </c>
    </row>
    <row r="36" spans="2:9" x14ac:dyDescent="0.55000000000000004">
      <c r="B36" s="2" t="s">
        <v>259</v>
      </c>
      <c r="E36" s="31">
        <v>16.97</v>
      </c>
      <c r="H36" s="31" t="s">
        <v>134</v>
      </c>
    </row>
    <row r="37" spans="2:9" x14ac:dyDescent="0.55000000000000004">
      <c r="B37" s="2" t="s">
        <v>19</v>
      </c>
      <c r="E37" s="29">
        <f>E35-E36</f>
        <v>1.3499999999999233</v>
      </c>
      <c r="F37" s="30"/>
    </row>
    <row r="39" spans="2:9" x14ac:dyDescent="0.55000000000000004">
      <c r="E39" s="32"/>
    </row>
    <row r="40" spans="2:9" x14ac:dyDescent="0.55000000000000004">
      <c r="E40" s="32"/>
    </row>
    <row r="41" spans="2:9" x14ac:dyDescent="0.55000000000000004">
      <c r="E41" s="33"/>
    </row>
    <row r="42" spans="2:9" x14ac:dyDescent="0.55000000000000004">
      <c r="E42" s="34"/>
    </row>
  </sheetData>
  <mergeCells count="27">
    <mergeCell ref="B29:C29"/>
    <mergeCell ref="B30:C30"/>
    <mergeCell ref="B31:C31"/>
    <mergeCell ref="B23:C23"/>
    <mergeCell ref="B24:C24"/>
    <mergeCell ref="B25:C25"/>
    <mergeCell ref="B26:C26"/>
    <mergeCell ref="B27:C27"/>
    <mergeCell ref="B28:C28"/>
    <mergeCell ref="B22:C22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5:C5"/>
    <mergeCell ref="B10:C10"/>
    <mergeCell ref="B6:C6"/>
    <mergeCell ref="B7:C7"/>
    <mergeCell ref="B8:C8"/>
    <mergeCell ref="B9:C9"/>
  </mergeCells>
  <pageMargins left="0.7" right="0.7" top="0.75" bottom="1.24" header="0.3" footer="0.3"/>
  <pageSetup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91ADB-A88B-4C5D-AE10-5FE74D15BA38}">
  <sheetPr transitionEvaluation="1">
    <tabColor rgb="FF00B050"/>
  </sheetPr>
  <dimension ref="A1:R69"/>
  <sheetViews>
    <sheetView showGridLines="0" zoomScale="85" zoomScaleNormal="85" workbookViewId="0"/>
  </sheetViews>
  <sheetFormatPr defaultColWidth="15.33203125" defaultRowHeight="19.2" x14ac:dyDescent="0.55000000000000004"/>
  <cols>
    <col min="1" max="1" width="10.5546875" style="36" customWidth="1"/>
    <col min="2" max="2" width="22.33203125" style="36" customWidth="1"/>
    <col min="3" max="3" width="17.33203125" style="36" customWidth="1"/>
    <col min="4" max="4" width="17.6640625" style="36" customWidth="1"/>
    <col min="5" max="5" width="17" style="36" bestFit="1" customWidth="1"/>
    <col min="6" max="6" width="18" style="36" customWidth="1"/>
    <col min="7" max="7" width="18.44140625" style="36" customWidth="1"/>
    <col min="8" max="8" width="15" style="36" customWidth="1"/>
    <col min="9" max="9" width="15.33203125" style="36" customWidth="1"/>
    <col min="10" max="10" width="14.44140625" style="37" customWidth="1"/>
    <col min="11" max="11" width="18.5546875" style="36" customWidth="1"/>
    <col min="12" max="13" width="16.6640625" style="36" customWidth="1"/>
    <col min="14" max="14" width="15.33203125" style="36"/>
    <col min="15" max="15" width="16.33203125" style="36" customWidth="1"/>
    <col min="16" max="16" width="19.44140625" style="36" customWidth="1"/>
    <col min="17" max="17" width="18.33203125" style="36" customWidth="1"/>
    <col min="18" max="18" width="17" style="36" customWidth="1"/>
    <col min="19" max="16384" width="15.33203125" style="36"/>
  </cols>
  <sheetData>
    <row r="1" spans="1:13" x14ac:dyDescent="0.55000000000000004">
      <c r="A1" s="35" t="s">
        <v>308</v>
      </c>
    </row>
    <row r="2" spans="1:13" ht="19.8" thickBot="1" x14ac:dyDescent="0.6">
      <c r="A2" s="35" t="s">
        <v>286</v>
      </c>
      <c r="D2" s="38"/>
      <c r="E2" s="37"/>
      <c r="F2" s="37"/>
      <c r="G2" s="38"/>
      <c r="I2" s="37"/>
      <c r="J2" s="36"/>
    </row>
    <row r="3" spans="1:13" s="39" customFormat="1" ht="43.95" customHeight="1" thickBot="1" x14ac:dyDescent="0.6">
      <c r="A3" s="403" t="s">
        <v>0</v>
      </c>
      <c r="B3" s="404"/>
      <c r="C3" s="265" t="s">
        <v>1</v>
      </c>
      <c r="D3" s="266">
        <v>2026</v>
      </c>
      <c r="E3" s="265" t="s">
        <v>25</v>
      </c>
      <c r="F3" s="265" t="s">
        <v>26</v>
      </c>
      <c r="G3" s="266">
        <f>D3+1</f>
        <v>2027</v>
      </c>
      <c r="H3" s="265" t="s">
        <v>25</v>
      </c>
      <c r="I3" s="265" t="s">
        <v>26</v>
      </c>
      <c r="J3" s="265" t="s">
        <v>27</v>
      </c>
      <c r="K3" s="265" t="s">
        <v>28</v>
      </c>
      <c r="L3" s="265" t="s">
        <v>287</v>
      </c>
      <c r="M3" s="267" t="s">
        <v>288</v>
      </c>
    </row>
    <row r="4" spans="1:13" ht="16.5" hidden="1" customHeight="1" x14ac:dyDescent="0.55000000000000004">
      <c r="A4" s="60">
        <v>3656</v>
      </c>
      <c r="B4" s="61" t="s">
        <v>217</v>
      </c>
      <c r="C4" s="268">
        <f t="shared" ref="C4:C42" si="0">D4+G4</f>
        <v>42720521.090335816</v>
      </c>
      <c r="D4" s="269">
        <f>E4+F4</f>
        <v>21360260.545167908</v>
      </c>
      <c r="E4" s="270">
        <f>'Space Support'!L4*$E$61</f>
        <v>13832232.080701146</v>
      </c>
      <c r="F4" s="271">
        <v>7528028.4644667599</v>
      </c>
      <c r="G4" s="272">
        <f t="shared" ref="G4:G42" si="1">H4+I4</f>
        <v>21360260.545167908</v>
      </c>
      <c r="H4" s="270">
        <f>'Space Support'!L4*$H$61</f>
        <v>13832232.080701146</v>
      </c>
      <c r="I4" s="271">
        <v>7528028.4644667599</v>
      </c>
      <c r="J4" s="273">
        <v>1.0135584899999999</v>
      </c>
      <c r="K4" s="274">
        <f t="shared" ref="K4:K40" si="2">J4*L4</f>
        <v>3753959.8686958877</v>
      </c>
      <c r="L4" s="275">
        <v>3703742.7101971079</v>
      </c>
      <c r="M4" s="276">
        <f t="shared" ref="M4:M40" si="3">L4*(J4*$F$62+$E$62)</f>
        <v>3721286.7803889019</v>
      </c>
    </row>
    <row r="5" spans="1:13" ht="16.5" hidden="1" customHeight="1" x14ac:dyDescent="0.55000000000000004">
      <c r="A5" s="40">
        <v>3658</v>
      </c>
      <c r="B5" s="71" t="s">
        <v>218</v>
      </c>
      <c r="C5" s="277">
        <f t="shared" si="0"/>
        <v>139442509.15459129</v>
      </c>
      <c r="D5" s="77">
        <f t="shared" ref="D5:D42" si="4">E5+F5</f>
        <v>69721254.577295646</v>
      </c>
      <c r="E5" s="270">
        <f>'Space Support'!L5*$E$61</f>
        <v>43899204.915231213</v>
      </c>
      <c r="F5" s="271">
        <v>25822049.662064429</v>
      </c>
      <c r="G5" s="156">
        <f t="shared" si="1"/>
        <v>69721254.577295646</v>
      </c>
      <c r="H5" s="270">
        <f>'Space Support'!L5*$H$61</f>
        <v>43899204.915231213</v>
      </c>
      <c r="I5" s="271">
        <v>25822049.662064429</v>
      </c>
      <c r="J5" s="157">
        <v>1.0954533500000001</v>
      </c>
      <c r="K5" s="278">
        <f t="shared" si="2"/>
        <v>12876537.146001395</v>
      </c>
      <c r="L5" s="279">
        <v>11754528.064569242</v>
      </c>
      <c r="M5" s="276">
        <f t="shared" si="3"/>
        <v>12146517.708526386</v>
      </c>
    </row>
    <row r="6" spans="1:13" ht="16.5" hidden="1" customHeight="1" x14ac:dyDescent="0.55000000000000004">
      <c r="A6" s="40">
        <v>9741</v>
      </c>
      <c r="B6" s="71" t="s">
        <v>219</v>
      </c>
      <c r="C6" s="277">
        <f t="shared" si="0"/>
        <v>39974853.194536567</v>
      </c>
      <c r="D6" s="77">
        <f t="shared" si="4"/>
        <v>19987426.597268283</v>
      </c>
      <c r="E6" s="270">
        <f>'Space Support'!L6*$E$61</f>
        <v>13070932.538961951</v>
      </c>
      <c r="F6" s="271">
        <v>6916494.0583063336</v>
      </c>
      <c r="G6" s="156">
        <f t="shared" si="1"/>
        <v>19987426.597268283</v>
      </c>
      <c r="H6" s="270">
        <f>'Space Support'!L6*$H$61</f>
        <v>13070932.538961951</v>
      </c>
      <c r="I6" s="271">
        <v>6916494.0583063336</v>
      </c>
      <c r="J6" s="157">
        <v>0.98546060000000002</v>
      </c>
      <c r="K6" s="278">
        <f t="shared" si="2"/>
        <v>3449009.4251781874</v>
      </c>
      <c r="L6" s="279">
        <v>3499895.8103227946</v>
      </c>
      <c r="M6" s="276">
        <f t="shared" si="3"/>
        <v>3482117.9363953928</v>
      </c>
    </row>
    <row r="7" spans="1:13" ht="16.5" hidden="1" customHeight="1" x14ac:dyDescent="0.55000000000000004">
      <c r="A7" s="40">
        <v>3661</v>
      </c>
      <c r="B7" s="71" t="s">
        <v>220</v>
      </c>
      <c r="C7" s="277">
        <f t="shared" si="0"/>
        <v>33347879.006037548</v>
      </c>
      <c r="D7" s="77">
        <f t="shared" si="4"/>
        <v>16673939.503018774</v>
      </c>
      <c r="E7" s="270">
        <f>'Space Support'!L7*$E$61</f>
        <v>10003550.069397291</v>
      </c>
      <c r="F7" s="271">
        <v>6670389.4336214829</v>
      </c>
      <c r="G7" s="156">
        <f t="shared" si="1"/>
        <v>16673939.503018774</v>
      </c>
      <c r="H7" s="270">
        <f>'Space Support'!L7*$H$61</f>
        <v>10003550.069397291</v>
      </c>
      <c r="I7" s="271">
        <v>6670389.4336214829</v>
      </c>
      <c r="J7" s="157">
        <v>1.24181491</v>
      </c>
      <c r="K7" s="278">
        <f t="shared" si="2"/>
        <v>3326285.8078422328</v>
      </c>
      <c r="L7" s="279">
        <v>2678568.1030695895</v>
      </c>
      <c r="M7" s="276">
        <f t="shared" si="3"/>
        <v>2904857.387782407</v>
      </c>
    </row>
    <row r="8" spans="1:13" ht="16.5" hidden="1" customHeight="1" x14ac:dyDescent="0.55000000000000004">
      <c r="A8" s="40">
        <v>3599</v>
      </c>
      <c r="B8" s="280" t="s">
        <v>221</v>
      </c>
      <c r="C8" s="277">
        <f>D8+G8</f>
        <v>33319265.767168388</v>
      </c>
      <c r="D8" s="77">
        <f>E8+F8</f>
        <v>16659632.883584194</v>
      </c>
      <c r="E8" s="270">
        <f>'Space Support'!L8*$E$61</f>
        <v>10828743.516440563</v>
      </c>
      <c r="F8" s="271">
        <v>5830889.3671436319</v>
      </c>
      <c r="G8" s="156">
        <f>H8+I8</f>
        <v>16659632.883584194</v>
      </c>
      <c r="H8" s="270">
        <f>'Space Support'!L8*$H$61</f>
        <v>10828743.516440563</v>
      </c>
      <c r="I8" s="271">
        <v>5830889.3671436319</v>
      </c>
      <c r="J8" s="157">
        <v>1.00280517</v>
      </c>
      <c r="K8" s="278">
        <f>J8*L8</f>
        <v>2907657.0029432317</v>
      </c>
      <c r="L8" s="279">
        <v>2899523.3470358271</v>
      </c>
      <c r="M8" s="276">
        <f t="shared" si="3"/>
        <v>2902364.9540566397</v>
      </c>
    </row>
    <row r="9" spans="1:13" ht="16.5" hidden="1" customHeight="1" x14ac:dyDescent="0.55000000000000004">
      <c r="A9" s="40">
        <v>9930</v>
      </c>
      <c r="B9" s="71" t="s">
        <v>222</v>
      </c>
      <c r="C9" s="277">
        <f t="shared" si="0"/>
        <v>4286260.9481226727</v>
      </c>
      <c r="D9" s="77">
        <f t="shared" si="4"/>
        <v>2143130.4740613364</v>
      </c>
      <c r="E9" s="270">
        <f>'Space Support'!L9*$E$61</f>
        <v>1435475.2702255603</v>
      </c>
      <c r="F9" s="271">
        <v>707655.20383577619</v>
      </c>
      <c r="G9" s="156">
        <f t="shared" si="1"/>
        <v>2143130.4740613364</v>
      </c>
      <c r="H9" s="270">
        <f>'Space Support'!L9*$H$61</f>
        <v>1435475.2702255603</v>
      </c>
      <c r="I9" s="271">
        <v>707655.20383577619</v>
      </c>
      <c r="J9" s="157">
        <v>0.91809119000000006</v>
      </c>
      <c r="K9" s="278">
        <f t="shared" si="2"/>
        <v>352882.46432812646</v>
      </c>
      <c r="L9" s="279">
        <v>384365.37478169944</v>
      </c>
      <c r="M9" s="276">
        <f t="shared" si="3"/>
        <v>373366.37747975381</v>
      </c>
    </row>
    <row r="10" spans="1:13" ht="16.5" hidden="1" customHeight="1" x14ac:dyDescent="0.55000000000000004">
      <c r="A10" s="40">
        <v>10115</v>
      </c>
      <c r="B10" s="71" t="s">
        <v>223</v>
      </c>
      <c r="C10" s="277">
        <f t="shared" si="0"/>
        <v>44867978.220903531</v>
      </c>
      <c r="D10" s="77">
        <f t="shared" si="4"/>
        <v>22433989.110451765</v>
      </c>
      <c r="E10" s="270">
        <f>'Space Support'!L10*$E$61</f>
        <v>13074783.753385784</v>
      </c>
      <c r="F10" s="271">
        <v>9359205.3570659794</v>
      </c>
      <c r="G10" s="156">
        <f t="shared" si="1"/>
        <v>22433989.110451765</v>
      </c>
      <c r="H10" s="270">
        <f>'Space Support'!L10*$H$61</f>
        <v>13074783.753385784</v>
      </c>
      <c r="I10" s="271">
        <v>9359205.3570659794</v>
      </c>
      <c r="J10" s="157">
        <v>1.3331047999999999</v>
      </c>
      <c r="K10" s="278">
        <f t="shared" si="2"/>
        <v>4667102.6124763647</v>
      </c>
      <c r="L10" s="279">
        <v>3500927.0182482013</v>
      </c>
      <c r="M10" s="276">
        <f t="shared" si="3"/>
        <v>3908346.8542708494</v>
      </c>
    </row>
    <row r="11" spans="1:13" ht="16.5" hidden="1" customHeight="1" x14ac:dyDescent="0.55000000000000004">
      <c r="A11" s="40">
        <v>11163</v>
      </c>
      <c r="B11" s="71" t="s">
        <v>224</v>
      </c>
      <c r="C11" s="277">
        <f t="shared" si="0"/>
        <v>9716738.1393686179</v>
      </c>
      <c r="D11" s="77">
        <f t="shared" si="4"/>
        <v>4858369.069684309</v>
      </c>
      <c r="E11" s="270">
        <f>'Space Support'!L11*$E$61</f>
        <v>3151848.0315894228</v>
      </c>
      <c r="F11" s="271">
        <v>1706521.0380948859</v>
      </c>
      <c r="G11" s="156">
        <f t="shared" si="1"/>
        <v>4858369.069684309</v>
      </c>
      <c r="H11" s="270">
        <f>'Space Support'!L11*$H$61</f>
        <v>3151848.0315894228</v>
      </c>
      <c r="I11" s="271">
        <v>1706521.0380948859</v>
      </c>
      <c r="J11" s="157">
        <v>1.00833817</v>
      </c>
      <c r="K11" s="278">
        <f t="shared" si="2"/>
        <v>850981.30570727389</v>
      </c>
      <c r="L11" s="279">
        <v>843944.3542113197</v>
      </c>
      <c r="M11" s="276">
        <f t="shared" si="3"/>
        <v>846402.81213032489</v>
      </c>
    </row>
    <row r="12" spans="1:13" ht="16.5" hidden="1" customHeight="1" x14ac:dyDescent="0.55000000000000004">
      <c r="A12" s="40">
        <v>3632</v>
      </c>
      <c r="B12" s="71" t="s">
        <v>225</v>
      </c>
      <c r="C12" s="277">
        <f t="shared" si="0"/>
        <v>96227434.719275057</v>
      </c>
      <c r="D12" s="77">
        <f t="shared" si="4"/>
        <v>48113717.359637529</v>
      </c>
      <c r="E12" s="270">
        <f>'Space Support'!L12*$E$61</f>
        <v>31888605.572527766</v>
      </c>
      <c r="F12" s="271">
        <v>16225111.787109766</v>
      </c>
      <c r="G12" s="156">
        <f t="shared" si="1"/>
        <v>48113717.359637529</v>
      </c>
      <c r="H12" s="270">
        <f>'Space Support'!L12*$H$61</f>
        <v>31888605.572527766</v>
      </c>
      <c r="I12" s="271">
        <v>16225111.787109766</v>
      </c>
      <c r="J12" s="157">
        <v>0.94757151999999989</v>
      </c>
      <c r="K12" s="278">
        <f t="shared" si="2"/>
        <v>8090885.7878805939</v>
      </c>
      <c r="L12" s="279">
        <v>8538548.9296687543</v>
      </c>
      <c r="M12" s="276">
        <f t="shared" si="3"/>
        <v>8382151.518572676</v>
      </c>
    </row>
    <row r="13" spans="1:13" ht="16.5" hidden="1" customHeight="1" x14ac:dyDescent="0.55000000000000004">
      <c r="A13" s="40">
        <v>10298</v>
      </c>
      <c r="B13" s="71" t="s">
        <v>226</v>
      </c>
      <c r="C13" s="277">
        <f t="shared" si="0"/>
        <v>8435152.9795235582</v>
      </c>
      <c r="D13" s="77">
        <f>E13+F13+2269574</f>
        <v>4217576.4897617791</v>
      </c>
      <c r="E13" s="270">
        <f>'Space Support'!L13*$E$61</f>
        <v>1224168.3077932382</v>
      </c>
      <c r="F13" s="271">
        <v>723834.18196854147</v>
      </c>
      <c r="G13" s="156">
        <f>H13+I13+2269574</f>
        <v>4217576.4897617791</v>
      </c>
      <c r="H13" s="270">
        <f>'Space Support'!L13*$H$61</f>
        <v>1224168.3077932382</v>
      </c>
      <c r="I13" s="271">
        <v>723834.18196854147</v>
      </c>
      <c r="J13" s="157">
        <v>1.10117866</v>
      </c>
      <c r="K13" s="278">
        <f t="shared" si="2"/>
        <v>360950.34490450675</v>
      </c>
      <c r="L13" s="279">
        <v>327785.45209412865</v>
      </c>
      <c r="M13" s="276">
        <f t="shared" si="3"/>
        <v>339372.07357496652</v>
      </c>
    </row>
    <row r="14" spans="1:13" ht="16.5" hidden="1" customHeight="1" x14ac:dyDescent="0.55000000000000004">
      <c r="A14" s="40">
        <v>3630</v>
      </c>
      <c r="B14" s="71" t="s">
        <v>227</v>
      </c>
      <c r="C14" s="277">
        <f t="shared" si="0"/>
        <v>14399442.548220996</v>
      </c>
      <c r="D14" s="77">
        <f t="shared" si="4"/>
        <v>7199721.2741104979</v>
      </c>
      <c r="E14" s="270">
        <f>'Space Support'!L14*$E$61</f>
        <v>4222265.3755364232</v>
      </c>
      <c r="F14" s="271">
        <v>2977455.8985740747</v>
      </c>
      <c r="G14" s="156">
        <f t="shared" si="1"/>
        <v>7199721.2741104979</v>
      </c>
      <c r="H14" s="270">
        <f>'Space Support'!L14*$H$61</f>
        <v>4222265.3755364232</v>
      </c>
      <c r="I14" s="271">
        <v>2977455.8985740747</v>
      </c>
      <c r="J14" s="157">
        <v>1.3132869900000002</v>
      </c>
      <c r="K14" s="278">
        <f t="shared" si="2"/>
        <v>1484751.2873811456</v>
      </c>
      <c r="L14" s="279">
        <v>1130561.1786964748</v>
      </c>
      <c r="M14" s="276">
        <f t="shared" si="3"/>
        <v>1254302.4717876413</v>
      </c>
    </row>
    <row r="15" spans="1:13" ht="16.5" hidden="1" customHeight="1" x14ac:dyDescent="0.55000000000000004">
      <c r="A15" s="40">
        <v>3631</v>
      </c>
      <c r="B15" s="71" t="s">
        <v>228</v>
      </c>
      <c r="C15" s="277">
        <f t="shared" si="0"/>
        <v>16127966.951134106</v>
      </c>
      <c r="D15" s="77">
        <f t="shared" si="4"/>
        <v>8063983.4755670531</v>
      </c>
      <c r="E15" s="270">
        <f>'Space Support'!L15*$E$61</f>
        <v>4939237.0731041869</v>
      </c>
      <c r="F15" s="271">
        <v>3124746.4024628662</v>
      </c>
      <c r="G15" s="156">
        <f t="shared" si="1"/>
        <v>8063983.4755670531</v>
      </c>
      <c r="H15" s="270">
        <f>'Space Support'!L15*$H$61</f>
        <v>4939237.0731041869</v>
      </c>
      <c r="I15" s="271">
        <v>3124746.4024628662</v>
      </c>
      <c r="J15" s="157">
        <v>1.1781883800000001</v>
      </c>
      <c r="K15" s="278">
        <f t="shared" si="2"/>
        <v>1558199.8195231776</v>
      </c>
      <c r="L15" s="279">
        <v>1322538.7773075621</v>
      </c>
      <c r="M15" s="276">
        <f t="shared" si="3"/>
        <v>1404870.2749410372</v>
      </c>
    </row>
    <row r="16" spans="1:13" ht="16.5" hidden="1" customHeight="1" x14ac:dyDescent="0.55000000000000004">
      <c r="A16" s="40">
        <v>42295</v>
      </c>
      <c r="B16" s="71" t="s">
        <v>229</v>
      </c>
      <c r="C16" s="277">
        <f>D16+G16</f>
        <v>1943550.3695326131</v>
      </c>
      <c r="D16" s="77">
        <f>E16+F16</f>
        <v>971775.18476630654</v>
      </c>
      <c r="E16" s="270">
        <f>'Space Support'!L16*$E$61</f>
        <v>704656.30053783453</v>
      </c>
      <c r="F16" s="271">
        <v>267118.88422847207</v>
      </c>
      <c r="G16" s="156">
        <f>H16+I16</f>
        <v>971775.18476630654</v>
      </c>
      <c r="H16" s="270">
        <f>'Space Support'!L16*$H$61</f>
        <v>704656.30053783453</v>
      </c>
      <c r="I16" s="271">
        <v>267118.88422847207</v>
      </c>
      <c r="J16" s="157">
        <v>0.70597135999999994</v>
      </c>
      <c r="K16" s="278">
        <f>J16*L16</f>
        <v>133202.68066169383</v>
      </c>
      <c r="L16" s="279">
        <v>188680.0063131369</v>
      </c>
      <c r="M16" s="276">
        <f t="shared" si="3"/>
        <v>169298.22278777888</v>
      </c>
    </row>
    <row r="17" spans="1:13" ht="16.5" hidden="1" customHeight="1" x14ac:dyDescent="0.55000000000000004">
      <c r="A17" s="40">
        <v>11161</v>
      </c>
      <c r="B17" s="71" t="s">
        <v>230</v>
      </c>
      <c r="C17" s="277">
        <f t="shared" si="0"/>
        <v>13867835.137240335</v>
      </c>
      <c r="D17" s="77">
        <f t="shared" si="4"/>
        <v>6933917.5686201677</v>
      </c>
      <c r="E17" s="270">
        <f>'Space Support'!L17*$E$61</f>
        <v>4170351.8494926686</v>
      </c>
      <c r="F17" s="271">
        <v>2763565.719127499</v>
      </c>
      <c r="G17" s="156">
        <f t="shared" si="1"/>
        <v>6933917.5686201677</v>
      </c>
      <c r="H17" s="270">
        <f>'Space Support'!L17*$H$61</f>
        <v>4170351.8494926686</v>
      </c>
      <c r="I17" s="271">
        <v>2763565.719127499</v>
      </c>
      <c r="J17" s="157">
        <v>1.2341186900000001</v>
      </c>
      <c r="K17" s="278">
        <f t="shared" si="2"/>
        <v>1378091.8673562929</v>
      </c>
      <c r="L17" s="279">
        <v>1116660.7219572153</v>
      </c>
      <c r="M17" s="276">
        <f t="shared" si="3"/>
        <v>1207995.3673715715</v>
      </c>
    </row>
    <row r="18" spans="1:13" ht="16.5" hidden="1" customHeight="1" x14ac:dyDescent="0.55000000000000004">
      <c r="A18" s="40">
        <v>3639</v>
      </c>
      <c r="B18" s="71" t="s">
        <v>231</v>
      </c>
      <c r="C18" s="277">
        <f t="shared" si="0"/>
        <v>9103430.9188189562</v>
      </c>
      <c r="D18" s="77">
        <f t="shared" si="4"/>
        <v>4551715.4594094781</v>
      </c>
      <c r="E18" s="270">
        <f>'Space Support'!L18*$E$61</f>
        <v>2928542.4493540665</v>
      </c>
      <c r="F18" s="271">
        <v>1623173.0100554116</v>
      </c>
      <c r="G18" s="156">
        <f t="shared" si="1"/>
        <v>4551715.4594094781</v>
      </c>
      <c r="H18" s="270">
        <f>'Space Support'!L18*$H$61</f>
        <v>2928542.4493540665</v>
      </c>
      <c r="I18" s="271">
        <v>1623173.0100554116</v>
      </c>
      <c r="J18" s="157">
        <v>1.0322220200000001</v>
      </c>
      <c r="K18" s="278">
        <f t="shared" si="2"/>
        <v>809418.61052459991</v>
      </c>
      <c r="L18" s="279">
        <v>784151.66005139076</v>
      </c>
      <c r="M18" s="276">
        <f t="shared" si="3"/>
        <v>792979.02436045127</v>
      </c>
    </row>
    <row r="19" spans="1:13" ht="16.5" hidden="1" customHeight="1" x14ac:dyDescent="0.55000000000000004">
      <c r="A19" s="40">
        <v>42485</v>
      </c>
      <c r="B19" s="71" t="s">
        <v>232</v>
      </c>
      <c r="C19" s="277">
        <f>D19+G19</f>
        <v>7365709.3553013224</v>
      </c>
      <c r="D19" s="77">
        <f>E19+F19</f>
        <v>3682854.6776506612</v>
      </c>
      <c r="E19" s="270">
        <f>'Space Support'!L19*$E$61</f>
        <v>2110098.4669903619</v>
      </c>
      <c r="F19" s="271">
        <v>1572756.2106602993</v>
      </c>
      <c r="G19" s="156">
        <f>H19+I19</f>
        <v>3682854.6776506612</v>
      </c>
      <c r="H19" s="270">
        <f>'Space Support'!L19*$H$61</f>
        <v>2110098.4669903619</v>
      </c>
      <c r="I19" s="271">
        <v>1572756.2106602993</v>
      </c>
      <c r="J19" s="157">
        <v>1.38809285</v>
      </c>
      <c r="K19" s="278">
        <f>J19*L19</f>
        <v>784277.54702694085</v>
      </c>
      <c r="L19" s="279">
        <v>565003.66457974399</v>
      </c>
      <c r="M19" s="276">
        <f t="shared" si="3"/>
        <v>641610.07760437427</v>
      </c>
    </row>
    <row r="20" spans="1:13" ht="16.5" hidden="1" customHeight="1" x14ac:dyDescent="0.55000000000000004">
      <c r="A20" s="40">
        <v>9651</v>
      </c>
      <c r="B20" s="71" t="s">
        <v>233</v>
      </c>
      <c r="C20" s="277">
        <f t="shared" si="0"/>
        <v>9740290.4272461534</v>
      </c>
      <c r="D20" s="77">
        <f t="shared" si="4"/>
        <v>4870145.2136230767</v>
      </c>
      <c r="E20" s="270">
        <f>'Space Support'!L20*$E$61</f>
        <v>2661223.8537127674</v>
      </c>
      <c r="F20" s="271">
        <v>2208921.3599103088</v>
      </c>
      <c r="G20" s="156">
        <f t="shared" si="1"/>
        <v>4870145.2136230767</v>
      </c>
      <c r="H20" s="270">
        <f>'Space Support'!L20*$H$61</f>
        <v>2661223.8537127674</v>
      </c>
      <c r="I20" s="271">
        <v>2208921.3599103088</v>
      </c>
      <c r="J20" s="157">
        <v>1.5458191299999999</v>
      </c>
      <c r="K20" s="278">
        <f t="shared" si="2"/>
        <v>1101510.4655021804</v>
      </c>
      <c r="L20" s="279">
        <v>712573.96426591021</v>
      </c>
      <c r="M20" s="276">
        <f t="shared" si="3"/>
        <v>848454.39800263336</v>
      </c>
    </row>
    <row r="21" spans="1:13" ht="16.5" hidden="1" customHeight="1" x14ac:dyDescent="0.55000000000000004">
      <c r="A21" s="40">
        <v>3665</v>
      </c>
      <c r="B21" s="71" t="s">
        <v>234</v>
      </c>
      <c r="C21" s="277">
        <f t="shared" si="0"/>
        <v>9157096.1696719639</v>
      </c>
      <c r="D21" s="77">
        <f t="shared" si="4"/>
        <v>4578548.084835982</v>
      </c>
      <c r="E21" s="270">
        <f>'Space Support'!L21*$E$61</f>
        <v>3003534.2284783162</v>
      </c>
      <c r="F21" s="271">
        <v>1575013.8563576662</v>
      </c>
      <c r="G21" s="156">
        <f t="shared" si="1"/>
        <v>4578548.084835982</v>
      </c>
      <c r="H21" s="270">
        <f>'Space Support'!L21*$H$61</f>
        <v>3003534.2284783162</v>
      </c>
      <c r="I21" s="271">
        <v>1575013.8563576662</v>
      </c>
      <c r="J21" s="157">
        <v>0.97658854000000006</v>
      </c>
      <c r="K21" s="278">
        <f t="shared" si="2"/>
        <v>785403.35458540765</v>
      </c>
      <c r="L21" s="279">
        <v>804231.59029227146</v>
      </c>
      <c r="M21" s="276">
        <f t="shared" si="3"/>
        <v>797653.68149169895</v>
      </c>
    </row>
    <row r="22" spans="1:13" ht="16.5" hidden="1" customHeight="1" x14ac:dyDescent="0.55000000000000004">
      <c r="A22" s="40">
        <v>3565</v>
      </c>
      <c r="B22" s="71" t="s">
        <v>235</v>
      </c>
      <c r="C22" s="277">
        <f t="shared" si="0"/>
        <v>10046866.251930498</v>
      </c>
      <c r="D22" s="77">
        <f t="shared" si="4"/>
        <v>5023433.1259652488</v>
      </c>
      <c r="E22" s="270">
        <f>'Space Support'!L22*$E$61</f>
        <v>3248808.147445302</v>
      </c>
      <c r="F22" s="271">
        <v>1774624.9785199463</v>
      </c>
      <c r="G22" s="156">
        <f t="shared" si="1"/>
        <v>5023433.1259652488</v>
      </c>
      <c r="H22" s="270">
        <f>'Space Support'!L22*$H$61</f>
        <v>3248808.147445302</v>
      </c>
      <c r="I22" s="271">
        <v>1774624.9785199463</v>
      </c>
      <c r="J22" s="157">
        <v>1.0172843300000001</v>
      </c>
      <c r="K22" s="278">
        <f t="shared" si="2"/>
        <v>884942.31694181927</v>
      </c>
      <c r="L22" s="279">
        <v>869906.56480653665</v>
      </c>
      <c r="M22" s="276">
        <f t="shared" si="3"/>
        <v>875159.51616287883</v>
      </c>
    </row>
    <row r="23" spans="1:13" ht="16.5" hidden="1" customHeight="1" x14ac:dyDescent="0.55000000000000004">
      <c r="A23" s="40">
        <v>29269</v>
      </c>
      <c r="B23" s="71" t="s">
        <v>236</v>
      </c>
      <c r="C23" s="277">
        <f t="shared" si="0"/>
        <v>2717258.7643262297</v>
      </c>
      <c r="D23" s="77">
        <f t="shared" si="4"/>
        <v>1358629.3821631148</v>
      </c>
      <c r="E23" s="270">
        <f>'Space Support'!L23*$E$61</f>
        <v>802879.61852994969</v>
      </c>
      <c r="F23" s="271">
        <v>555749.76363316504</v>
      </c>
      <c r="G23" s="156">
        <f t="shared" si="1"/>
        <v>1358629.3821631148</v>
      </c>
      <c r="H23" s="270">
        <f>'Space Support'!L23*$H$61</f>
        <v>802879.61852994969</v>
      </c>
      <c r="I23" s="271">
        <v>555749.76363316504</v>
      </c>
      <c r="J23" s="157">
        <v>1.2891061600000002</v>
      </c>
      <c r="K23" s="278">
        <f t="shared" si="2"/>
        <v>277132.62769442849</v>
      </c>
      <c r="L23" s="279">
        <v>214980.45412677916</v>
      </c>
      <c r="M23" s="276">
        <f t="shared" si="3"/>
        <v>236694.18959570082</v>
      </c>
    </row>
    <row r="24" spans="1:13" ht="16.5" hidden="1" customHeight="1" x14ac:dyDescent="0.55000000000000004">
      <c r="A24" s="40">
        <v>3652</v>
      </c>
      <c r="B24" s="71" t="s">
        <v>237</v>
      </c>
      <c r="C24" s="277">
        <f t="shared" si="0"/>
        <v>56682487.868225582</v>
      </c>
      <c r="D24" s="77">
        <f t="shared" si="4"/>
        <v>28341243.934112791</v>
      </c>
      <c r="E24" s="270">
        <f>'Space Support'!L24*$E$61</f>
        <v>18593370.168817796</v>
      </c>
      <c r="F24" s="271">
        <v>9747873.7652949952</v>
      </c>
      <c r="G24" s="156">
        <f t="shared" si="1"/>
        <v>28341243.934112791</v>
      </c>
      <c r="H24" s="270">
        <f>'Space Support'!L24*$H$61</f>
        <v>18593370.168817796</v>
      </c>
      <c r="I24" s="271">
        <v>9747873.7652949952</v>
      </c>
      <c r="J24" s="157">
        <v>0.97636366999999991</v>
      </c>
      <c r="K24" s="278">
        <f t="shared" si="2"/>
        <v>4860917.7147449758</v>
      </c>
      <c r="L24" s="279">
        <v>4978593.3910721773</v>
      </c>
      <c r="M24" s="276">
        <f t="shared" si="3"/>
        <v>4937481.7394560976</v>
      </c>
    </row>
    <row r="25" spans="1:13" ht="16.5" hidden="1" customHeight="1" x14ac:dyDescent="0.55000000000000004">
      <c r="A25" s="40">
        <v>11711</v>
      </c>
      <c r="B25" s="71" t="s">
        <v>238</v>
      </c>
      <c r="C25" s="277">
        <f t="shared" si="0"/>
        <v>6519650.4217731943</v>
      </c>
      <c r="D25" s="77">
        <f t="shared" si="4"/>
        <v>3259825.2108865972</v>
      </c>
      <c r="E25" s="270">
        <f>'Space Support'!L25*$E$61</f>
        <v>2539291.4780624276</v>
      </c>
      <c r="F25" s="271">
        <v>720533.73282416956</v>
      </c>
      <c r="G25" s="156">
        <f t="shared" si="1"/>
        <v>3259825.2108865972</v>
      </c>
      <c r="H25" s="270">
        <f>'Space Support'!L25*$H$61</f>
        <v>2539291.4780624276</v>
      </c>
      <c r="I25" s="271">
        <v>720533.73282416956</v>
      </c>
      <c r="J25" s="157">
        <v>0.52844719000000007</v>
      </c>
      <c r="K25" s="278">
        <f t="shared" si="2"/>
        <v>359304.52838094748</v>
      </c>
      <c r="L25" s="279">
        <v>679925.13761109684</v>
      </c>
      <c r="M25" s="276">
        <f t="shared" si="3"/>
        <v>567911.82101919455</v>
      </c>
    </row>
    <row r="26" spans="1:13" ht="16.5" hidden="1" customHeight="1" x14ac:dyDescent="0.55000000000000004">
      <c r="A26" s="40">
        <v>12826</v>
      </c>
      <c r="B26" s="71" t="s">
        <v>239</v>
      </c>
      <c r="C26" s="277">
        <f t="shared" si="0"/>
        <v>11053409.159458134</v>
      </c>
      <c r="D26" s="77">
        <f t="shared" si="4"/>
        <v>5526704.5797290672</v>
      </c>
      <c r="E26" s="270">
        <f>'Space Support'!L26*$E$61</f>
        <v>3367294.4542844379</v>
      </c>
      <c r="F26" s="271">
        <v>2159410.1254446292</v>
      </c>
      <c r="G26" s="156">
        <f t="shared" si="1"/>
        <v>5526704.5797290672</v>
      </c>
      <c r="H26" s="270">
        <f>'Space Support'!L26*$H$61</f>
        <v>3367294.4542844379</v>
      </c>
      <c r="I26" s="271">
        <v>2159410.1254446292</v>
      </c>
      <c r="J26" s="157">
        <v>1.1943012</v>
      </c>
      <c r="K26" s="278">
        <f t="shared" si="2"/>
        <v>1076820.9750052923</v>
      </c>
      <c r="L26" s="279">
        <v>901632.66603541246</v>
      </c>
      <c r="M26" s="276">
        <f t="shared" si="3"/>
        <v>962837.16428323695</v>
      </c>
    </row>
    <row r="27" spans="1:13" ht="16.5" hidden="1" customHeight="1" x14ac:dyDescent="0.55000000000000004">
      <c r="A27" s="40">
        <v>13231</v>
      </c>
      <c r="B27" s="71" t="s">
        <v>240</v>
      </c>
      <c r="C27" s="277">
        <f t="shared" si="0"/>
        <v>3294632.2021258133</v>
      </c>
      <c r="D27" s="77">
        <f t="shared" si="4"/>
        <v>1647316.1010629067</v>
      </c>
      <c r="E27" s="270">
        <f>'Space Support'!L27*$E$61</f>
        <v>994041.77108327975</v>
      </c>
      <c r="F27" s="271">
        <v>653274.32997962693</v>
      </c>
      <c r="G27" s="156">
        <f t="shared" si="1"/>
        <v>1647316.1010629067</v>
      </c>
      <c r="H27" s="270">
        <f>'Space Support'!L27*$H$61</f>
        <v>994041.77108327975</v>
      </c>
      <c r="I27" s="271">
        <v>653274.32997962693</v>
      </c>
      <c r="J27" s="157">
        <v>1.2239136799999999</v>
      </c>
      <c r="K27" s="278">
        <f t="shared" si="2"/>
        <v>325764.6579802651</v>
      </c>
      <c r="L27" s="279">
        <v>266166.36720676668</v>
      </c>
      <c r="M27" s="276">
        <f t="shared" si="3"/>
        <v>286987.86782326654</v>
      </c>
    </row>
    <row r="28" spans="1:13" ht="16.5" hidden="1" customHeight="1" x14ac:dyDescent="0.55000000000000004">
      <c r="A28" s="40">
        <v>3592</v>
      </c>
      <c r="B28" s="71" t="s">
        <v>241</v>
      </c>
      <c r="C28" s="277">
        <f t="shared" si="0"/>
        <v>5357338.7622434795</v>
      </c>
      <c r="D28" s="77">
        <f t="shared" si="4"/>
        <v>2678669.3811217397</v>
      </c>
      <c r="E28" s="270">
        <f>'Space Support'!L28*$E$61</f>
        <v>1713723.7133278931</v>
      </c>
      <c r="F28" s="271">
        <v>964945.66779384692</v>
      </c>
      <c r="G28" s="156">
        <f t="shared" si="1"/>
        <v>2678669.3811217397</v>
      </c>
      <c r="H28" s="270">
        <f>'Space Support'!L28*$H$61</f>
        <v>1713723.7133278931</v>
      </c>
      <c r="I28" s="271">
        <v>964945.66779384692</v>
      </c>
      <c r="J28" s="157">
        <v>1.04862905</v>
      </c>
      <c r="K28" s="278">
        <f t="shared" si="2"/>
        <v>481184.06159967167</v>
      </c>
      <c r="L28" s="279">
        <v>458869.6656836578</v>
      </c>
      <c r="M28" s="276">
        <f t="shared" si="3"/>
        <v>466665.51355600491</v>
      </c>
    </row>
    <row r="29" spans="1:13" ht="16.5" hidden="1" customHeight="1" x14ac:dyDescent="0.55000000000000004">
      <c r="A29" s="40">
        <v>3594</v>
      </c>
      <c r="B29" s="71" t="s">
        <v>242</v>
      </c>
      <c r="C29" s="277">
        <f t="shared" si="0"/>
        <v>51561896.155278429</v>
      </c>
      <c r="D29" s="77">
        <f t="shared" si="4"/>
        <v>25780948.077639215</v>
      </c>
      <c r="E29" s="270">
        <f>'Space Support'!L29*$E$61</f>
        <v>15648958.065074872</v>
      </c>
      <c r="F29" s="271">
        <v>10131990.012564344</v>
      </c>
      <c r="G29" s="156">
        <f t="shared" si="1"/>
        <v>25780948.077639215</v>
      </c>
      <c r="H29" s="270">
        <f>'Space Support'!L29*$H$61</f>
        <v>15648958.065074872</v>
      </c>
      <c r="I29" s="271">
        <v>10131990.012564344</v>
      </c>
      <c r="J29" s="157">
        <v>1.205783</v>
      </c>
      <c r="K29" s="278">
        <f t="shared" si="2"/>
        <v>5052462.8163568275</v>
      </c>
      <c r="L29" s="279">
        <v>4190192.4445417025</v>
      </c>
      <c r="M29" s="276">
        <f t="shared" si="3"/>
        <v>4491438.7193144299</v>
      </c>
    </row>
    <row r="30" spans="1:13" ht="16.5" hidden="1" customHeight="1" x14ac:dyDescent="0.55000000000000004">
      <c r="A30" s="40">
        <v>42421</v>
      </c>
      <c r="B30" s="71" t="s">
        <v>243</v>
      </c>
      <c r="C30" s="277">
        <f t="shared" si="0"/>
        <v>4054200.0494880797</v>
      </c>
      <c r="D30" s="77">
        <f t="shared" si="4"/>
        <v>2027100.0247440399</v>
      </c>
      <c r="E30" s="270">
        <f>'Space Support'!L30*$E$61</f>
        <v>1292662.6373729943</v>
      </c>
      <c r="F30" s="271">
        <v>734437.38737104554</v>
      </c>
      <c r="G30" s="156">
        <f t="shared" si="1"/>
        <v>2027100.0247440399</v>
      </c>
      <c r="H30" s="270">
        <f>'Space Support'!L30*$H$61</f>
        <v>1292662.6373729943</v>
      </c>
      <c r="I30" s="271">
        <v>734437.38737104554</v>
      </c>
      <c r="J30" s="157">
        <v>1.0581065700000001</v>
      </c>
      <c r="K30" s="278">
        <f t="shared" si="2"/>
        <v>366237.78606502037</v>
      </c>
      <c r="L30" s="279">
        <v>346125.61385477491</v>
      </c>
      <c r="M30" s="276">
        <f t="shared" si="3"/>
        <v>353152.08392027195</v>
      </c>
    </row>
    <row r="31" spans="1:13" ht="16.5" hidden="1" customHeight="1" x14ac:dyDescent="0.55000000000000004">
      <c r="A31" s="40">
        <v>3624</v>
      </c>
      <c r="B31" s="71" t="s">
        <v>244</v>
      </c>
      <c r="C31" s="277">
        <f t="shared" si="0"/>
        <v>12517415.169452854</v>
      </c>
      <c r="D31" s="77">
        <f t="shared" si="4"/>
        <v>6258707.5847264268</v>
      </c>
      <c r="E31" s="270">
        <f>'Space Support'!L31*$E$61</f>
        <v>3869412.9279036769</v>
      </c>
      <c r="F31" s="271">
        <v>2389294.6568227503</v>
      </c>
      <c r="G31" s="156">
        <f t="shared" si="1"/>
        <v>6258707.5847264268</v>
      </c>
      <c r="H31" s="270">
        <f>'Space Support'!L31*$H$61</f>
        <v>3869412.9279036769</v>
      </c>
      <c r="I31" s="271">
        <v>2389294.6568227503</v>
      </c>
      <c r="J31" s="157">
        <v>1.14996458</v>
      </c>
      <c r="K31" s="278">
        <f t="shared" si="2"/>
        <v>1191456.2090909218</v>
      </c>
      <c r="L31" s="279">
        <v>1036080.7887586604</v>
      </c>
      <c r="M31" s="276">
        <f t="shared" si="3"/>
        <v>1090363.3758639214</v>
      </c>
    </row>
    <row r="32" spans="1:13" ht="16.5" hidden="1" customHeight="1" x14ac:dyDescent="0.55000000000000004">
      <c r="A32" s="40">
        <v>3642</v>
      </c>
      <c r="B32" s="71" t="s">
        <v>245</v>
      </c>
      <c r="C32" s="277">
        <f t="shared" si="0"/>
        <v>10925029.841160357</v>
      </c>
      <c r="D32" s="77">
        <f t="shared" si="4"/>
        <v>5462514.9205801785</v>
      </c>
      <c r="E32" s="270">
        <f>'Space Support'!L32*$E$61</f>
        <v>3448607.7629872384</v>
      </c>
      <c r="F32" s="271">
        <v>2013907.1575929399</v>
      </c>
      <c r="G32" s="156">
        <f t="shared" si="1"/>
        <v>5462514.9205801785</v>
      </c>
      <c r="H32" s="270">
        <f>'Space Support'!L32*$H$61</f>
        <v>3448607.7629872384</v>
      </c>
      <c r="I32" s="271">
        <v>2013907.1575929399</v>
      </c>
      <c r="J32" s="157">
        <v>1.0875656300000001</v>
      </c>
      <c r="K32" s="278">
        <f t="shared" si="2"/>
        <v>1004263.8234656057</v>
      </c>
      <c r="L32" s="279">
        <v>923405.26011805434</v>
      </c>
      <c r="M32" s="276">
        <f t="shared" si="3"/>
        <v>951654.33580025448</v>
      </c>
    </row>
    <row r="33" spans="1:16" ht="16.5" hidden="1" customHeight="1" x14ac:dyDescent="0.55000000000000004">
      <c r="A33" s="40">
        <v>3644</v>
      </c>
      <c r="B33" s="71" t="s">
        <v>246</v>
      </c>
      <c r="C33" s="277">
        <f t="shared" si="0"/>
        <v>64919957.480851755</v>
      </c>
      <c r="D33" s="77">
        <f t="shared" si="4"/>
        <v>32459978.740425877</v>
      </c>
      <c r="E33" s="270">
        <f>'Space Support'!L33*$E$61</f>
        <v>19673484.615421407</v>
      </c>
      <c r="F33" s="271">
        <v>12786494.125004472</v>
      </c>
      <c r="G33" s="156">
        <f t="shared" si="1"/>
        <v>32459978.740425877</v>
      </c>
      <c r="H33" s="270">
        <f>'Space Support'!L33*$H$61</f>
        <v>19673484.615421407</v>
      </c>
      <c r="I33" s="271">
        <v>12786494.125004472</v>
      </c>
      <c r="J33" s="157">
        <v>1.21040309</v>
      </c>
      <c r="K33" s="278">
        <f t="shared" si="2"/>
        <v>6376169.5420186697</v>
      </c>
      <c r="L33" s="279">
        <v>5267806.7287639435</v>
      </c>
      <c r="M33" s="276">
        <f t="shared" si="3"/>
        <v>5655028.8571165046</v>
      </c>
    </row>
    <row r="34" spans="1:16" ht="16.5" hidden="1" customHeight="1" x14ac:dyDescent="0.55000000000000004">
      <c r="A34" s="40">
        <v>3541</v>
      </c>
      <c r="B34" s="71" t="s">
        <v>247</v>
      </c>
      <c r="C34" s="277">
        <f t="shared" si="0"/>
        <v>8962517.337436486</v>
      </c>
      <c r="D34" s="77">
        <f t="shared" si="4"/>
        <v>4481258.668718243</v>
      </c>
      <c r="E34" s="270">
        <f>'Space Support'!L34*$E$61</f>
        <v>2698666.611204844</v>
      </c>
      <c r="F34" s="271">
        <v>1782592.0575133986</v>
      </c>
      <c r="G34" s="156">
        <f t="shared" si="1"/>
        <v>4481258.668718243</v>
      </c>
      <c r="H34" s="270">
        <f>'Space Support'!L34*$H$61</f>
        <v>2698666.611204844</v>
      </c>
      <c r="I34" s="271">
        <v>1782592.0575133986</v>
      </c>
      <c r="J34" s="157">
        <v>1.2301627200000003</v>
      </c>
      <c r="K34" s="278">
        <f t="shared" si="2"/>
        <v>888915.21568327851</v>
      </c>
      <c r="L34" s="279">
        <v>722599.70265013259</v>
      </c>
      <c r="M34" s="276">
        <f t="shared" si="3"/>
        <v>780704.36491828284</v>
      </c>
    </row>
    <row r="35" spans="1:16" ht="16.5" hidden="1" customHeight="1" x14ac:dyDescent="0.55000000000000004">
      <c r="A35" s="40">
        <v>3646</v>
      </c>
      <c r="B35" s="71" t="s">
        <v>248</v>
      </c>
      <c r="C35" s="277">
        <f t="shared" si="0"/>
        <v>14422082.509997189</v>
      </c>
      <c r="D35" s="77">
        <f t="shared" si="4"/>
        <v>7211041.2549985945</v>
      </c>
      <c r="E35" s="270">
        <f>'Space Support'!L35*$E$61</f>
        <v>4721026.9275369653</v>
      </c>
      <c r="F35" s="271">
        <v>2490014.3274616296</v>
      </c>
      <c r="G35" s="156">
        <f t="shared" si="1"/>
        <v>7211041.2549985945</v>
      </c>
      <c r="H35" s="270">
        <f>'Space Support'!L35*$H$61</f>
        <v>4721026.9275369653</v>
      </c>
      <c r="I35" s="271">
        <v>2490014.3274616296</v>
      </c>
      <c r="J35" s="157">
        <v>0.98225714999999991</v>
      </c>
      <c r="K35" s="278">
        <f t="shared" si="2"/>
        <v>1241681.524171927</v>
      </c>
      <c r="L35" s="279">
        <v>1264110.4462023282</v>
      </c>
      <c r="M35" s="276">
        <f t="shared" si="3"/>
        <v>1256274.5870221001</v>
      </c>
    </row>
    <row r="36" spans="1:16" ht="16.5" hidden="1" customHeight="1" x14ac:dyDescent="0.55000000000000004">
      <c r="A36" s="40">
        <v>3581</v>
      </c>
      <c r="B36" s="71" t="s">
        <v>249</v>
      </c>
      <c r="C36" s="277">
        <f t="shared" si="0"/>
        <v>14025019.679119263</v>
      </c>
      <c r="D36" s="77">
        <f t="shared" si="4"/>
        <v>7012509.8395596314</v>
      </c>
      <c r="E36" s="270">
        <f>'Space Support'!L36*$E$61</f>
        <v>4560423.5339743244</v>
      </c>
      <c r="F36" s="271">
        <v>2452086.3055853075</v>
      </c>
      <c r="G36" s="156">
        <f t="shared" si="1"/>
        <v>7012509.8395596314</v>
      </c>
      <c r="H36" s="270">
        <f>'Space Support'!L36*$H$61</f>
        <v>4560423.5339743244</v>
      </c>
      <c r="I36" s="271">
        <v>2452086.3055853075</v>
      </c>
      <c r="J36" s="157">
        <v>1.0013603799999999</v>
      </c>
      <c r="K36" s="278">
        <f t="shared" si="2"/>
        <v>1222768.16954066</v>
      </c>
      <c r="L36" s="279">
        <v>1221107</v>
      </c>
      <c r="M36" s="276">
        <f t="shared" si="3"/>
        <v>1221687.3529290194</v>
      </c>
    </row>
    <row r="37" spans="1:16" ht="16.5" hidden="1" customHeight="1" x14ac:dyDescent="0.55000000000000004">
      <c r="A37" s="40">
        <v>3606</v>
      </c>
      <c r="B37" s="71" t="s">
        <v>250</v>
      </c>
      <c r="C37" s="277">
        <f t="shared" si="0"/>
        <v>21555147.35329061</v>
      </c>
      <c r="D37" s="77">
        <f t="shared" si="4"/>
        <v>10777573.676645305</v>
      </c>
      <c r="E37" s="270">
        <f>'Space Support'!L37*$E$61</f>
        <v>6725452.6818928299</v>
      </c>
      <c r="F37" s="271">
        <v>4052120.994752476</v>
      </c>
      <c r="G37" s="156">
        <f t="shared" si="1"/>
        <v>10777573.676645305</v>
      </c>
      <c r="H37" s="270">
        <f>'Space Support'!L37*$H$61</f>
        <v>6725452.6818928299</v>
      </c>
      <c r="I37" s="271">
        <v>4052120.994752476</v>
      </c>
      <c r="J37" s="157">
        <v>1.1220719699999999</v>
      </c>
      <c r="K37" s="278">
        <f t="shared" si="2"/>
        <v>2020648.5229434299</v>
      </c>
      <c r="L37" s="279">
        <v>1800819</v>
      </c>
      <c r="M37" s="276">
        <f t="shared" si="3"/>
        <v>1877619.5338422696</v>
      </c>
    </row>
    <row r="38" spans="1:16" ht="16.5" hidden="1" customHeight="1" x14ac:dyDescent="0.55000000000000004">
      <c r="A38" s="40">
        <v>3615</v>
      </c>
      <c r="B38" s="71" t="s">
        <v>251</v>
      </c>
      <c r="C38" s="277">
        <f t="shared" si="0"/>
        <v>48848403.742225997</v>
      </c>
      <c r="D38" s="77">
        <f t="shared" si="4"/>
        <v>24424201.871112999</v>
      </c>
      <c r="E38" s="270">
        <f>'Space Support'!L38*$E$61</f>
        <v>15153896.287948031</v>
      </c>
      <c r="F38" s="271">
        <v>9270305.5831649676</v>
      </c>
      <c r="G38" s="156">
        <f t="shared" si="1"/>
        <v>24424201.871112999</v>
      </c>
      <c r="H38" s="270">
        <f>'Space Support'!L38*$H$61</f>
        <v>15153896.287948031</v>
      </c>
      <c r="I38" s="271">
        <v>9270305.5831649676</v>
      </c>
      <c r="J38" s="157">
        <v>1.13927763</v>
      </c>
      <c r="K38" s="278">
        <f t="shared" si="2"/>
        <v>4622771.4592221277</v>
      </c>
      <c r="L38" s="279">
        <v>4057633.8352418342</v>
      </c>
      <c r="M38" s="276">
        <f t="shared" si="3"/>
        <v>4255072.6079548495</v>
      </c>
    </row>
    <row r="39" spans="1:16" ht="16.5" hidden="1" customHeight="1" x14ac:dyDescent="0.55000000000000004">
      <c r="A39" s="40">
        <v>3625</v>
      </c>
      <c r="B39" s="71" t="s">
        <v>252</v>
      </c>
      <c r="C39" s="277">
        <f t="shared" si="0"/>
        <v>2566276.1845660545</v>
      </c>
      <c r="D39" s="77">
        <f t="shared" si="4"/>
        <v>1283138.0922830272</v>
      </c>
      <c r="E39" s="270">
        <f>'Space Support'!L39*$E$61</f>
        <v>813804.42595926358</v>
      </c>
      <c r="F39" s="271">
        <v>469333.66632376367</v>
      </c>
      <c r="G39" s="156">
        <f t="shared" si="1"/>
        <v>1283138.0922830272</v>
      </c>
      <c r="H39" s="270">
        <f>'Space Support'!L39*$H$61</f>
        <v>813804.42595926358</v>
      </c>
      <c r="I39" s="271">
        <v>469333.66632376367</v>
      </c>
      <c r="J39" s="157">
        <v>1.0740425600000001</v>
      </c>
      <c r="K39" s="278">
        <f t="shared" si="2"/>
        <v>234039.99556105756</v>
      </c>
      <c r="L39" s="279">
        <v>217905.69971552852</v>
      </c>
      <c r="M39" s="276">
        <f t="shared" si="3"/>
        <v>223542.44275856653</v>
      </c>
    </row>
    <row r="40" spans="1:16" ht="16.5" hidden="1" customHeight="1" x14ac:dyDescent="0.55000000000000004">
      <c r="A40" s="40">
        <v>20</v>
      </c>
      <c r="B40" s="71" t="s">
        <v>253</v>
      </c>
      <c r="C40" s="277">
        <f t="shared" si="0"/>
        <v>594187.11715946684</v>
      </c>
      <c r="D40" s="77">
        <f t="shared" si="4"/>
        <v>297093.55857973342</v>
      </c>
      <c r="E40" s="270">
        <f>'Space Support'!L40*$E$61</f>
        <v>195294.248696505</v>
      </c>
      <c r="F40" s="271">
        <v>101799.30988322843</v>
      </c>
      <c r="G40" s="156">
        <f t="shared" si="1"/>
        <v>297093.55857973342</v>
      </c>
      <c r="H40" s="270">
        <f>'Space Support'!L40*$H$61</f>
        <v>195294.248696505</v>
      </c>
      <c r="I40" s="271">
        <v>101799.30988322843</v>
      </c>
      <c r="J40" s="157">
        <v>0.97076746000000003</v>
      </c>
      <c r="K40" s="278">
        <f t="shared" si="2"/>
        <v>50763.692747227862</v>
      </c>
      <c r="L40" s="279">
        <v>52292.330386957823</v>
      </c>
      <c r="M40" s="276">
        <f t="shared" si="3"/>
        <v>51758.27934044366</v>
      </c>
    </row>
    <row r="41" spans="1:16" ht="16.5" hidden="1" customHeight="1" x14ac:dyDescent="0.55000000000000004">
      <c r="A41" s="40">
        <v>81</v>
      </c>
      <c r="B41" s="71" t="s">
        <v>289</v>
      </c>
      <c r="C41" s="277">
        <f t="shared" si="0"/>
        <v>7268798.9229891766</v>
      </c>
      <c r="D41" s="77">
        <f t="shared" si="4"/>
        <v>3634399.4614945883</v>
      </c>
      <c r="E41" s="281">
        <f>$D$63*$L$41</f>
        <v>3634399.4614945883</v>
      </c>
      <c r="F41" s="271">
        <v>0</v>
      </c>
      <c r="G41" s="156">
        <f t="shared" si="1"/>
        <v>3634399.4614945883</v>
      </c>
      <c r="H41" s="281">
        <f>$G$63*$L$41</f>
        <v>3634399.4614945883</v>
      </c>
      <c r="I41" s="282">
        <v>0</v>
      </c>
      <c r="J41" s="157"/>
      <c r="K41" s="278"/>
      <c r="L41" s="283">
        <v>592887.35097790998</v>
      </c>
      <c r="M41" s="276">
        <f>L41</f>
        <v>592887.35097790998</v>
      </c>
    </row>
    <row r="42" spans="1:16" ht="16.5" hidden="1" customHeight="1" thickBot="1" x14ac:dyDescent="0.6">
      <c r="A42" s="41">
        <v>203644</v>
      </c>
      <c r="B42" s="284" t="s">
        <v>290</v>
      </c>
      <c r="C42" s="285">
        <f t="shared" si="0"/>
        <v>2564312.8204261977</v>
      </c>
      <c r="D42" s="158">
        <f t="shared" si="4"/>
        <v>1282156.4102130989</v>
      </c>
      <c r="E42" s="286">
        <f>$D$63*$L$42</f>
        <v>1282156.4102130989</v>
      </c>
      <c r="F42" s="271">
        <v>0</v>
      </c>
      <c r="G42" s="287">
        <f t="shared" si="1"/>
        <v>1282156.4102130989</v>
      </c>
      <c r="H42" s="286">
        <f>$G$63*$L$42</f>
        <v>1282156.4102130989</v>
      </c>
      <c r="I42" s="288">
        <v>0</v>
      </c>
      <c r="J42" s="289"/>
      <c r="K42" s="290"/>
      <c r="L42" s="291">
        <v>209160.91520605201</v>
      </c>
      <c r="M42" s="292">
        <f>L42</f>
        <v>209160.91520605201</v>
      </c>
    </row>
    <row r="43" spans="1:16" s="293" customFormat="1" ht="34.200000000000003" customHeight="1" thickBot="1" x14ac:dyDescent="0.35">
      <c r="B43" s="294" t="s">
        <v>29</v>
      </c>
      <c r="C43" s="295">
        <f t="shared" ref="C43:I43" si="5">SUM(C4:C42)</f>
        <v>894500802.89055431</v>
      </c>
      <c r="D43" s="296">
        <f t="shared" si="5"/>
        <v>447250401.44527715</v>
      </c>
      <c r="E43" s="296">
        <f t="shared" si="5"/>
        <v>282127109.60269213</v>
      </c>
      <c r="F43" s="296">
        <f t="shared" si="5"/>
        <v>162853717.84258485</v>
      </c>
      <c r="G43" s="296">
        <f t="shared" si="5"/>
        <v>447250401.44527715</v>
      </c>
      <c r="H43" s="296">
        <f t="shared" si="5"/>
        <v>282127109.60269213</v>
      </c>
      <c r="I43" s="296">
        <f t="shared" si="5"/>
        <v>162853717.84258485</v>
      </c>
      <c r="J43" s="297"/>
      <c r="K43" s="298">
        <f>SUM(K4:K42)</f>
        <v>81209353.037733406</v>
      </c>
      <c r="L43" s="298">
        <f>SUM(L4:L42)</f>
        <v>75028432.090622663</v>
      </c>
      <c r="M43" s="299">
        <f>SUM(M4:M42)</f>
        <v>77468030.540386721</v>
      </c>
      <c r="N43" s="300" t="s">
        <v>291</v>
      </c>
      <c r="O43" s="300" t="s">
        <v>292</v>
      </c>
      <c r="P43" s="300" t="s">
        <v>293</v>
      </c>
    </row>
    <row r="44" spans="1:16" ht="16.5" customHeight="1" x14ac:dyDescent="0.55000000000000004">
      <c r="A44" s="96">
        <v>9225</v>
      </c>
      <c r="B44" s="97" t="s">
        <v>254</v>
      </c>
      <c r="C44" s="301">
        <f t="shared" ref="C44:C53" si="6">D44+G44</f>
        <v>3233678.9619839876</v>
      </c>
      <c r="D44" s="109">
        <f t="shared" ref="D44:D53" si="7">E44+F44</f>
        <v>1616839.4809919938</v>
      </c>
      <c r="E44" s="302">
        <f>'Space Support'!L44*$E$61</f>
        <v>893403.78698821506</v>
      </c>
      <c r="F44" s="303">
        <v>723435.69400377874</v>
      </c>
      <c r="G44" s="304">
        <f t="shared" ref="G44:G53" si="8">H44+I44</f>
        <v>1616839.4809919938</v>
      </c>
      <c r="H44" s="302">
        <f>'Space Support'!L44*$H$61</f>
        <v>893403.78698821506</v>
      </c>
      <c r="I44" s="305">
        <v>723435.69400377874</v>
      </c>
      <c r="J44" s="306">
        <v>1.5080369199999999</v>
      </c>
      <c r="K44" s="307">
        <f t="shared" ref="K44:K53" si="9">J44*L44</f>
        <v>360751.63313887798</v>
      </c>
      <c r="L44" s="308">
        <v>239219.36416442512</v>
      </c>
      <c r="M44" s="309">
        <f t="shared" ref="M44:M53" si="10">L44*(J44*$F$62+$E$62)</f>
        <v>281678.3706314601</v>
      </c>
      <c r="O44" s="310"/>
      <c r="P44" s="311"/>
    </row>
    <row r="45" spans="1:16" ht="16.5" customHeight="1" x14ac:dyDescent="0.55000000000000004">
      <c r="A45" s="40">
        <v>9932</v>
      </c>
      <c r="B45" s="71" t="s">
        <v>255</v>
      </c>
      <c r="C45" s="277">
        <f t="shared" si="6"/>
        <v>1723390.2823136824</v>
      </c>
      <c r="D45" s="77">
        <f t="shared" si="7"/>
        <v>861695.14115684119</v>
      </c>
      <c r="E45" s="270">
        <f>'Space Support'!L45*$E$61</f>
        <v>452445.06645618117</v>
      </c>
      <c r="F45" s="271">
        <v>409250.07470066001</v>
      </c>
      <c r="G45" s="156">
        <f t="shared" si="8"/>
        <v>861695.14115684119</v>
      </c>
      <c r="H45" s="270">
        <f>'Space Support'!L45*$H$61</f>
        <v>452445.06645618117</v>
      </c>
      <c r="I45" s="271">
        <v>409250.07470066001</v>
      </c>
      <c r="J45" s="157">
        <v>1.6845454800000002</v>
      </c>
      <c r="K45" s="278">
        <f>J45*L45</f>
        <v>204078.44682557197</v>
      </c>
      <c r="L45" s="312">
        <v>121147.48414247144</v>
      </c>
      <c r="M45" s="276">
        <f t="shared" si="10"/>
        <v>150120.58166292816</v>
      </c>
      <c r="O45" s="313"/>
      <c r="P45" s="314"/>
    </row>
    <row r="46" spans="1:16" ht="16.5" customHeight="1" x14ac:dyDescent="0.55000000000000004">
      <c r="A46" s="40">
        <v>33965</v>
      </c>
      <c r="B46" s="71" t="s">
        <v>256</v>
      </c>
      <c r="C46" s="277">
        <f t="shared" si="6"/>
        <v>1478760.6073099105</v>
      </c>
      <c r="D46" s="77">
        <f t="shared" si="7"/>
        <v>739380.30365495523</v>
      </c>
      <c r="E46" s="270">
        <f>'Space Support'!L46*$E$61</f>
        <v>304394.91715767101</v>
      </c>
      <c r="F46" s="271">
        <v>434985.38649728417</v>
      </c>
      <c r="G46" s="156">
        <f t="shared" si="8"/>
        <v>739380.30365495523</v>
      </c>
      <c r="H46" s="270">
        <f>'Space Support'!L46*$H$61</f>
        <v>304394.91715767101</v>
      </c>
      <c r="I46" s="271">
        <v>434985.38649728417</v>
      </c>
      <c r="J46" s="157">
        <v>2.6613200199999998</v>
      </c>
      <c r="K46" s="278">
        <f t="shared" si="9"/>
        <v>216911.73088512503</v>
      </c>
      <c r="L46" s="312">
        <v>81505.316630476125</v>
      </c>
      <c r="M46" s="276">
        <f t="shared" si="10"/>
        <v>128811.45077106963</v>
      </c>
      <c r="O46" s="315"/>
      <c r="P46" s="316"/>
    </row>
    <row r="47" spans="1:16" ht="16.5" customHeight="1" x14ac:dyDescent="0.55000000000000004">
      <c r="A47" s="40">
        <v>3634</v>
      </c>
      <c r="B47" s="71" t="s">
        <v>257</v>
      </c>
      <c r="C47" s="277">
        <f>P47</f>
        <v>8710180.8729086593</v>
      </c>
      <c r="D47" s="77">
        <f t="shared" si="7"/>
        <v>4682892.9424240105</v>
      </c>
      <c r="E47" s="270">
        <f>'Space Support'!L47*$E$61</f>
        <v>2723310.3762892988</v>
      </c>
      <c r="F47" s="271">
        <v>1959582.5661347122</v>
      </c>
      <c r="G47" s="156">
        <f t="shared" si="8"/>
        <v>4682892.9424240105</v>
      </c>
      <c r="H47" s="270">
        <f>'Space Support'!L47*$H$61</f>
        <v>2723310.3762892988</v>
      </c>
      <c r="I47" s="271">
        <v>1959582.5661347122</v>
      </c>
      <c r="J47" s="157">
        <v>1.3400662099999998</v>
      </c>
      <c r="K47" s="278">
        <f t="shared" si="9"/>
        <v>977174.08314646734</v>
      </c>
      <c r="L47" s="312">
        <v>729198.36039031798</v>
      </c>
      <c r="M47" s="276">
        <f t="shared" si="10"/>
        <v>815832.16477015929</v>
      </c>
      <c r="N47" s="317">
        <f>D47+G47</f>
        <v>9365785.884848021</v>
      </c>
      <c r="O47" s="318">
        <v>0.93</v>
      </c>
      <c r="P47" s="319">
        <f>N47*O47</f>
        <v>8710180.8729086593</v>
      </c>
    </row>
    <row r="48" spans="1:16" ht="16.5" customHeight="1" x14ac:dyDescent="0.55000000000000004">
      <c r="A48" s="40">
        <v>203634</v>
      </c>
      <c r="B48" s="71" t="s">
        <v>258</v>
      </c>
      <c r="C48" s="277">
        <f>D48+G48</f>
        <v>1313760.9302100989</v>
      </c>
      <c r="D48" s="77">
        <f>E48+F48</f>
        <v>656880.46510504943</v>
      </c>
      <c r="E48" s="270">
        <f>'Space Support'!L48*$E$61</f>
        <v>418302.74679255189</v>
      </c>
      <c r="F48" s="271">
        <v>238577.71831249751</v>
      </c>
      <c r="G48" s="156">
        <f>H48+I48</f>
        <v>656880.46510504943</v>
      </c>
      <c r="H48" s="270">
        <f>'Space Support'!L48*$H$61</f>
        <v>418302.74679255189</v>
      </c>
      <c r="I48" s="271">
        <v>238577.71831249751</v>
      </c>
      <c r="J48" s="157">
        <v>1.06218214</v>
      </c>
      <c r="K48" s="278">
        <f>J48*L48</f>
        <v>118970.21701465994</v>
      </c>
      <c r="L48" s="312">
        <v>112005.47677694896</v>
      </c>
      <c r="M48" s="276">
        <f t="shared" si="10"/>
        <v>114438.7066778599</v>
      </c>
      <c r="N48" s="320"/>
      <c r="O48" s="321"/>
      <c r="P48" s="311"/>
    </row>
    <row r="49" spans="1:18" ht="16.5" customHeight="1" x14ac:dyDescent="0.55000000000000004">
      <c r="A49" s="40">
        <v>133965</v>
      </c>
      <c r="B49" s="71" t="s">
        <v>294</v>
      </c>
      <c r="C49" s="277">
        <f>D49+G49</f>
        <v>405464.89777581865</v>
      </c>
      <c r="D49" s="77">
        <f>E49+F49</f>
        <v>202732.44888790933</v>
      </c>
      <c r="E49" s="270">
        <f>'Space Support'!L49*$E$61</f>
        <v>202732.44888790933</v>
      </c>
      <c r="F49" s="271">
        <v>0</v>
      </c>
      <c r="G49" s="156">
        <f>H49+I49</f>
        <v>202732.44888790933</v>
      </c>
      <c r="H49" s="270">
        <f>'Space Support'!L49*$H$61</f>
        <v>202732.44888790933</v>
      </c>
      <c r="I49" s="271">
        <v>0</v>
      </c>
      <c r="J49" s="157">
        <v>0</v>
      </c>
      <c r="K49" s="278">
        <f>J49*L49</f>
        <v>0</v>
      </c>
      <c r="L49" s="312">
        <v>54283.99590956985</v>
      </c>
      <c r="M49" s="276">
        <f t="shared" si="10"/>
        <v>35319.118903402654</v>
      </c>
      <c r="O49" s="315"/>
      <c r="P49" s="316"/>
    </row>
    <row r="50" spans="1:18" ht="16.5" customHeight="1" x14ac:dyDescent="0.55000000000000004">
      <c r="A50" s="40"/>
      <c r="B50" s="71" t="s">
        <v>295</v>
      </c>
      <c r="C50" s="277">
        <f>P50</f>
        <v>655605.01193936158</v>
      </c>
      <c r="D50" s="77">
        <f>E50+F50</f>
        <v>0</v>
      </c>
      <c r="E50" s="270">
        <f>'Space Support'!L50*$E$61</f>
        <v>0</v>
      </c>
      <c r="F50" s="271">
        <v>0</v>
      </c>
      <c r="G50" s="156">
        <f>H50+I50</f>
        <v>0</v>
      </c>
      <c r="H50" s="270">
        <f>'Space Support'!L50*$H$61</f>
        <v>0</v>
      </c>
      <c r="I50" s="271">
        <v>0</v>
      </c>
      <c r="J50" s="157">
        <v>0</v>
      </c>
      <c r="K50" s="278">
        <f>J50*L50</f>
        <v>0</v>
      </c>
      <c r="L50" s="312">
        <v>0</v>
      </c>
      <c r="M50" s="276">
        <f t="shared" si="10"/>
        <v>0</v>
      </c>
      <c r="N50" s="317">
        <f>D50+G50</f>
        <v>0</v>
      </c>
      <c r="O50" s="322">
        <v>7.0000000000000007E-2</v>
      </c>
      <c r="P50" s="323">
        <v>655605.01193936158</v>
      </c>
    </row>
    <row r="51" spans="1:18" ht="16.5" customHeight="1" x14ac:dyDescent="0.55000000000000004">
      <c r="A51" s="40">
        <v>36273</v>
      </c>
      <c r="B51" s="71" t="s">
        <v>52</v>
      </c>
      <c r="C51" s="277">
        <f t="shared" si="6"/>
        <v>3996539.4214766584</v>
      </c>
      <c r="D51" s="77">
        <f t="shared" si="7"/>
        <v>1998269.7107383292</v>
      </c>
      <c r="E51" s="270">
        <f>'Space Support'!L51*$E$61</f>
        <v>1200632.5415792097</v>
      </c>
      <c r="F51" s="271">
        <v>797637.16915911948</v>
      </c>
      <c r="G51" s="156">
        <f t="shared" si="8"/>
        <v>1998269.7107383292</v>
      </c>
      <c r="H51" s="270">
        <f>'Space Support'!L51*$H$61</f>
        <v>1200632.5415792097</v>
      </c>
      <c r="I51" s="271">
        <v>797637.16915911948</v>
      </c>
      <c r="J51" s="157">
        <v>1.2372432799999999</v>
      </c>
      <c r="K51" s="278">
        <f t="shared" si="9"/>
        <v>397753.2679289126</v>
      </c>
      <c r="L51" s="312">
        <v>321483.4740738399</v>
      </c>
      <c r="M51" s="276">
        <f t="shared" si="10"/>
        <v>348129.39863246627</v>
      </c>
    </row>
    <row r="52" spans="1:18" ht="16.5" customHeight="1" x14ac:dyDescent="0.55000000000000004">
      <c r="A52" s="40">
        <v>23582</v>
      </c>
      <c r="B52" s="71" t="s">
        <v>53</v>
      </c>
      <c r="C52" s="277">
        <f t="shared" si="6"/>
        <v>2598255.0976823289</v>
      </c>
      <c r="D52" s="77">
        <f t="shared" si="7"/>
        <v>1299127.5488411644</v>
      </c>
      <c r="E52" s="270">
        <f>'Space Support'!L52*$E$61</f>
        <v>848210.47891966021</v>
      </c>
      <c r="F52" s="271">
        <v>450917.06992150418</v>
      </c>
      <c r="G52" s="156">
        <f t="shared" si="8"/>
        <v>1299127.5488411644</v>
      </c>
      <c r="H52" s="270">
        <f>'Space Support'!L52*$H$61</f>
        <v>848210.47891966021</v>
      </c>
      <c r="I52" s="271">
        <v>450917.06992150418</v>
      </c>
      <c r="J52" s="157">
        <v>0.99004029999999998</v>
      </c>
      <c r="K52" s="278">
        <f t="shared" si="9"/>
        <v>224856.29439170388</v>
      </c>
      <c r="L52" s="312">
        <v>227118.32477092487</v>
      </c>
      <c r="M52" s="276">
        <f t="shared" si="10"/>
        <v>226328.05266204025</v>
      </c>
    </row>
    <row r="53" spans="1:18" s="383" customFormat="1" ht="16.5" customHeight="1" thickBot="1" x14ac:dyDescent="0.6">
      <c r="A53" s="41">
        <v>23485</v>
      </c>
      <c r="B53" s="372" t="s">
        <v>54</v>
      </c>
      <c r="C53" s="373">
        <f t="shared" si="6"/>
        <v>3701063.3125056811</v>
      </c>
      <c r="D53" s="374">
        <f t="shared" si="7"/>
        <v>1850531.6562528405</v>
      </c>
      <c r="E53" s="375">
        <f>'Space Support'!L53*$E$61</f>
        <v>1074697.978551043</v>
      </c>
      <c r="F53" s="376">
        <v>775833.67770179757</v>
      </c>
      <c r="G53" s="377">
        <f t="shared" si="8"/>
        <v>1850531.6562528405</v>
      </c>
      <c r="H53" s="375">
        <f>'Space Support'!L53*$H$61</f>
        <v>1074697.978551043</v>
      </c>
      <c r="I53" s="378">
        <v>775833.67770179757</v>
      </c>
      <c r="J53" s="379">
        <v>1.3444418599999999</v>
      </c>
      <c r="K53" s="380">
        <f t="shared" si="9"/>
        <v>386880.6427369942</v>
      </c>
      <c r="L53" s="381">
        <v>287763.01471079921</v>
      </c>
      <c r="M53" s="382">
        <f t="shared" si="10"/>
        <v>322391.15129439271</v>
      </c>
    </row>
    <row r="54" spans="1:18" ht="16.5" customHeight="1" x14ac:dyDescent="0.55000000000000004">
      <c r="B54" s="42" t="s">
        <v>30</v>
      </c>
      <c r="C54" s="43">
        <f t="shared" ref="C54:I54" si="11">SUM(C44:C53)</f>
        <v>27816699.396106187</v>
      </c>
      <c r="D54" s="43">
        <f t="shared" si="11"/>
        <v>13908349.698053094</v>
      </c>
      <c r="E54" s="43">
        <f t="shared" si="11"/>
        <v>8118130.3416217417</v>
      </c>
      <c r="F54" s="43">
        <f t="shared" si="11"/>
        <v>5790219.3564313529</v>
      </c>
      <c r="G54" s="43">
        <f t="shared" si="11"/>
        <v>13908349.698053094</v>
      </c>
      <c r="H54" s="43">
        <f t="shared" si="11"/>
        <v>8118130.3416217417</v>
      </c>
      <c r="I54" s="43">
        <f t="shared" si="11"/>
        <v>5790219.3564313529</v>
      </c>
      <c r="J54" s="44"/>
      <c r="K54" s="324">
        <f>SUM(K44:K53)</f>
        <v>2887376.3160683126</v>
      </c>
      <c r="L54" s="90">
        <f>SUM(L44:L53)</f>
        <v>2173724.8115697731</v>
      </c>
      <c r="M54" s="90">
        <f>SUM(M44:M53)</f>
        <v>2423048.9960057791</v>
      </c>
    </row>
    <row r="55" spans="1:18" ht="16.5" customHeight="1" x14ac:dyDescent="0.55000000000000004">
      <c r="B55" s="325" t="s">
        <v>296</v>
      </c>
      <c r="C55" s="326">
        <f>C43+C54</f>
        <v>922317502.28666055</v>
      </c>
      <c r="D55" s="43">
        <f>C55*0.5</f>
        <v>461158751.14333028</v>
      </c>
      <c r="E55" s="43">
        <f>E54+E43</f>
        <v>290245239.94431388</v>
      </c>
      <c r="F55" s="43">
        <f>F54+F43</f>
        <v>168643937.19901621</v>
      </c>
      <c r="G55" s="43">
        <f>C55*0.5</f>
        <v>461158751.14333028</v>
      </c>
      <c r="H55" s="43">
        <f>H54+H43</f>
        <v>290245239.94431388</v>
      </c>
      <c r="I55" s="43">
        <f>I54+I43</f>
        <v>168643937.19901621</v>
      </c>
      <c r="J55" s="43"/>
      <c r="K55" s="327">
        <f>(K54+K43)</f>
        <v>84096729.353801712</v>
      </c>
      <c r="L55" s="327">
        <f>(L54+L43)</f>
        <v>77202156.902192444</v>
      </c>
      <c r="M55" s="327">
        <f>(M54+M43)</f>
        <v>79891079.536392495</v>
      </c>
    </row>
    <row r="56" spans="1:18" ht="16.5" customHeight="1" x14ac:dyDescent="0.55000000000000004">
      <c r="B56" s="42" t="s">
        <v>31</v>
      </c>
      <c r="C56" s="43">
        <v>52769565</v>
      </c>
      <c r="D56" s="43" t="s">
        <v>32</v>
      </c>
      <c r="E56" s="43"/>
      <c r="F56" s="43"/>
      <c r="G56" s="43"/>
      <c r="H56" s="43"/>
      <c r="I56" s="43"/>
      <c r="J56" s="45"/>
      <c r="K56" s="327"/>
      <c r="L56" s="328"/>
      <c r="M56" s="328"/>
    </row>
    <row r="57" spans="1:18" ht="16.5" customHeight="1" x14ac:dyDescent="0.55000000000000004">
      <c r="B57" s="42" t="s">
        <v>297</v>
      </c>
      <c r="C57" s="43">
        <v>4539148</v>
      </c>
      <c r="D57" s="43" t="s">
        <v>298</v>
      </c>
      <c r="E57" s="43"/>
      <c r="F57" s="43"/>
      <c r="G57" s="43"/>
      <c r="H57" s="43"/>
      <c r="I57" s="43"/>
      <c r="J57" s="43"/>
      <c r="K57" s="327"/>
      <c r="L57" s="327"/>
      <c r="M57" s="327"/>
      <c r="P57" s="329"/>
      <c r="Q57" s="329"/>
    </row>
    <row r="58" spans="1:18" ht="16.5" customHeight="1" x14ac:dyDescent="0.55000000000000004">
      <c r="B58" s="42" t="s">
        <v>1</v>
      </c>
      <c r="C58" s="43">
        <f>C55+C56</f>
        <v>975087067.28666055</v>
      </c>
      <c r="D58" s="43"/>
      <c r="E58" s="43"/>
      <c r="F58" s="43"/>
      <c r="G58" s="43"/>
      <c r="H58" s="43"/>
      <c r="I58" s="43"/>
      <c r="J58" s="43"/>
      <c r="K58" s="327"/>
      <c r="L58" s="327"/>
      <c r="M58" s="327"/>
      <c r="P58" s="330"/>
      <c r="Q58" s="330"/>
    </row>
    <row r="59" spans="1:18" ht="16.5" customHeight="1" thickBot="1" x14ac:dyDescent="0.6">
      <c r="B59" s="42"/>
      <c r="C59" s="43"/>
      <c r="D59" s="331"/>
      <c r="E59" s="332"/>
      <c r="F59" s="332"/>
      <c r="G59" s="332"/>
      <c r="H59" s="43"/>
      <c r="I59" s="43"/>
      <c r="J59" s="43"/>
      <c r="K59" s="327"/>
      <c r="L59" s="327"/>
      <c r="M59" s="327"/>
      <c r="O59" s="333" t="s">
        <v>134</v>
      </c>
      <c r="P59" s="330"/>
      <c r="Q59" s="330"/>
    </row>
    <row r="60" spans="1:18" ht="19.8" thickBot="1" x14ac:dyDescent="0.6">
      <c r="A60" s="46"/>
      <c r="B60" s="334">
        <f>C43-C41-C42-C57</f>
        <v>880128543.14713895</v>
      </c>
      <c r="C60" s="335">
        <f>C58</f>
        <v>975087067.28666055</v>
      </c>
      <c r="D60" s="47" t="s">
        <v>148</v>
      </c>
      <c r="E60" s="48"/>
      <c r="F60" s="49"/>
      <c r="G60" s="43"/>
      <c r="H60" s="43"/>
      <c r="I60" s="43"/>
      <c r="J60" s="43"/>
      <c r="K60" s="327"/>
      <c r="N60" s="52"/>
      <c r="P60" s="336"/>
      <c r="Q60" s="336"/>
    </row>
    <row r="61" spans="1:18" ht="38.4" x14ac:dyDescent="0.55000000000000004">
      <c r="B61" s="337">
        <f>B60/(M43-M42-M41)</f>
        <v>11.480040000000002</v>
      </c>
      <c r="C61" s="338" t="s">
        <v>33</v>
      </c>
      <c r="D61" s="339">
        <v>5.7400200000000003</v>
      </c>
      <c r="E61" s="160">
        <f>E62*D61</f>
        <v>3.7346633292367697</v>
      </c>
      <c r="F61" s="160">
        <f>F62*D61</f>
        <v>2.0053566707632307</v>
      </c>
      <c r="G61" s="161">
        <f>D61</f>
        <v>5.7400200000000003</v>
      </c>
      <c r="H61" s="160">
        <f>E62*G61</f>
        <v>3.7346633292367697</v>
      </c>
      <c r="I61" s="160">
        <f>F62*G61</f>
        <v>2.0053566707632307</v>
      </c>
      <c r="J61" s="340"/>
      <c r="K61" s="341"/>
      <c r="L61" s="342" t="s">
        <v>149</v>
      </c>
      <c r="M61" s="342" t="s">
        <v>299</v>
      </c>
      <c r="P61" s="336"/>
      <c r="Q61" s="336"/>
      <c r="R61" s="50"/>
    </row>
    <row r="62" spans="1:18" ht="21" thickBot="1" x14ac:dyDescent="0.6">
      <c r="B62" s="343">
        <f>B61/2</f>
        <v>5.7400200000000012</v>
      </c>
      <c r="C62" s="344" t="s">
        <v>150</v>
      </c>
      <c r="D62" s="345">
        <f>SUM(E62:F62)</f>
        <v>1</v>
      </c>
      <c r="E62" s="345">
        <f>1-F62</f>
        <v>0.65063594364423283</v>
      </c>
      <c r="F62" s="346">
        <v>0.34936405635576712</v>
      </c>
      <c r="G62" s="347">
        <f>H62+I62</f>
        <v>1</v>
      </c>
      <c r="H62" s="347">
        <f>E62</f>
        <v>0.65063594364423283</v>
      </c>
      <c r="I62" s="347">
        <f>F62</f>
        <v>0.34936405635576712</v>
      </c>
      <c r="J62" s="348"/>
      <c r="K62" s="349"/>
      <c r="L62" s="350">
        <f>(C55-C42-C41-C57)/(L55-L42-L41)/2</f>
        <v>5.9420415674338276</v>
      </c>
      <c r="M62" s="351">
        <f>(C55-C42-C41-C57)/(M55-M42-M41)/2</f>
        <v>5.7400200000000021</v>
      </c>
      <c r="N62" s="36" t="s">
        <v>134</v>
      </c>
      <c r="O62" s="352" t="s">
        <v>134</v>
      </c>
      <c r="P62" s="353" t="s">
        <v>134</v>
      </c>
      <c r="R62" s="50"/>
    </row>
    <row r="63" spans="1:18" ht="21" thickBot="1" x14ac:dyDescent="0.6">
      <c r="B63" s="51"/>
      <c r="C63" s="354" t="s">
        <v>300</v>
      </c>
      <c r="D63" s="355">
        <v>6.13</v>
      </c>
      <c r="E63" s="356"/>
      <c r="F63" s="357"/>
      <c r="G63" s="358">
        <f>D63</f>
        <v>6.13</v>
      </c>
      <c r="H63" s="359"/>
      <c r="I63" s="360"/>
      <c r="J63" s="361"/>
      <c r="K63" s="362"/>
      <c r="L63" s="363"/>
      <c r="M63" s="363"/>
      <c r="N63" s="352" t="s">
        <v>134</v>
      </c>
      <c r="O63" s="343" t="s">
        <v>134</v>
      </c>
    </row>
    <row r="64" spans="1:18" x14ac:dyDescent="0.55000000000000004">
      <c r="A64" s="364" t="s">
        <v>301</v>
      </c>
      <c r="B64" s="51"/>
      <c r="C64" s="35"/>
      <c r="D64" s="331"/>
      <c r="E64" s="365"/>
      <c r="F64" s="365"/>
      <c r="G64" s="331"/>
      <c r="H64" s="366"/>
      <c r="I64" s="366"/>
      <c r="K64" s="43"/>
      <c r="L64" s="367"/>
      <c r="M64" s="367"/>
      <c r="O64" s="343"/>
    </row>
    <row r="65" spans="1:16" x14ac:dyDescent="0.55000000000000004">
      <c r="A65" s="364" t="s">
        <v>302</v>
      </c>
      <c r="F65" s="368"/>
      <c r="G65" s="368"/>
      <c r="J65" s="36"/>
    </row>
    <row r="66" spans="1:16" x14ac:dyDescent="0.55000000000000004">
      <c r="A66" s="369" t="s">
        <v>303</v>
      </c>
      <c r="B66" s="53"/>
      <c r="J66" s="36"/>
    </row>
    <row r="67" spans="1:16" x14ac:dyDescent="0.55000000000000004">
      <c r="A67" s="370" t="s">
        <v>304</v>
      </c>
      <c r="B67" s="371"/>
      <c r="C67" s="52"/>
      <c r="E67" s="52"/>
    </row>
    <row r="68" spans="1:16" x14ac:dyDescent="0.55000000000000004">
      <c r="A68" s="370" t="s">
        <v>305</v>
      </c>
      <c r="B68" s="371"/>
      <c r="C68" s="52"/>
      <c r="E68" s="52"/>
      <c r="P68" s="330"/>
    </row>
    <row r="69" spans="1:16" ht="33" customHeight="1" x14ac:dyDescent="0.55000000000000004">
      <c r="A69" s="405" t="s">
        <v>306</v>
      </c>
      <c r="B69" s="406"/>
      <c r="C69" s="406"/>
      <c r="D69" s="406"/>
      <c r="E69" s="406"/>
      <c r="F69" s="406"/>
      <c r="G69" s="406"/>
      <c r="H69" s="406"/>
      <c r="I69" s="406"/>
      <c r="J69" s="406"/>
      <c r="K69" s="406"/>
      <c r="L69" s="406"/>
      <c r="M69" s="406"/>
    </row>
  </sheetData>
  <mergeCells count="2">
    <mergeCell ref="A3:B3"/>
    <mergeCell ref="A69:M69"/>
  </mergeCells>
  <pageMargins left="0.17" right="0.17" top="0.28999999999999998" bottom="0.34" header="0.17" footer="0.17"/>
  <pageSetup scale="65" orientation="landscape" r:id="rId1"/>
  <headerFooter alignWithMargins="0">
    <oddFooter>Prepared by Paul Turcotte &amp;D&amp;RPage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  <pageSetUpPr fitToPage="1"/>
  </sheetPr>
  <dimension ref="A1:AF58"/>
  <sheetViews>
    <sheetView showGridLines="0" zoomScale="70" zoomScaleNormal="70" zoomScaleSheetLayoutView="100" workbookViewId="0">
      <pane xSplit="2" ySplit="4" topLeftCell="L5" activePane="bottomRight" state="frozen"/>
      <selection activeCell="J27" sqref="J27"/>
      <selection pane="topRight" activeCell="J27" sqref="J27"/>
      <selection pane="bottomLeft" activeCell="J27" sqref="J27"/>
      <selection pane="bottomRight" activeCell="A56" sqref="A56"/>
    </sheetView>
  </sheetViews>
  <sheetFormatPr defaultColWidth="9.109375" defaultRowHeight="19.2" outlineLevelCol="1" x14ac:dyDescent="0.55000000000000004"/>
  <cols>
    <col min="1" max="1" width="11.109375" style="36" customWidth="1"/>
    <col min="2" max="2" width="22.5546875" style="36" customWidth="1"/>
    <col min="3" max="3" width="15.88671875" style="36" customWidth="1" outlineLevel="1"/>
    <col min="4" max="4" width="15" style="36" customWidth="1" outlineLevel="1"/>
    <col min="5" max="5" width="8.6640625" style="36" customWidth="1" outlineLevel="1"/>
    <col min="6" max="6" width="12.44140625" style="36" customWidth="1"/>
    <col min="7" max="7" width="13.88671875" style="36" customWidth="1" outlineLevel="1"/>
    <col min="8" max="8" width="14.44140625" style="36" customWidth="1" outlineLevel="1"/>
    <col min="9" max="9" width="7.44140625" style="36" customWidth="1" outlineLevel="1"/>
    <col min="10" max="10" width="12.44140625" style="36" customWidth="1"/>
    <col min="11" max="11" width="15.109375" style="36" customWidth="1" outlineLevel="1"/>
    <col min="12" max="12" width="14" style="36" customWidth="1" outlineLevel="1"/>
    <col min="13" max="13" width="7.5546875" style="36" customWidth="1" outlineLevel="1"/>
    <col min="14" max="14" width="12.44140625" style="36" customWidth="1"/>
    <col min="15" max="15" width="13.33203125" style="36" customWidth="1" outlineLevel="1"/>
    <col min="16" max="16" width="13.6640625" style="36" customWidth="1" outlineLevel="1"/>
    <col min="17" max="17" width="8.6640625" style="36" customWidth="1" outlineLevel="1"/>
    <col min="18" max="18" width="12.44140625" style="36" customWidth="1"/>
    <col min="19" max="19" width="16" style="36" customWidth="1" outlineLevel="1"/>
    <col min="20" max="20" width="12.6640625" style="36" customWidth="1" outlineLevel="1"/>
    <col min="21" max="21" width="9.33203125" style="36" customWidth="1" outlineLevel="1"/>
    <col min="22" max="22" width="12.44140625" style="36" bestFit="1" customWidth="1"/>
    <col min="23" max="23" width="15.33203125" style="36" customWidth="1" outlineLevel="1"/>
    <col min="24" max="24" width="10.88671875" style="36" customWidth="1"/>
    <col min="25" max="25" width="14.88671875" style="36" customWidth="1" outlineLevel="1"/>
    <col min="26" max="26" width="9.5546875" style="36" bestFit="1" customWidth="1"/>
    <col min="27" max="28" width="15.6640625" style="36" customWidth="1"/>
    <col min="29" max="29" width="16" style="36" customWidth="1"/>
    <col min="30" max="30" width="14.5546875" style="36" customWidth="1"/>
    <col min="31" max="31" width="15.44140625" style="36" customWidth="1"/>
    <col min="32" max="16384" width="9.109375" style="36"/>
  </cols>
  <sheetData>
    <row r="1" spans="1:32" x14ac:dyDescent="0.55000000000000004">
      <c r="A1" s="35" t="str">
        <f>'Allocation Summary'!A1</f>
        <v>State Colleges Basis for Legislative Appropriations - 2026-2027</v>
      </c>
      <c r="B1" s="35"/>
      <c r="C1" s="35"/>
      <c r="D1" s="35"/>
      <c r="E1" s="35"/>
    </row>
    <row r="2" spans="1:32" ht="21" thickBot="1" x14ac:dyDescent="0.6">
      <c r="A2" s="35" t="s">
        <v>214</v>
      </c>
      <c r="B2" s="35"/>
      <c r="C2" s="35"/>
      <c r="D2" s="35"/>
      <c r="E2" s="35"/>
    </row>
    <row r="3" spans="1:32" ht="28.2" customHeight="1" thickBot="1" x14ac:dyDescent="0.6">
      <c r="A3" s="409" t="s">
        <v>0</v>
      </c>
      <c r="B3" s="410"/>
      <c r="C3" s="413" t="s">
        <v>34</v>
      </c>
      <c r="D3" s="414"/>
      <c r="E3" s="414"/>
      <c r="F3" s="415"/>
      <c r="G3" s="416" t="s">
        <v>35</v>
      </c>
      <c r="H3" s="414"/>
      <c r="I3" s="414"/>
      <c r="J3" s="415"/>
      <c r="K3" s="416" t="s">
        <v>36</v>
      </c>
      <c r="L3" s="414"/>
      <c r="M3" s="414"/>
      <c r="N3" s="415"/>
      <c r="O3" s="417" t="s">
        <v>215</v>
      </c>
      <c r="P3" s="418"/>
      <c r="Q3" s="418"/>
      <c r="R3" s="419"/>
      <c r="S3" s="417" t="s">
        <v>37</v>
      </c>
      <c r="T3" s="418"/>
      <c r="U3" s="418"/>
      <c r="V3" s="419"/>
      <c r="W3" s="420" t="s">
        <v>38</v>
      </c>
      <c r="X3" s="421"/>
      <c r="Y3" s="422" t="s">
        <v>39</v>
      </c>
      <c r="Z3" s="423"/>
      <c r="AA3" s="424" t="s">
        <v>139</v>
      </c>
      <c r="AB3" s="407" t="s">
        <v>40</v>
      </c>
      <c r="AC3" s="407" t="s">
        <v>41</v>
      </c>
      <c r="AD3" s="407" t="s">
        <v>125</v>
      </c>
    </row>
    <row r="4" spans="1:32" ht="48.75" customHeight="1" thickBot="1" x14ac:dyDescent="0.6">
      <c r="A4" s="411"/>
      <c r="B4" s="412"/>
      <c r="C4" s="54" t="s">
        <v>42</v>
      </c>
      <c r="D4" s="55" t="s">
        <v>43</v>
      </c>
      <c r="E4" s="56" t="s">
        <v>5</v>
      </c>
      <c r="F4" s="57" t="s">
        <v>44</v>
      </c>
      <c r="G4" s="58" t="s">
        <v>45</v>
      </c>
      <c r="H4" s="55" t="s">
        <v>43</v>
      </c>
      <c r="I4" s="56" t="s">
        <v>5</v>
      </c>
      <c r="J4" s="57" t="s">
        <v>44</v>
      </c>
      <c r="K4" s="58" t="s">
        <v>46</v>
      </c>
      <c r="L4" s="55" t="s">
        <v>43</v>
      </c>
      <c r="M4" s="56" t="s">
        <v>5</v>
      </c>
      <c r="N4" s="57" t="s">
        <v>44</v>
      </c>
      <c r="O4" s="58" t="s">
        <v>46</v>
      </c>
      <c r="P4" s="55" t="s">
        <v>43</v>
      </c>
      <c r="Q4" s="56" t="s">
        <v>5</v>
      </c>
      <c r="R4" s="57" t="s">
        <v>44</v>
      </c>
      <c r="S4" s="58" t="s">
        <v>47</v>
      </c>
      <c r="T4" s="55" t="s">
        <v>43</v>
      </c>
      <c r="U4" s="56" t="s">
        <v>5</v>
      </c>
      <c r="V4" s="57" t="s">
        <v>44</v>
      </c>
      <c r="W4" s="59" t="s">
        <v>43</v>
      </c>
      <c r="X4" s="57" t="s">
        <v>48</v>
      </c>
      <c r="Y4" s="59" t="s">
        <v>43</v>
      </c>
      <c r="Z4" s="56" t="s">
        <v>48</v>
      </c>
      <c r="AA4" s="425"/>
      <c r="AB4" s="408"/>
      <c r="AC4" s="408"/>
      <c r="AD4" s="408"/>
    </row>
    <row r="5" spans="1:32" x14ac:dyDescent="0.55000000000000004">
      <c r="A5" s="60">
        <v>3656</v>
      </c>
      <c r="B5" s="61" t="s">
        <v>217</v>
      </c>
      <c r="C5" s="62">
        <v>83015612</v>
      </c>
      <c r="D5" s="62">
        <v>5727276</v>
      </c>
      <c r="E5" s="63">
        <f>IF(C5=0,0,ROUND(D5/C5,4))</f>
        <v>6.9000000000000006E-2</v>
      </c>
      <c r="F5" s="64">
        <f t="shared" ref="F5:F54" si="0">ROUND((E5/E$54)*D5/$AB5,8)</f>
        <v>0.56497679999999995</v>
      </c>
      <c r="G5" s="62">
        <v>319096</v>
      </c>
      <c r="H5" s="62">
        <v>1354494</v>
      </c>
      <c r="I5" s="65">
        <f>IF(G5=0,0,ROUND(H5/G5,4))</f>
        <v>4.2447999999999997</v>
      </c>
      <c r="J5" s="64">
        <f t="shared" ref="J5:J46" si="1">ROUND((I5/I$54)*H5/$AB5,8)</f>
        <v>0.12912847</v>
      </c>
      <c r="K5" s="62">
        <v>182533</v>
      </c>
      <c r="L5" s="62">
        <v>741552</v>
      </c>
      <c r="M5" s="65">
        <f>IF(K5=0,0,ROUND(L5/K5,4))</f>
        <v>4.0625999999999998</v>
      </c>
      <c r="N5" s="64">
        <f t="shared" ref="N5:N54" si="2">ROUND((M5/M$54)*L5/$AB5,8)</f>
        <v>9.1389390000000001E-2</v>
      </c>
      <c r="O5" s="62">
        <v>100404</v>
      </c>
      <c r="P5" s="62">
        <v>407898</v>
      </c>
      <c r="Q5" s="65">
        <f>IF(O5=0,0,ROUND(P5/O5,4))</f>
        <v>4.0625999999999998</v>
      </c>
      <c r="R5" s="64">
        <f t="shared" ref="R5:R54" si="3">ROUND((Q5/Q$54)*P5/$AB5,8)</f>
        <v>3.4162480000000002E-2</v>
      </c>
      <c r="S5" s="62">
        <v>0</v>
      </c>
      <c r="T5" s="62">
        <v>0</v>
      </c>
      <c r="U5" s="65">
        <f>IF(S5=0,0,ROUND(T5/S5,4))</f>
        <v>0</v>
      </c>
      <c r="V5" s="64">
        <f t="shared" ref="V5:V54" si="4">ROUND((U5/U$54)*T5/$AB5,8)</f>
        <v>0</v>
      </c>
      <c r="W5" s="62">
        <v>157073</v>
      </c>
      <c r="X5" s="66">
        <f t="shared" ref="X5:X52" si="5">ROUND(W5/$AB5,8)</f>
        <v>1.5382450000000001E-2</v>
      </c>
      <c r="Y5" s="62">
        <v>1822889</v>
      </c>
      <c r="Z5" s="67">
        <f t="shared" ref="Z5:Z52" si="6">ROUND(Y5/$AB5,8)</f>
        <v>0.17851890000000001</v>
      </c>
      <c r="AA5" s="68">
        <f t="shared" ref="AA5:AA52" si="7">F5+J5+N5+R5+V5+X5+Z5</f>
        <v>1.0135584899999999</v>
      </c>
      <c r="AB5" s="69">
        <f t="shared" ref="AB5:AB39" si="8">D5+H5+L5+P5+T5+W5+Y5</f>
        <v>10211182</v>
      </c>
      <c r="AC5" s="62">
        <v>32106398</v>
      </c>
      <c r="AD5" s="70">
        <f>AB5/(AB5+AC5)</f>
        <v>0.24129881718188989</v>
      </c>
      <c r="AE5" s="227"/>
      <c r="AF5" s="227"/>
    </row>
    <row r="6" spans="1:32" x14ac:dyDescent="0.55000000000000004">
      <c r="A6" s="40">
        <v>3658</v>
      </c>
      <c r="B6" s="71" t="s">
        <v>218</v>
      </c>
      <c r="C6" s="62">
        <v>136259979</v>
      </c>
      <c r="D6" s="62">
        <v>10558636</v>
      </c>
      <c r="E6" s="72">
        <f t="shared" ref="E6:E39" si="9">IF(C6=0,0,ROUND(D6/C6,4))</f>
        <v>7.7499999999999999E-2</v>
      </c>
      <c r="F6" s="73">
        <f t="shared" si="0"/>
        <v>0.19167608</v>
      </c>
      <c r="G6" s="62">
        <v>3310445</v>
      </c>
      <c r="H6" s="62">
        <v>12698287</v>
      </c>
      <c r="I6" s="74">
        <f t="shared" ref="I6:I39" si="10">IF(G6=0,0,ROUND(H6/G6,4))</f>
        <v>3.8357999999999999</v>
      </c>
      <c r="J6" s="73">
        <f t="shared" si="1"/>
        <v>0.17923127</v>
      </c>
      <c r="K6" s="62">
        <v>555005</v>
      </c>
      <c r="L6" s="62">
        <v>3527084</v>
      </c>
      <c r="M6" s="74">
        <f t="shared" ref="M6:M39" si="11">IF(K6=0,0,ROUND(L6/K6,4))</f>
        <v>6.3550000000000004</v>
      </c>
      <c r="N6" s="73">
        <f t="shared" si="2"/>
        <v>0.11140545</v>
      </c>
      <c r="O6" s="62">
        <v>242339</v>
      </c>
      <c r="P6" s="62">
        <v>2422005</v>
      </c>
      <c r="Q6" s="74">
        <f t="shared" ref="Q6:Q39" si="12">IF(O6=0,0,ROUND(P6/O6,4))</f>
        <v>9.9943000000000008</v>
      </c>
      <c r="R6" s="73">
        <f t="shared" si="3"/>
        <v>8.1761E-2</v>
      </c>
      <c r="S6" s="62">
        <v>0</v>
      </c>
      <c r="T6" s="62">
        <v>0</v>
      </c>
      <c r="U6" s="74">
        <f t="shared" ref="U6:U39" si="13">IF(S6=0,0,ROUND(T6/S6,4))</f>
        <v>0</v>
      </c>
      <c r="V6" s="73">
        <f t="shared" si="4"/>
        <v>0</v>
      </c>
      <c r="W6" s="62">
        <v>10273347</v>
      </c>
      <c r="X6" s="75">
        <f t="shared" si="5"/>
        <v>0.16483937000000001</v>
      </c>
      <c r="Y6" s="62">
        <v>22844024</v>
      </c>
      <c r="Z6" s="75">
        <f t="shared" si="6"/>
        <v>0.36654017999999999</v>
      </c>
      <c r="AA6" s="76">
        <f t="shared" si="7"/>
        <v>1.0954533500000001</v>
      </c>
      <c r="AB6" s="77">
        <f t="shared" si="8"/>
        <v>62323383</v>
      </c>
      <c r="AC6" s="62">
        <v>61798074</v>
      </c>
      <c r="AD6" s="78">
        <f t="shared" ref="AD6:AD54" si="14">AB6/(AB6+AC6)</f>
        <v>0.50211610874016732</v>
      </c>
      <c r="AE6" s="227"/>
      <c r="AF6" s="227"/>
    </row>
    <row r="7" spans="1:32" x14ac:dyDescent="0.55000000000000004">
      <c r="A7" s="40">
        <v>9741</v>
      </c>
      <c r="B7" s="71" t="s">
        <v>219</v>
      </c>
      <c r="C7" s="62">
        <v>107207552</v>
      </c>
      <c r="D7" s="62">
        <v>6812993</v>
      </c>
      <c r="E7" s="72">
        <f t="shared" si="9"/>
        <v>6.3500000000000001E-2</v>
      </c>
      <c r="F7" s="73">
        <f t="shared" si="0"/>
        <v>0.40506388999999998</v>
      </c>
      <c r="G7" s="62">
        <v>381543</v>
      </c>
      <c r="H7" s="62">
        <v>1739353</v>
      </c>
      <c r="I7" s="74">
        <f t="shared" si="10"/>
        <v>4.5587</v>
      </c>
      <c r="J7" s="73">
        <f t="shared" si="1"/>
        <v>0.11662587000000001</v>
      </c>
      <c r="K7" s="62">
        <v>291413</v>
      </c>
      <c r="L7" s="62">
        <v>1181239</v>
      </c>
      <c r="M7" s="74">
        <f t="shared" si="11"/>
        <v>4.0534999999999997</v>
      </c>
      <c r="N7" s="73">
        <f t="shared" si="2"/>
        <v>9.5125399999999999E-2</v>
      </c>
      <c r="O7" s="62">
        <v>151156</v>
      </c>
      <c r="P7" s="62">
        <v>581804</v>
      </c>
      <c r="Q7" s="74">
        <f t="shared" si="12"/>
        <v>3.8490000000000002</v>
      </c>
      <c r="R7" s="73">
        <f t="shared" si="3"/>
        <v>3.0234090000000002E-2</v>
      </c>
      <c r="S7" s="62">
        <v>0</v>
      </c>
      <c r="T7" s="62">
        <v>0</v>
      </c>
      <c r="U7" s="74">
        <f t="shared" si="13"/>
        <v>0</v>
      </c>
      <c r="V7" s="73">
        <f t="shared" si="4"/>
        <v>0</v>
      </c>
      <c r="W7" s="62">
        <v>0</v>
      </c>
      <c r="X7" s="75">
        <f t="shared" si="5"/>
        <v>0</v>
      </c>
      <c r="Y7" s="62">
        <v>5276458</v>
      </c>
      <c r="Z7" s="75">
        <f t="shared" si="6"/>
        <v>0.33841135</v>
      </c>
      <c r="AA7" s="76">
        <f t="shared" si="7"/>
        <v>0.98546060000000002</v>
      </c>
      <c r="AB7" s="77">
        <f t="shared" si="8"/>
        <v>15591847</v>
      </c>
      <c r="AC7" s="62">
        <v>43289588</v>
      </c>
      <c r="AD7" s="78">
        <f t="shared" si="14"/>
        <v>0.26480073048491432</v>
      </c>
      <c r="AE7" s="227"/>
      <c r="AF7" s="227"/>
    </row>
    <row r="8" spans="1:32" x14ac:dyDescent="0.55000000000000004">
      <c r="A8" s="40">
        <v>3661</v>
      </c>
      <c r="B8" s="71" t="s">
        <v>220</v>
      </c>
      <c r="C8" s="62">
        <v>48030780</v>
      </c>
      <c r="D8" s="62">
        <v>2908205</v>
      </c>
      <c r="E8" s="72">
        <f t="shared" si="9"/>
        <v>6.0499999999999998E-2</v>
      </c>
      <c r="F8" s="73">
        <f t="shared" si="0"/>
        <v>0.27046155</v>
      </c>
      <c r="G8" s="62">
        <v>188068</v>
      </c>
      <c r="H8" s="62">
        <v>1731421</v>
      </c>
      <c r="I8" s="74">
        <f t="shared" si="10"/>
        <v>9.2064000000000004</v>
      </c>
      <c r="J8" s="73">
        <f t="shared" si="1"/>
        <v>0.38492130000000002</v>
      </c>
      <c r="K8" s="62">
        <v>266162</v>
      </c>
      <c r="L8" s="62">
        <v>1315083</v>
      </c>
      <c r="M8" s="74">
        <f t="shared" si="11"/>
        <v>4.9409000000000001</v>
      </c>
      <c r="N8" s="73">
        <f t="shared" si="2"/>
        <v>0.21193419999999999</v>
      </c>
      <c r="O8" s="62">
        <v>72396</v>
      </c>
      <c r="P8" s="62">
        <v>357703</v>
      </c>
      <c r="Q8" s="74">
        <f t="shared" si="12"/>
        <v>4.9409000000000001</v>
      </c>
      <c r="R8" s="73">
        <f t="shared" si="3"/>
        <v>3.9175469999999997E-2</v>
      </c>
      <c r="S8" s="62">
        <v>0</v>
      </c>
      <c r="T8" s="62">
        <v>0</v>
      </c>
      <c r="U8" s="74">
        <f t="shared" si="13"/>
        <v>0</v>
      </c>
      <c r="V8" s="73">
        <f t="shared" si="4"/>
        <v>0</v>
      </c>
      <c r="W8" s="62">
        <v>218400</v>
      </c>
      <c r="X8" s="75">
        <f t="shared" si="5"/>
        <v>2.2996849999999999E-2</v>
      </c>
      <c r="Y8" s="62">
        <v>2966141</v>
      </c>
      <c r="Z8" s="75">
        <f t="shared" si="6"/>
        <v>0.31232554000000001</v>
      </c>
      <c r="AA8" s="76">
        <f t="shared" si="7"/>
        <v>1.24181491</v>
      </c>
      <c r="AB8" s="77">
        <f t="shared" si="8"/>
        <v>9496953</v>
      </c>
      <c r="AC8" s="62">
        <v>21904959</v>
      </c>
      <c r="AD8" s="78">
        <f t="shared" si="14"/>
        <v>0.30243231686019628</v>
      </c>
      <c r="AE8" s="227"/>
      <c r="AF8" s="227"/>
    </row>
    <row r="9" spans="1:32" ht="14.25" customHeight="1" x14ac:dyDescent="0.55000000000000004">
      <c r="A9" s="40">
        <v>3599</v>
      </c>
      <c r="B9" s="71" t="s">
        <v>221</v>
      </c>
      <c r="C9" s="62">
        <v>80712991</v>
      </c>
      <c r="D9" s="62">
        <v>5608238</v>
      </c>
      <c r="E9" s="72">
        <f t="shared" si="9"/>
        <v>6.9500000000000006E-2</v>
      </c>
      <c r="F9" s="73">
        <f t="shared" si="0"/>
        <v>0.48262078000000003</v>
      </c>
      <c r="G9" s="62">
        <v>47100</v>
      </c>
      <c r="H9" s="62">
        <v>249742</v>
      </c>
      <c r="I9" s="74">
        <f t="shared" si="10"/>
        <v>5.3023999999999996</v>
      </c>
      <c r="J9" s="73">
        <f t="shared" si="1"/>
        <v>2.5758059999999999E-2</v>
      </c>
      <c r="K9" s="62">
        <v>208515</v>
      </c>
      <c r="L9" s="62">
        <v>694502</v>
      </c>
      <c r="M9" s="74">
        <f t="shared" si="11"/>
        <v>3.3307000000000002</v>
      </c>
      <c r="N9" s="73">
        <f t="shared" si="2"/>
        <v>6.0774370000000001E-2</v>
      </c>
      <c r="O9" s="62">
        <v>112965</v>
      </c>
      <c r="P9" s="62">
        <v>339264</v>
      </c>
      <c r="Q9" s="74">
        <f t="shared" si="12"/>
        <v>3.0032999999999999</v>
      </c>
      <c r="R9" s="73">
        <f t="shared" si="3"/>
        <v>1.8192469999999999E-2</v>
      </c>
      <c r="S9" s="62">
        <v>0</v>
      </c>
      <c r="T9" s="62">
        <v>0</v>
      </c>
      <c r="U9" s="74">
        <f t="shared" si="13"/>
        <v>0</v>
      </c>
      <c r="V9" s="73">
        <f t="shared" si="4"/>
        <v>0</v>
      </c>
      <c r="W9" s="62">
        <v>0</v>
      </c>
      <c r="X9" s="75">
        <f t="shared" si="5"/>
        <v>0</v>
      </c>
      <c r="Y9" s="62">
        <v>4898277</v>
      </c>
      <c r="Z9" s="75">
        <f t="shared" si="6"/>
        <v>0.41545948999999999</v>
      </c>
      <c r="AA9" s="76">
        <f t="shared" si="7"/>
        <v>1.00280517</v>
      </c>
      <c r="AB9" s="77">
        <f t="shared" si="8"/>
        <v>11790023</v>
      </c>
      <c r="AC9" s="62">
        <v>27448474</v>
      </c>
      <c r="AD9" s="78">
        <f t="shared" si="14"/>
        <v>0.30047081059195513</v>
      </c>
      <c r="AE9" s="227"/>
      <c r="AF9" s="227"/>
    </row>
    <row r="10" spans="1:32" x14ac:dyDescent="0.55000000000000004">
      <c r="A10" s="40">
        <v>9930</v>
      </c>
      <c r="B10" s="71" t="s">
        <v>222</v>
      </c>
      <c r="C10" s="62">
        <v>22397758</v>
      </c>
      <c r="D10" s="62">
        <v>1480503</v>
      </c>
      <c r="E10" s="72">
        <f t="shared" si="9"/>
        <v>6.6100000000000006E-2</v>
      </c>
      <c r="F10" s="73">
        <f t="shared" si="0"/>
        <v>0.32463987999999999</v>
      </c>
      <c r="G10" s="62">
        <v>77339</v>
      </c>
      <c r="H10" s="62">
        <v>492568</v>
      </c>
      <c r="I10" s="74">
        <f t="shared" si="10"/>
        <v>6.3689</v>
      </c>
      <c r="J10" s="73">
        <f t="shared" si="1"/>
        <v>0.16348429</v>
      </c>
      <c r="K10" s="62">
        <v>746588</v>
      </c>
      <c r="L10" s="62">
        <v>798975</v>
      </c>
      <c r="M10" s="74">
        <f t="shared" si="11"/>
        <v>1.0702</v>
      </c>
      <c r="N10" s="73">
        <f t="shared" si="2"/>
        <v>6.0187450000000003E-2</v>
      </c>
      <c r="O10" s="62">
        <v>373294</v>
      </c>
      <c r="P10" s="62">
        <v>1344</v>
      </c>
      <c r="Q10" s="74">
        <f t="shared" si="12"/>
        <v>3.5999999999999999E-3</v>
      </c>
      <c r="R10" s="73">
        <f t="shared" si="3"/>
        <v>2.2999999999999999E-7</v>
      </c>
      <c r="S10" s="62">
        <v>0</v>
      </c>
      <c r="T10" s="62">
        <v>0</v>
      </c>
      <c r="U10" s="74">
        <f t="shared" si="13"/>
        <v>0</v>
      </c>
      <c r="V10" s="73">
        <f t="shared" si="4"/>
        <v>0</v>
      </c>
      <c r="W10" s="62">
        <v>0</v>
      </c>
      <c r="X10" s="75">
        <f t="shared" si="5"/>
        <v>0</v>
      </c>
      <c r="Y10" s="62">
        <v>1627275</v>
      </c>
      <c r="Z10" s="75">
        <f t="shared" si="6"/>
        <v>0.36977934000000001</v>
      </c>
      <c r="AA10" s="76">
        <f t="shared" si="7"/>
        <v>0.91809119000000006</v>
      </c>
      <c r="AB10" s="77">
        <f t="shared" si="8"/>
        <v>4400665</v>
      </c>
      <c r="AC10" s="62">
        <v>5930419</v>
      </c>
      <c r="AD10" s="78">
        <f t="shared" si="14"/>
        <v>0.42596352909336521</v>
      </c>
      <c r="AE10" s="227"/>
      <c r="AF10" s="227"/>
    </row>
    <row r="11" spans="1:32" x14ac:dyDescent="0.55000000000000004">
      <c r="A11" s="40">
        <v>10115</v>
      </c>
      <c r="B11" s="71" t="s">
        <v>223</v>
      </c>
      <c r="C11" s="62">
        <v>97695137</v>
      </c>
      <c r="D11" s="62">
        <v>8196622</v>
      </c>
      <c r="E11" s="72">
        <f t="shared" si="9"/>
        <v>8.3900000000000002E-2</v>
      </c>
      <c r="F11" s="73">
        <f t="shared" si="0"/>
        <v>0.59127439999999998</v>
      </c>
      <c r="G11" s="62">
        <v>266225</v>
      </c>
      <c r="H11" s="62">
        <v>1251257</v>
      </c>
      <c r="I11" s="74">
        <f t="shared" si="10"/>
        <v>4.7</v>
      </c>
      <c r="J11" s="73">
        <f t="shared" si="1"/>
        <v>7.9431150000000006E-2</v>
      </c>
      <c r="K11" s="62">
        <v>239727</v>
      </c>
      <c r="L11" s="62">
        <v>2111657</v>
      </c>
      <c r="M11" s="74">
        <f t="shared" si="11"/>
        <v>8.8086000000000002</v>
      </c>
      <c r="N11" s="73">
        <f t="shared" si="2"/>
        <v>0.33934320000000001</v>
      </c>
      <c r="O11" s="62">
        <v>167809</v>
      </c>
      <c r="P11" s="62">
        <v>858074</v>
      </c>
      <c r="Q11" s="74">
        <f t="shared" si="12"/>
        <v>5.1134000000000004</v>
      </c>
      <c r="R11" s="73">
        <f t="shared" si="3"/>
        <v>5.4398519999999999E-2</v>
      </c>
      <c r="S11" s="62">
        <v>0</v>
      </c>
      <c r="T11" s="62">
        <v>0</v>
      </c>
      <c r="U11" s="74">
        <f t="shared" si="13"/>
        <v>0</v>
      </c>
      <c r="V11" s="73">
        <f t="shared" si="4"/>
        <v>0</v>
      </c>
      <c r="W11" s="62">
        <v>0</v>
      </c>
      <c r="X11" s="75">
        <f t="shared" si="5"/>
        <v>0</v>
      </c>
      <c r="Y11" s="62">
        <v>4561590</v>
      </c>
      <c r="Z11" s="75">
        <f t="shared" si="6"/>
        <v>0.26865752999999998</v>
      </c>
      <c r="AA11" s="76">
        <f t="shared" si="7"/>
        <v>1.3331047999999999</v>
      </c>
      <c r="AB11" s="77">
        <f t="shared" si="8"/>
        <v>16979200</v>
      </c>
      <c r="AC11" s="62">
        <v>34913058</v>
      </c>
      <c r="AD11" s="78">
        <f t="shared" si="14"/>
        <v>0.32720102486193603</v>
      </c>
      <c r="AE11" s="227"/>
      <c r="AF11" s="227"/>
    </row>
    <row r="12" spans="1:32" x14ac:dyDescent="0.55000000000000004">
      <c r="A12" s="40">
        <v>11163</v>
      </c>
      <c r="B12" s="71" t="s">
        <v>224</v>
      </c>
      <c r="C12" s="62">
        <v>31202722</v>
      </c>
      <c r="D12" s="62">
        <v>1958949</v>
      </c>
      <c r="E12" s="72">
        <f t="shared" si="9"/>
        <v>6.2799999999999995E-2</v>
      </c>
      <c r="F12" s="73">
        <f t="shared" si="0"/>
        <v>0.50647699000000002</v>
      </c>
      <c r="G12" s="62">
        <v>84032</v>
      </c>
      <c r="H12" s="62">
        <v>297855</v>
      </c>
      <c r="I12" s="74">
        <f t="shared" si="10"/>
        <v>3.5445000000000002</v>
      </c>
      <c r="J12" s="73">
        <f t="shared" si="1"/>
        <v>6.8279619999999999E-2</v>
      </c>
      <c r="K12" s="62">
        <v>44883</v>
      </c>
      <c r="L12" s="62">
        <v>267000</v>
      </c>
      <c r="M12" s="74">
        <f t="shared" si="11"/>
        <v>5.9488000000000003</v>
      </c>
      <c r="N12" s="73">
        <f t="shared" si="2"/>
        <v>0.1387504</v>
      </c>
      <c r="O12" s="62">
        <v>44883</v>
      </c>
      <c r="P12" s="62">
        <v>234415</v>
      </c>
      <c r="Q12" s="74">
        <f t="shared" si="12"/>
        <v>5.2228000000000003</v>
      </c>
      <c r="R12" s="73">
        <f t="shared" si="3"/>
        <v>7.2681880000000004E-2</v>
      </c>
      <c r="S12" s="62">
        <v>0</v>
      </c>
      <c r="T12" s="62">
        <v>0</v>
      </c>
      <c r="U12" s="74">
        <f t="shared" si="13"/>
        <v>0</v>
      </c>
      <c r="V12" s="73">
        <f t="shared" si="4"/>
        <v>0</v>
      </c>
      <c r="W12" s="62">
        <v>0</v>
      </c>
      <c r="X12" s="75">
        <f t="shared" si="5"/>
        <v>0</v>
      </c>
      <c r="Y12" s="62">
        <v>787730</v>
      </c>
      <c r="Z12" s="75">
        <f t="shared" si="6"/>
        <v>0.22214928</v>
      </c>
      <c r="AA12" s="76">
        <f t="shared" si="7"/>
        <v>1.00833817</v>
      </c>
      <c r="AB12" s="77">
        <f t="shared" si="8"/>
        <v>3545949</v>
      </c>
      <c r="AC12" s="62">
        <v>9080803</v>
      </c>
      <c r="AD12" s="78">
        <f t="shared" si="14"/>
        <v>0.28082827634533408</v>
      </c>
      <c r="AE12" s="227"/>
      <c r="AF12" s="227"/>
    </row>
    <row r="13" spans="1:32" x14ac:dyDescent="0.55000000000000004">
      <c r="A13" s="40">
        <v>3632</v>
      </c>
      <c r="B13" s="71" t="s">
        <v>225</v>
      </c>
      <c r="C13" s="62">
        <v>236155259</v>
      </c>
      <c r="D13" s="62">
        <v>12849912</v>
      </c>
      <c r="E13" s="72">
        <f t="shared" si="9"/>
        <v>5.4399999999999997E-2</v>
      </c>
      <c r="F13" s="73">
        <f t="shared" si="0"/>
        <v>0.22769086999999999</v>
      </c>
      <c r="G13" s="62">
        <v>1222644</v>
      </c>
      <c r="H13" s="62">
        <v>5617561</v>
      </c>
      <c r="I13" s="74">
        <f t="shared" si="10"/>
        <v>4.5945999999999998</v>
      </c>
      <c r="J13" s="73">
        <f t="shared" si="1"/>
        <v>0.13206762</v>
      </c>
      <c r="K13" s="62">
        <v>22566</v>
      </c>
      <c r="L13" s="62">
        <v>64549</v>
      </c>
      <c r="M13" s="74">
        <f t="shared" si="11"/>
        <v>2.8605</v>
      </c>
      <c r="N13" s="73">
        <f t="shared" si="2"/>
        <v>1.2761300000000001E-3</v>
      </c>
      <c r="O13" s="62">
        <v>10847</v>
      </c>
      <c r="P13" s="62">
        <v>52498</v>
      </c>
      <c r="Q13" s="74">
        <f t="shared" si="12"/>
        <v>4.8399000000000001</v>
      </c>
      <c r="R13" s="73">
        <f t="shared" si="3"/>
        <v>1.1934000000000001E-3</v>
      </c>
      <c r="S13" s="62">
        <v>0</v>
      </c>
      <c r="T13" s="62">
        <v>0</v>
      </c>
      <c r="U13" s="74">
        <f t="shared" si="13"/>
        <v>0</v>
      </c>
      <c r="V13" s="73">
        <f t="shared" si="4"/>
        <v>0</v>
      </c>
      <c r="W13" s="62">
        <v>8180844</v>
      </c>
      <c r="X13" s="75">
        <f t="shared" si="5"/>
        <v>0.18253042</v>
      </c>
      <c r="Y13" s="62">
        <v>18053709</v>
      </c>
      <c r="Z13" s="75">
        <f t="shared" si="6"/>
        <v>0.40281307999999999</v>
      </c>
      <c r="AA13" s="76">
        <f t="shared" si="7"/>
        <v>0.94757151999999989</v>
      </c>
      <c r="AB13" s="77">
        <f t="shared" si="8"/>
        <v>44819073</v>
      </c>
      <c r="AC13" s="62">
        <v>99325889</v>
      </c>
      <c r="AD13" s="78">
        <f t="shared" si="14"/>
        <v>0.31093055475639864</v>
      </c>
      <c r="AE13" s="227"/>
      <c r="AF13" s="227"/>
    </row>
    <row r="14" spans="1:32" x14ac:dyDescent="0.55000000000000004">
      <c r="A14" s="40">
        <v>10298</v>
      </c>
      <c r="B14" s="71" t="s">
        <v>226</v>
      </c>
      <c r="C14" s="62">
        <v>19203058</v>
      </c>
      <c r="D14" s="62">
        <v>1326683</v>
      </c>
      <c r="E14" s="72">
        <f t="shared" si="9"/>
        <v>6.9099999999999995E-2</v>
      </c>
      <c r="F14" s="73">
        <f t="shared" si="0"/>
        <v>0.29825406999999998</v>
      </c>
      <c r="G14" s="62">
        <v>34750</v>
      </c>
      <c r="H14" s="62">
        <v>148127</v>
      </c>
      <c r="I14" s="74">
        <f t="shared" si="10"/>
        <v>4.2625999999999999</v>
      </c>
      <c r="J14" s="73">
        <f t="shared" si="1"/>
        <v>3.2270390000000003E-2</v>
      </c>
      <c r="K14" s="62">
        <v>44657</v>
      </c>
      <c r="L14" s="62">
        <v>335621</v>
      </c>
      <c r="M14" s="74">
        <f t="shared" si="11"/>
        <v>7.5155000000000003</v>
      </c>
      <c r="N14" s="73">
        <f t="shared" si="2"/>
        <v>0.17412648999999999</v>
      </c>
      <c r="O14" s="62">
        <v>0</v>
      </c>
      <c r="P14" s="62">
        <v>0</v>
      </c>
      <c r="Q14" s="74">
        <f t="shared" si="12"/>
        <v>0</v>
      </c>
      <c r="R14" s="73">
        <f t="shared" si="3"/>
        <v>0</v>
      </c>
      <c r="S14" s="62">
        <v>0</v>
      </c>
      <c r="T14" s="62">
        <v>0</v>
      </c>
      <c r="U14" s="74">
        <f t="shared" si="13"/>
        <v>0</v>
      </c>
      <c r="V14" s="73">
        <f t="shared" si="4"/>
        <v>0</v>
      </c>
      <c r="W14" s="62">
        <v>0</v>
      </c>
      <c r="X14" s="75">
        <f t="shared" si="5"/>
        <v>0</v>
      </c>
      <c r="Y14" s="62">
        <v>2676695</v>
      </c>
      <c r="Z14" s="75">
        <f t="shared" si="6"/>
        <v>0.59652771000000004</v>
      </c>
      <c r="AA14" s="76">
        <f t="shared" si="7"/>
        <v>1.10117866</v>
      </c>
      <c r="AB14" s="77">
        <f t="shared" si="8"/>
        <v>4487126</v>
      </c>
      <c r="AC14" s="62">
        <v>3346406</v>
      </c>
      <c r="AD14" s="78">
        <f t="shared" si="14"/>
        <v>0.57281006830635273</v>
      </c>
      <c r="AE14" s="227"/>
      <c r="AF14" s="227"/>
    </row>
    <row r="15" spans="1:32" x14ac:dyDescent="0.55000000000000004">
      <c r="A15" s="40">
        <v>3630</v>
      </c>
      <c r="B15" s="71" t="s">
        <v>227</v>
      </c>
      <c r="C15" s="62">
        <v>38088224</v>
      </c>
      <c r="D15" s="62">
        <v>3593147</v>
      </c>
      <c r="E15" s="72">
        <f t="shared" si="9"/>
        <v>9.4299999999999995E-2</v>
      </c>
      <c r="F15" s="73">
        <f t="shared" si="0"/>
        <v>1.0810020300000001</v>
      </c>
      <c r="G15" s="62">
        <v>85682</v>
      </c>
      <c r="H15" s="62">
        <v>325331</v>
      </c>
      <c r="I15" s="74">
        <f t="shared" si="10"/>
        <v>3.7970000000000002</v>
      </c>
      <c r="J15" s="73">
        <f t="shared" si="1"/>
        <v>6.1909909999999999E-2</v>
      </c>
      <c r="K15" s="62">
        <v>6564</v>
      </c>
      <c r="L15" s="62">
        <v>47534</v>
      </c>
      <c r="M15" s="74">
        <f t="shared" si="11"/>
        <v>7.2416</v>
      </c>
      <c r="N15" s="73">
        <f t="shared" si="2"/>
        <v>2.3302119999999999E-2</v>
      </c>
      <c r="O15" s="62">
        <v>6564</v>
      </c>
      <c r="P15" s="62">
        <v>62630</v>
      </c>
      <c r="Q15" s="74">
        <f t="shared" si="12"/>
        <v>9.5413999999999994</v>
      </c>
      <c r="R15" s="73">
        <f t="shared" si="3"/>
        <v>2.7491270000000002E-2</v>
      </c>
      <c r="S15" s="62">
        <v>0</v>
      </c>
      <c r="T15" s="62">
        <v>0</v>
      </c>
      <c r="U15" s="74">
        <f t="shared" si="13"/>
        <v>0</v>
      </c>
      <c r="V15" s="73">
        <f t="shared" si="4"/>
        <v>0</v>
      </c>
      <c r="W15" s="62">
        <v>0</v>
      </c>
      <c r="X15" s="75">
        <f t="shared" si="5"/>
        <v>0</v>
      </c>
      <c r="Y15" s="62">
        <v>547185</v>
      </c>
      <c r="Z15" s="75">
        <f t="shared" si="6"/>
        <v>0.11958166000000001</v>
      </c>
      <c r="AA15" s="76">
        <f t="shared" si="7"/>
        <v>1.3132869900000002</v>
      </c>
      <c r="AB15" s="77">
        <f t="shared" si="8"/>
        <v>4575827</v>
      </c>
      <c r="AC15" s="62">
        <v>16928162</v>
      </c>
      <c r="AD15" s="78">
        <f t="shared" si="14"/>
        <v>0.21278968288162722</v>
      </c>
      <c r="AE15" s="227"/>
      <c r="AF15" s="227"/>
    </row>
    <row r="16" spans="1:32" x14ac:dyDescent="0.55000000000000004">
      <c r="A16" s="40">
        <v>3631</v>
      </c>
      <c r="B16" s="71" t="s">
        <v>228</v>
      </c>
      <c r="C16" s="62">
        <v>27239848</v>
      </c>
      <c r="D16" s="62">
        <v>1784190</v>
      </c>
      <c r="E16" s="72">
        <f t="shared" si="9"/>
        <v>6.5500000000000003E-2</v>
      </c>
      <c r="F16" s="73">
        <f t="shared" si="0"/>
        <v>0.52201302999999999</v>
      </c>
      <c r="G16" s="62">
        <v>48488</v>
      </c>
      <c r="H16" s="62">
        <v>251129</v>
      </c>
      <c r="I16" s="74">
        <f t="shared" si="10"/>
        <v>5.1791999999999998</v>
      </c>
      <c r="J16" s="73">
        <f t="shared" si="1"/>
        <v>9.126679E-2</v>
      </c>
      <c r="K16" s="62">
        <v>42212</v>
      </c>
      <c r="L16" s="62">
        <v>249578</v>
      </c>
      <c r="M16" s="74">
        <f t="shared" si="11"/>
        <v>5.9124999999999996</v>
      </c>
      <c r="N16" s="73">
        <f t="shared" si="2"/>
        <v>0.13985986</v>
      </c>
      <c r="O16" s="62">
        <v>43379</v>
      </c>
      <c r="P16" s="62">
        <v>410028</v>
      </c>
      <c r="Q16" s="74">
        <f t="shared" si="12"/>
        <v>9.4521999999999995</v>
      </c>
      <c r="R16" s="73">
        <f t="shared" si="3"/>
        <v>0.24963515999999999</v>
      </c>
      <c r="S16" s="62">
        <v>0</v>
      </c>
      <c r="T16" s="62">
        <v>0</v>
      </c>
      <c r="U16" s="74">
        <f t="shared" si="13"/>
        <v>0</v>
      </c>
      <c r="V16" s="73">
        <f t="shared" si="4"/>
        <v>0</v>
      </c>
      <c r="W16" s="62">
        <v>0</v>
      </c>
      <c r="X16" s="75">
        <f t="shared" si="5"/>
        <v>0</v>
      </c>
      <c r="Y16" s="62">
        <v>573289</v>
      </c>
      <c r="Z16" s="75">
        <f t="shared" si="6"/>
        <v>0.17541354000000001</v>
      </c>
      <c r="AA16" s="76">
        <f t="shared" si="7"/>
        <v>1.1781883800000001</v>
      </c>
      <c r="AB16" s="77">
        <f t="shared" si="8"/>
        <v>3268214</v>
      </c>
      <c r="AC16" s="62">
        <v>7297337</v>
      </c>
      <c r="AD16" s="78">
        <f t="shared" si="14"/>
        <v>0.30932736021055601</v>
      </c>
      <c r="AE16" s="227"/>
      <c r="AF16" s="227"/>
    </row>
    <row r="17" spans="1:32" x14ac:dyDescent="0.55000000000000004">
      <c r="A17" s="40">
        <v>42295</v>
      </c>
      <c r="B17" s="71" t="s">
        <v>229</v>
      </c>
      <c r="C17" s="62">
        <v>5960357</v>
      </c>
      <c r="D17" s="62">
        <v>273815</v>
      </c>
      <c r="E17" s="72">
        <f>IF(C17=0,0,ROUND(D17/C17,4))</f>
        <v>4.5900000000000003E-2</v>
      </c>
      <c r="F17" s="73">
        <f t="shared" si="0"/>
        <v>0.64219148999999998</v>
      </c>
      <c r="G17" s="62">
        <v>0</v>
      </c>
      <c r="H17" s="62">
        <v>0</v>
      </c>
      <c r="I17" s="74">
        <f>IF(G17=0,0,ROUND(H17/G17,4))</f>
        <v>0</v>
      </c>
      <c r="J17" s="73">
        <f t="shared" si="1"/>
        <v>0</v>
      </c>
      <c r="K17" s="62">
        <v>1863</v>
      </c>
      <c r="L17" s="62">
        <v>9997</v>
      </c>
      <c r="M17" s="74">
        <f>IF(K17=0,0,ROUND(L17/K17,4))</f>
        <v>5.3661000000000003</v>
      </c>
      <c r="N17" s="73">
        <f t="shared" si="2"/>
        <v>5.8162060000000002E-2</v>
      </c>
      <c r="O17" s="62">
        <v>469</v>
      </c>
      <c r="P17" s="62">
        <v>1891</v>
      </c>
      <c r="Q17" s="74">
        <f>IF(O17=0,0,ROUND(P17/O17,4))</f>
        <v>4.032</v>
      </c>
      <c r="R17" s="73">
        <f t="shared" si="3"/>
        <v>5.61781E-3</v>
      </c>
      <c r="S17" s="62">
        <v>0</v>
      </c>
      <c r="T17" s="62">
        <v>0</v>
      </c>
      <c r="U17" s="74">
        <f>IF(S17=0,0,ROUND(T17/S17,4))</f>
        <v>0</v>
      </c>
      <c r="V17" s="73">
        <f t="shared" si="4"/>
        <v>0</v>
      </c>
      <c r="W17" s="62">
        <v>0</v>
      </c>
      <c r="X17" s="75">
        <f>ROUND(W17/$AB17,8)</f>
        <v>0</v>
      </c>
      <c r="Y17" s="62">
        <v>0</v>
      </c>
      <c r="Z17" s="75">
        <f>ROUND(Y17/$AB17,8)</f>
        <v>0</v>
      </c>
      <c r="AA17" s="76">
        <f>F17+J17+N17+R17+V17+X17+Z17</f>
        <v>0.70597135999999994</v>
      </c>
      <c r="AB17" s="77">
        <f>D17+H17+L17+P17+T17+W17+Y17</f>
        <v>285703</v>
      </c>
      <c r="AC17" s="62">
        <v>2650067</v>
      </c>
      <c r="AD17" s="78">
        <f t="shared" si="14"/>
        <v>9.7317909781760831E-2</v>
      </c>
      <c r="AE17" s="227"/>
      <c r="AF17" s="227"/>
    </row>
    <row r="18" spans="1:32" x14ac:dyDescent="0.55000000000000004">
      <c r="A18" s="40">
        <v>11161</v>
      </c>
      <c r="B18" s="71" t="s">
        <v>230</v>
      </c>
      <c r="C18" s="62">
        <v>42597801</v>
      </c>
      <c r="D18" s="62">
        <v>3231199</v>
      </c>
      <c r="E18" s="72">
        <f t="shared" si="9"/>
        <v>7.5899999999999995E-2</v>
      </c>
      <c r="F18" s="73">
        <f t="shared" si="0"/>
        <v>0.56440175999999997</v>
      </c>
      <c r="G18" s="62">
        <v>65450</v>
      </c>
      <c r="H18" s="62">
        <v>525033</v>
      </c>
      <c r="I18" s="74">
        <f t="shared" si="10"/>
        <v>8.0219000000000005</v>
      </c>
      <c r="J18" s="73">
        <f t="shared" si="1"/>
        <v>0.15226532000000001</v>
      </c>
      <c r="K18" s="62">
        <v>80917</v>
      </c>
      <c r="L18" s="62">
        <v>548314</v>
      </c>
      <c r="M18" s="74">
        <f t="shared" si="11"/>
        <v>6.7763</v>
      </c>
      <c r="N18" s="73">
        <f t="shared" si="2"/>
        <v>0.18143519</v>
      </c>
      <c r="O18" s="62">
        <v>42149</v>
      </c>
      <c r="P18" s="62">
        <v>269112</v>
      </c>
      <c r="Q18" s="74">
        <f t="shared" si="12"/>
        <v>6.3848000000000003</v>
      </c>
      <c r="R18" s="73">
        <f t="shared" si="3"/>
        <v>5.7019529999999999E-2</v>
      </c>
      <c r="S18" s="62">
        <v>0</v>
      </c>
      <c r="T18" s="62">
        <v>0</v>
      </c>
      <c r="U18" s="74">
        <f t="shared" si="13"/>
        <v>0</v>
      </c>
      <c r="V18" s="73">
        <f t="shared" si="4"/>
        <v>0</v>
      </c>
      <c r="W18" s="62">
        <v>0</v>
      </c>
      <c r="X18" s="75">
        <f t="shared" si="5"/>
        <v>0</v>
      </c>
      <c r="Y18" s="62">
        <v>1769807</v>
      </c>
      <c r="Z18" s="75">
        <f t="shared" si="6"/>
        <v>0.27899689</v>
      </c>
      <c r="AA18" s="76">
        <f t="shared" si="7"/>
        <v>1.2341186900000001</v>
      </c>
      <c r="AB18" s="77">
        <f t="shared" si="8"/>
        <v>6343465</v>
      </c>
      <c r="AC18" s="62">
        <v>5073446</v>
      </c>
      <c r="AD18" s="78">
        <f t="shared" si="14"/>
        <v>0.55562007972208949</v>
      </c>
      <c r="AE18" s="227"/>
      <c r="AF18" s="227"/>
    </row>
    <row r="19" spans="1:32" x14ac:dyDescent="0.55000000000000004">
      <c r="A19" s="40">
        <v>3639</v>
      </c>
      <c r="B19" s="71" t="s">
        <v>231</v>
      </c>
      <c r="C19" s="62">
        <v>28089113</v>
      </c>
      <c r="D19" s="62">
        <v>2057399</v>
      </c>
      <c r="E19" s="72">
        <f t="shared" si="9"/>
        <v>7.3200000000000001E-2</v>
      </c>
      <c r="F19" s="73">
        <f t="shared" si="0"/>
        <v>0.57356815999999999</v>
      </c>
      <c r="G19" s="62">
        <v>4629</v>
      </c>
      <c r="H19" s="62">
        <v>26535</v>
      </c>
      <c r="I19" s="74">
        <f t="shared" si="10"/>
        <v>5.7323000000000004</v>
      </c>
      <c r="J19" s="73">
        <f t="shared" si="1"/>
        <v>9.1003400000000002E-3</v>
      </c>
      <c r="K19" s="62">
        <v>109375</v>
      </c>
      <c r="L19" s="62">
        <v>390400</v>
      </c>
      <c r="M19" s="74">
        <f t="shared" si="11"/>
        <v>3.5693999999999999</v>
      </c>
      <c r="N19" s="73">
        <f t="shared" si="2"/>
        <v>0.11261005</v>
      </c>
      <c r="O19" s="62">
        <v>81087</v>
      </c>
      <c r="P19" s="62">
        <v>298372</v>
      </c>
      <c r="Q19" s="74">
        <f t="shared" si="12"/>
        <v>3.6797</v>
      </c>
      <c r="R19" s="73">
        <f t="shared" si="3"/>
        <v>6.0295689999999999E-2</v>
      </c>
      <c r="S19" s="62">
        <v>0</v>
      </c>
      <c r="T19" s="62">
        <v>0</v>
      </c>
      <c r="U19" s="74">
        <f t="shared" si="13"/>
        <v>0</v>
      </c>
      <c r="V19" s="73">
        <f t="shared" si="4"/>
        <v>0</v>
      </c>
      <c r="W19" s="62">
        <v>0</v>
      </c>
      <c r="X19" s="75">
        <f t="shared" si="5"/>
        <v>0</v>
      </c>
      <c r="Y19" s="62">
        <v>1060428</v>
      </c>
      <c r="Z19" s="75">
        <f t="shared" si="6"/>
        <v>0.27664778000000001</v>
      </c>
      <c r="AA19" s="76">
        <f t="shared" si="7"/>
        <v>1.0322220200000001</v>
      </c>
      <c r="AB19" s="77">
        <f t="shared" si="8"/>
        <v>3833134</v>
      </c>
      <c r="AC19" s="62">
        <v>8994106</v>
      </c>
      <c r="AD19" s="78">
        <f t="shared" si="14"/>
        <v>0.29882765115488602</v>
      </c>
      <c r="AE19" s="227"/>
      <c r="AF19" s="227"/>
    </row>
    <row r="20" spans="1:32" x14ac:dyDescent="0.55000000000000004">
      <c r="A20" s="40">
        <v>42485</v>
      </c>
      <c r="B20" s="71" t="s">
        <v>232</v>
      </c>
      <c r="C20" s="62">
        <v>15386114</v>
      </c>
      <c r="D20" s="62">
        <v>1412281</v>
      </c>
      <c r="E20" s="72">
        <f>IF(C20=0,0,ROUND(D20/C20,4))</f>
        <v>9.1800000000000007E-2</v>
      </c>
      <c r="F20" s="73">
        <f t="shared" si="0"/>
        <v>0.93405506999999999</v>
      </c>
      <c r="G20" s="62">
        <v>19561</v>
      </c>
      <c r="H20" s="62">
        <v>131065</v>
      </c>
      <c r="I20" s="74">
        <f>IF(G20=0,0,ROUND(H20/G20,4))</f>
        <v>6.7003000000000004</v>
      </c>
      <c r="J20" s="73">
        <f t="shared" si="1"/>
        <v>9.9390290000000006E-2</v>
      </c>
      <c r="K20" s="62">
        <v>24242</v>
      </c>
      <c r="L20" s="62">
        <v>171203</v>
      </c>
      <c r="M20" s="74">
        <f t="shared" si="11"/>
        <v>7.0621999999999998</v>
      </c>
      <c r="N20" s="73">
        <f t="shared" si="2"/>
        <v>0.18483183</v>
      </c>
      <c r="O20" s="62">
        <v>9415</v>
      </c>
      <c r="P20" s="62">
        <v>66491</v>
      </c>
      <c r="Q20" s="74">
        <f t="shared" si="12"/>
        <v>7.0621999999999998</v>
      </c>
      <c r="R20" s="73">
        <f t="shared" si="3"/>
        <v>4.8783390000000003E-2</v>
      </c>
      <c r="S20" s="62">
        <v>0</v>
      </c>
      <c r="T20" s="62">
        <v>0</v>
      </c>
      <c r="U20" s="74">
        <f t="shared" si="13"/>
        <v>0</v>
      </c>
      <c r="V20" s="73">
        <f t="shared" si="4"/>
        <v>0</v>
      </c>
      <c r="W20" s="62">
        <v>0</v>
      </c>
      <c r="X20" s="75">
        <f>ROUND(W20/$AB20,8)</f>
        <v>0</v>
      </c>
      <c r="Y20" s="62">
        <v>245246</v>
      </c>
      <c r="Z20" s="75">
        <f>ROUND(Y20/$AB20,8)</f>
        <v>0.12103227</v>
      </c>
      <c r="AA20" s="76">
        <f>F20+J20+N20+R20+V20+X20+Z20</f>
        <v>1.38809285</v>
      </c>
      <c r="AB20" s="77">
        <f>D20+H20+L20+P20+T20+W20+Y20</f>
        <v>2026286</v>
      </c>
      <c r="AC20" s="62">
        <v>6871900</v>
      </c>
      <c r="AD20" s="78">
        <f t="shared" si="14"/>
        <v>0.22771899800700951</v>
      </c>
      <c r="AE20" s="227"/>
      <c r="AF20" s="227"/>
    </row>
    <row r="21" spans="1:32" x14ac:dyDescent="0.55000000000000004">
      <c r="A21" s="40">
        <v>9651</v>
      </c>
      <c r="B21" s="71" t="s">
        <v>233</v>
      </c>
      <c r="C21" s="62">
        <v>21881273</v>
      </c>
      <c r="D21" s="62">
        <v>1426811</v>
      </c>
      <c r="E21" s="72">
        <f t="shared" si="9"/>
        <v>6.5199999999999994E-2</v>
      </c>
      <c r="F21" s="73">
        <f t="shared" si="0"/>
        <v>0.62323622999999995</v>
      </c>
      <c r="G21" s="62">
        <v>31640</v>
      </c>
      <c r="H21" s="62">
        <v>108426</v>
      </c>
      <c r="I21" s="74">
        <f t="shared" si="10"/>
        <v>3.4268999999999998</v>
      </c>
      <c r="J21" s="73">
        <f t="shared" si="1"/>
        <v>3.9104600000000003E-2</v>
      </c>
      <c r="K21" s="62">
        <v>37361</v>
      </c>
      <c r="L21" s="62">
        <v>448600</v>
      </c>
      <c r="M21" s="74">
        <f t="shared" si="11"/>
        <v>12.007199999999999</v>
      </c>
      <c r="N21" s="73">
        <f t="shared" si="2"/>
        <v>0.76569593999999996</v>
      </c>
      <c r="O21" s="62">
        <v>31262</v>
      </c>
      <c r="P21" s="62">
        <v>195231</v>
      </c>
      <c r="Q21" s="74">
        <f t="shared" si="12"/>
        <v>6.2450000000000001</v>
      </c>
      <c r="R21" s="73">
        <f t="shared" si="3"/>
        <v>0.11778236</v>
      </c>
      <c r="S21" s="62">
        <v>0</v>
      </c>
      <c r="T21" s="62">
        <v>0</v>
      </c>
      <c r="U21" s="74">
        <f t="shared" si="13"/>
        <v>0</v>
      </c>
      <c r="V21" s="73">
        <f t="shared" si="4"/>
        <v>0</v>
      </c>
      <c r="W21" s="62">
        <v>0</v>
      </c>
      <c r="X21" s="75">
        <f t="shared" si="5"/>
        <v>0</v>
      </c>
      <c r="Y21" s="62">
        <v>0</v>
      </c>
      <c r="Z21" s="75">
        <f t="shared" si="6"/>
        <v>0</v>
      </c>
      <c r="AA21" s="76">
        <f t="shared" si="7"/>
        <v>1.5458191299999999</v>
      </c>
      <c r="AB21" s="77">
        <f t="shared" si="8"/>
        <v>2179068</v>
      </c>
      <c r="AC21" s="62">
        <v>14764712</v>
      </c>
      <c r="AD21" s="78">
        <f t="shared" si="14"/>
        <v>0.12860577745933907</v>
      </c>
      <c r="AE21" s="227"/>
      <c r="AF21" s="227"/>
    </row>
    <row r="22" spans="1:32" x14ac:dyDescent="0.55000000000000004">
      <c r="A22" s="40">
        <v>3665</v>
      </c>
      <c r="B22" s="71" t="s">
        <v>234</v>
      </c>
      <c r="C22" s="62">
        <v>34456427</v>
      </c>
      <c r="D22" s="62">
        <v>1962644</v>
      </c>
      <c r="E22" s="72">
        <f t="shared" si="9"/>
        <v>5.7000000000000002E-2</v>
      </c>
      <c r="F22" s="73">
        <f t="shared" si="0"/>
        <v>0.36396610000000001</v>
      </c>
      <c r="G22" s="62">
        <v>152577</v>
      </c>
      <c r="H22" s="62">
        <v>415482</v>
      </c>
      <c r="I22" s="74">
        <f t="shared" si="10"/>
        <v>2.7231000000000001</v>
      </c>
      <c r="J22" s="73">
        <f t="shared" si="1"/>
        <v>5.782487E-2</v>
      </c>
      <c r="K22" s="62">
        <v>152623</v>
      </c>
      <c r="L22" s="62">
        <v>826856</v>
      </c>
      <c r="M22" s="74">
        <f t="shared" si="11"/>
        <v>5.4176000000000002</v>
      </c>
      <c r="N22" s="73">
        <f t="shared" si="2"/>
        <v>0.30924170000000001</v>
      </c>
      <c r="O22" s="62">
        <v>152623</v>
      </c>
      <c r="P22" s="62">
        <v>389109</v>
      </c>
      <c r="Q22" s="74">
        <f t="shared" si="12"/>
        <v>2.5495000000000001</v>
      </c>
      <c r="R22" s="73">
        <f t="shared" si="3"/>
        <v>4.6540520000000002E-2</v>
      </c>
      <c r="S22" s="62">
        <v>0</v>
      </c>
      <c r="T22" s="62">
        <v>0</v>
      </c>
      <c r="U22" s="74">
        <f t="shared" si="13"/>
        <v>0</v>
      </c>
      <c r="V22" s="73">
        <f t="shared" si="4"/>
        <v>0</v>
      </c>
      <c r="W22" s="62">
        <v>893000</v>
      </c>
      <c r="X22" s="75">
        <f t="shared" si="5"/>
        <v>0.19901535000000001</v>
      </c>
      <c r="Y22" s="62">
        <v>0</v>
      </c>
      <c r="Z22" s="75">
        <f t="shared" si="6"/>
        <v>0</v>
      </c>
      <c r="AA22" s="76">
        <f t="shared" si="7"/>
        <v>0.97658854000000006</v>
      </c>
      <c r="AB22" s="77">
        <f t="shared" si="8"/>
        <v>4487091</v>
      </c>
      <c r="AC22" s="62">
        <v>10762353</v>
      </c>
      <c r="AD22" s="78">
        <f t="shared" si="14"/>
        <v>0.29424620333698726</v>
      </c>
      <c r="AE22" s="227"/>
      <c r="AF22" s="227"/>
    </row>
    <row r="23" spans="1:32" x14ac:dyDescent="0.55000000000000004">
      <c r="A23" s="40">
        <v>3565</v>
      </c>
      <c r="B23" s="71" t="s">
        <v>235</v>
      </c>
      <c r="C23" s="62">
        <v>39592641</v>
      </c>
      <c r="D23" s="62">
        <v>2716614</v>
      </c>
      <c r="E23" s="72">
        <f>IF(C23=0,0,ROUND(D23/C23,4))</f>
        <v>6.8599999999999994E-2</v>
      </c>
      <c r="F23" s="73">
        <f t="shared" si="0"/>
        <v>0.50499145999999995</v>
      </c>
      <c r="G23" s="62">
        <v>81948</v>
      </c>
      <c r="H23" s="62">
        <v>351498</v>
      </c>
      <c r="I23" s="74">
        <f>IF(G23=0,0,ROUND(H23/G23,4))</f>
        <v>4.2892999999999999</v>
      </c>
      <c r="J23" s="73">
        <f t="shared" si="1"/>
        <v>6.4179379999999994E-2</v>
      </c>
      <c r="K23" s="62">
        <v>2416268</v>
      </c>
      <c r="L23" s="62">
        <v>248152</v>
      </c>
      <c r="M23" s="74">
        <f>IF(K23=0,0,ROUND(L23/K23,4))</f>
        <v>0.1027</v>
      </c>
      <c r="N23" s="73">
        <f t="shared" si="2"/>
        <v>1.4653299999999999E-3</v>
      </c>
      <c r="O23" s="62">
        <v>54332</v>
      </c>
      <c r="P23" s="62">
        <v>450226</v>
      </c>
      <c r="Q23" s="74">
        <f>IF(O23=0,0,ROUND(P23/O23,4))</f>
        <v>8.2866</v>
      </c>
      <c r="R23" s="73">
        <f t="shared" si="3"/>
        <v>0.14578046</v>
      </c>
      <c r="S23" s="62">
        <v>0</v>
      </c>
      <c r="T23" s="62">
        <v>0</v>
      </c>
      <c r="U23" s="74">
        <f>IF(S23=0,0,ROUND(T23/S23,4))</f>
        <v>0</v>
      </c>
      <c r="V23" s="73">
        <f t="shared" si="4"/>
        <v>0</v>
      </c>
      <c r="W23" s="62">
        <v>726700</v>
      </c>
      <c r="X23" s="75">
        <f t="shared" si="5"/>
        <v>0.13488937000000001</v>
      </c>
      <c r="Y23" s="62">
        <v>894188</v>
      </c>
      <c r="Z23" s="75">
        <f t="shared" si="6"/>
        <v>0.16597833000000001</v>
      </c>
      <c r="AA23" s="76">
        <f t="shared" si="7"/>
        <v>1.0172843300000001</v>
      </c>
      <c r="AB23" s="77">
        <f t="shared" si="8"/>
        <v>5387378</v>
      </c>
      <c r="AC23" s="62">
        <v>9719987</v>
      </c>
      <c r="AD23" s="78">
        <f t="shared" si="14"/>
        <v>0.35660606598172478</v>
      </c>
      <c r="AE23" s="227"/>
      <c r="AF23" s="227"/>
    </row>
    <row r="24" spans="1:32" x14ac:dyDescent="0.55000000000000004">
      <c r="A24" s="40">
        <v>29269</v>
      </c>
      <c r="B24" s="71" t="s">
        <v>236</v>
      </c>
      <c r="C24" s="62">
        <v>6784156</v>
      </c>
      <c r="D24" s="62">
        <v>494537</v>
      </c>
      <c r="E24" s="72">
        <f>IF(C24=0,0,ROUND(D24/C24,4))</f>
        <v>7.2900000000000006E-2</v>
      </c>
      <c r="F24" s="73">
        <f t="shared" si="0"/>
        <v>0.72213806000000003</v>
      </c>
      <c r="G24" s="62">
        <v>21917</v>
      </c>
      <c r="H24" s="62">
        <v>98897</v>
      </c>
      <c r="I24" s="74">
        <f>IF(G24=0,0,ROUND(H24/G24,4))</f>
        <v>4.5122999999999998</v>
      </c>
      <c r="J24" s="73">
        <f t="shared" si="1"/>
        <v>0.14042009999999999</v>
      </c>
      <c r="K24" s="62">
        <v>9180</v>
      </c>
      <c r="L24" s="62">
        <v>87490</v>
      </c>
      <c r="M24" s="74">
        <f>IF(K24=0,0,ROUND(L24/K24,4))</f>
        <v>9.5305</v>
      </c>
      <c r="N24" s="73">
        <f t="shared" si="2"/>
        <v>0.35439264999999998</v>
      </c>
      <c r="O24" s="62">
        <v>9180</v>
      </c>
      <c r="P24" s="62">
        <v>47888</v>
      </c>
      <c r="Q24" s="74">
        <f>IF(O24=0,0,ROUND(P24/O24,4))</f>
        <v>5.2165999999999997</v>
      </c>
      <c r="R24" s="73">
        <f t="shared" si="3"/>
        <v>7.2155349999999993E-2</v>
      </c>
      <c r="S24" s="62">
        <v>0</v>
      </c>
      <c r="T24" s="62">
        <v>0</v>
      </c>
      <c r="U24" s="74">
        <f>IF(S24=0,0,ROUND(T24/S24,4))</f>
        <v>0</v>
      </c>
      <c r="V24" s="73">
        <f t="shared" si="4"/>
        <v>0</v>
      </c>
      <c r="W24" s="62">
        <v>0</v>
      </c>
      <c r="X24" s="75">
        <f t="shared" si="5"/>
        <v>0</v>
      </c>
      <c r="Y24" s="62">
        <v>0</v>
      </c>
      <c r="Z24" s="75">
        <f t="shared" si="6"/>
        <v>0</v>
      </c>
      <c r="AA24" s="76">
        <f t="shared" si="7"/>
        <v>1.2891061600000002</v>
      </c>
      <c r="AB24" s="77">
        <f t="shared" si="8"/>
        <v>728812</v>
      </c>
      <c r="AC24" s="62">
        <v>2038521</v>
      </c>
      <c r="AD24" s="78">
        <f t="shared" si="14"/>
        <v>0.26336259496056313</v>
      </c>
      <c r="AE24" s="227"/>
      <c r="AF24" s="227"/>
    </row>
    <row r="25" spans="1:32" x14ac:dyDescent="0.55000000000000004">
      <c r="A25" s="40">
        <v>3652</v>
      </c>
      <c r="B25" s="71" t="s">
        <v>237</v>
      </c>
      <c r="C25" s="62">
        <v>291733968</v>
      </c>
      <c r="D25" s="62">
        <v>17247810</v>
      </c>
      <c r="E25" s="72">
        <f t="shared" si="9"/>
        <v>5.91E-2</v>
      </c>
      <c r="F25" s="73">
        <f t="shared" si="0"/>
        <v>0.47523198999999999</v>
      </c>
      <c r="G25" s="62">
        <v>530286</v>
      </c>
      <c r="H25" s="62">
        <v>1683174</v>
      </c>
      <c r="I25" s="74">
        <f t="shared" si="10"/>
        <v>3.1741000000000001</v>
      </c>
      <c r="J25" s="73">
        <f t="shared" si="1"/>
        <v>3.9128040000000003E-2</v>
      </c>
      <c r="K25" s="62">
        <v>494044</v>
      </c>
      <c r="L25" s="62">
        <v>2435514</v>
      </c>
      <c r="M25" s="74">
        <f t="shared" si="11"/>
        <v>4.9298000000000002</v>
      </c>
      <c r="N25" s="73">
        <f t="shared" si="2"/>
        <v>0.11877385</v>
      </c>
      <c r="O25" s="62">
        <v>477965</v>
      </c>
      <c r="P25" s="62">
        <v>2895819</v>
      </c>
      <c r="Q25" s="74">
        <f t="shared" si="12"/>
        <v>6.0586000000000002</v>
      </c>
      <c r="R25" s="73">
        <f t="shared" si="3"/>
        <v>0.11794738</v>
      </c>
      <c r="S25" s="62">
        <v>1205</v>
      </c>
      <c r="T25" s="62">
        <v>41530</v>
      </c>
      <c r="U25" s="74">
        <f t="shared" si="13"/>
        <v>34.464700000000001</v>
      </c>
      <c r="V25" s="73">
        <f t="shared" si="4"/>
        <v>1.43984E-3</v>
      </c>
      <c r="W25" s="62">
        <v>0</v>
      </c>
      <c r="X25" s="75">
        <f t="shared" si="5"/>
        <v>0</v>
      </c>
      <c r="Y25" s="62">
        <v>7009191</v>
      </c>
      <c r="Z25" s="75">
        <f t="shared" si="6"/>
        <v>0.22384256999999999</v>
      </c>
      <c r="AA25" s="76">
        <f t="shared" si="7"/>
        <v>0.97636366999999991</v>
      </c>
      <c r="AB25" s="77">
        <f t="shared" si="8"/>
        <v>31313038</v>
      </c>
      <c r="AC25" s="62">
        <v>75247304</v>
      </c>
      <c r="AD25" s="78">
        <f t="shared" si="14"/>
        <v>0.29385264172669417</v>
      </c>
      <c r="AE25" s="227"/>
      <c r="AF25" s="227"/>
    </row>
    <row r="26" spans="1:32" x14ac:dyDescent="0.55000000000000004">
      <c r="A26" s="40">
        <v>11711</v>
      </c>
      <c r="B26" s="71" t="s">
        <v>238</v>
      </c>
      <c r="C26" s="62">
        <v>21002049</v>
      </c>
      <c r="D26" s="62">
        <v>680730</v>
      </c>
      <c r="E26" s="72">
        <f t="shared" si="9"/>
        <v>3.2399999999999998E-2</v>
      </c>
      <c r="F26" s="73">
        <f t="shared" si="0"/>
        <v>0.31657636</v>
      </c>
      <c r="G26" s="62">
        <v>44923</v>
      </c>
      <c r="H26" s="62">
        <v>119264</v>
      </c>
      <c r="I26" s="74">
        <f t="shared" si="10"/>
        <v>2.6549</v>
      </c>
      <c r="J26" s="73">
        <f t="shared" si="1"/>
        <v>7.1395429999999996E-2</v>
      </c>
      <c r="K26" s="62">
        <v>47873</v>
      </c>
      <c r="L26" s="62">
        <v>82273</v>
      </c>
      <c r="M26" s="74">
        <f t="shared" si="11"/>
        <v>1.7185999999999999</v>
      </c>
      <c r="N26" s="73">
        <f t="shared" si="2"/>
        <v>4.306331E-2</v>
      </c>
      <c r="O26" s="62">
        <v>47873</v>
      </c>
      <c r="P26" s="62">
        <v>44394</v>
      </c>
      <c r="Q26" s="74">
        <f t="shared" si="12"/>
        <v>0.92730000000000001</v>
      </c>
      <c r="R26" s="73">
        <f t="shared" si="3"/>
        <v>8.5204700000000005E-3</v>
      </c>
      <c r="S26" s="62">
        <v>0</v>
      </c>
      <c r="T26" s="62">
        <v>0</v>
      </c>
      <c r="U26" s="74">
        <f t="shared" si="13"/>
        <v>0</v>
      </c>
      <c r="V26" s="73">
        <f t="shared" si="4"/>
        <v>0</v>
      </c>
      <c r="W26" s="62">
        <v>0</v>
      </c>
      <c r="X26" s="75">
        <f t="shared" si="5"/>
        <v>0</v>
      </c>
      <c r="Y26" s="62">
        <v>90409</v>
      </c>
      <c r="Z26" s="75">
        <f t="shared" si="6"/>
        <v>8.8891620000000005E-2</v>
      </c>
      <c r="AA26" s="76">
        <f t="shared" si="7"/>
        <v>0.52844719000000007</v>
      </c>
      <c r="AB26" s="77">
        <f t="shared" si="8"/>
        <v>1017070</v>
      </c>
      <c r="AC26" s="62">
        <v>10870097</v>
      </c>
      <c r="AD26" s="78">
        <f t="shared" si="14"/>
        <v>8.5560335780594313E-2</v>
      </c>
      <c r="AE26" s="227"/>
      <c r="AF26" s="227"/>
    </row>
    <row r="27" spans="1:32" x14ac:dyDescent="0.55000000000000004">
      <c r="A27" s="40">
        <v>12826</v>
      </c>
      <c r="B27" s="71" t="s">
        <v>239</v>
      </c>
      <c r="C27" s="62">
        <v>19270645</v>
      </c>
      <c r="D27" s="62">
        <v>1140529</v>
      </c>
      <c r="E27" s="72">
        <f t="shared" si="9"/>
        <v>5.9200000000000003E-2</v>
      </c>
      <c r="F27" s="73">
        <f t="shared" si="0"/>
        <v>0.30366385000000001</v>
      </c>
      <c r="G27" s="62">
        <v>13546</v>
      </c>
      <c r="H27" s="62">
        <v>47263</v>
      </c>
      <c r="I27" s="74">
        <f t="shared" si="10"/>
        <v>3.4891000000000001</v>
      </c>
      <c r="J27" s="73">
        <f t="shared" si="1"/>
        <v>1.165075E-2</v>
      </c>
      <c r="K27" s="62">
        <v>31916</v>
      </c>
      <c r="L27" s="62">
        <v>299407</v>
      </c>
      <c r="M27" s="74">
        <f t="shared" si="11"/>
        <v>9.3811</v>
      </c>
      <c r="N27" s="73">
        <f t="shared" si="2"/>
        <v>0.26803866999999998</v>
      </c>
      <c r="O27" s="62">
        <v>31916</v>
      </c>
      <c r="P27" s="62">
        <v>275208</v>
      </c>
      <c r="Q27" s="74">
        <f t="shared" si="12"/>
        <v>8.6228999999999996</v>
      </c>
      <c r="R27" s="73">
        <f t="shared" si="3"/>
        <v>0.15390044</v>
      </c>
      <c r="S27" s="62">
        <v>0</v>
      </c>
      <c r="T27" s="62">
        <v>0</v>
      </c>
      <c r="U27" s="74">
        <f t="shared" si="13"/>
        <v>0</v>
      </c>
      <c r="V27" s="73">
        <f t="shared" si="4"/>
        <v>0</v>
      </c>
      <c r="W27" s="62">
        <v>0</v>
      </c>
      <c r="X27" s="75">
        <f t="shared" si="5"/>
        <v>0</v>
      </c>
      <c r="Y27" s="62">
        <v>1483562</v>
      </c>
      <c r="Z27" s="75">
        <f t="shared" si="6"/>
        <v>0.45704749</v>
      </c>
      <c r="AA27" s="76">
        <f t="shared" si="7"/>
        <v>1.1943012</v>
      </c>
      <c r="AB27" s="77">
        <f t="shared" si="8"/>
        <v>3245969</v>
      </c>
      <c r="AC27" s="62">
        <v>7443474</v>
      </c>
      <c r="AD27" s="78">
        <f t="shared" si="14"/>
        <v>0.30366119170100819</v>
      </c>
      <c r="AE27" s="227"/>
      <c r="AF27" s="227"/>
    </row>
    <row r="28" spans="1:32" x14ac:dyDescent="0.55000000000000004">
      <c r="A28" s="40">
        <v>13231</v>
      </c>
      <c r="B28" s="71" t="s">
        <v>240</v>
      </c>
      <c r="C28" s="62">
        <v>7318483</v>
      </c>
      <c r="D28" s="62">
        <v>554681</v>
      </c>
      <c r="E28" s="72">
        <f t="shared" si="9"/>
        <v>7.5800000000000006E-2</v>
      </c>
      <c r="F28" s="73">
        <f t="shared" si="0"/>
        <v>0.88363725000000004</v>
      </c>
      <c r="G28" s="62">
        <v>3977</v>
      </c>
      <c r="H28" s="62">
        <v>32045</v>
      </c>
      <c r="I28" s="74">
        <f t="shared" si="10"/>
        <v>8.0576000000000008</v>
      </c>
      <c r="J28" s="73">
        <f t="shared" si="1"/>
        <v>8.5247530000000002E-2</v>
      </c>
      <c r="K28" s="62">
        <v>10484</v>
      </c>
      <c r="L28" s="62">
        <v>68164</v>
      </c>
      <c r="M28" s="74">
        <f t="shared" si="11"/>
        <v>6.5016999999999996</v>
      </c>
      <c r="N28" s="73">
        <f t="shared" si="2"/>
        <v>0.19763333</v>
      </c>
      <c r="O28" s="62">
        <v>8335</v>
      </c>
      <c r="P28" s="62">
        <v>39731</v>
      </c>
      <c r="Q28" s="74">
        <f t="shared" si="12"/>
        <v>4.7667999999999999</v>
      </c>
      <c r="R28" s="73">
        <f t="shared" si="3"/>
        <v>5.739557E-2</v>
      </c>
      <c r="S28" s="62">
        <v>0</v>
      </c>
      <c r="T28" s="62">
        <v>0</v>
      </c>
      <c r="U28" s="74">
        <f t="shared" si="13"/>
        <v>0</v>
      </c>
      <c r="V28" s="73">
        <f t="shared" si="4"/>
        <v>0</v>
      </c>
      <c r="W28" s="62">
        <v>0</v>
      </c>
      <c r="X28" s="75">
        <f t="shared" si="5"/>
        <v>0</v>
      </c>
      <c r="Y28" s="62">
        <v>0</v>
      </c>
      <c r="Z28" s="75">
        <f t="shared" si="6"/>
        <v>0</v>
      </c>
      <c r="AA28" s="76">
        <f t="shared" si="7"/>
        <v>1.2239136799999999</v>
      </c>
      <c r="AB28" s="77">
        <f t="shared" si="8"/>
        <v>694621</v>
      </c>
      <c r="AC28" s="62">
        <v>2551064</v>
      </c>
      <c r="AD28" s="78">
        <f t="shared" si="14"/>
        <v>0.21401368278190891</v>
      </c>
      <c r="AE28" s="227"/>
      <c r="AF28" s="227"/>
    </row>
    <row r="29" spans="1:32" x14ac:dyDescent="0.55000000000000004">
      <c r="A29" s="40">
        <v>3592</v>
      </c>
      <c r="B29" s="71" t="s">
        <v>241</v>
      </c>
      <c r="C29" s="62">
        <v>12121617</v>
      </c>
      <c r="D29" s="62">
        <v>780764</v>
      </c>
      <c r="E29" s="72">
        <f t="shared" si="9"/>
        <v>6.4399999999999999E-2</v>
      </c>
      <c r="F29" s="73">
        <f t="shared" si="0"/>
        <v>0.27548236999999998</v>
      </c>
      <c r="G29" s="62">
        <v>50810</v>
      </c>
      <c r="H29" s="62">
        <v>336063</v>
      </c>
      <c r="I29" s="74">
        <f t="shared" si="10"/>
        <v>6.6140999999999996</v>
      </c>
      <c r="J29" s="73">
        <f t="shared" si="1"/>
        <v>0.19130833999999999</v>
      </c>
      <c r="K29" s="62">
        <v>43976</v>
      </c>
      <c r="L29" s="62">
        <v>172136</v>
      </c>
      <c r="M29" s="74">
        <f t="shared" si="11"/>
        <v>3.9142999999999999</v>
      </c>
      <c r="N29" s="73">
        <f t="shared" si="2"/>
        <v>7.8330460000000005E-2</v>
      </c>
      <c r="O29" s="62">
        <v>33776</v>
      </c>
      <c r="P29" s="62">
        <v>48799</v>
      </c>
      <c r="Q29" s="74">
        <f t="shared" si="12"/>
        <v>1.4448000000000001</v>
      </c>
      <c r="R29" s="73">
        <f t="shared" si="3"/>
        <v>5.5701500000000003E-3</v>
      </c>
      <c r="S29" s="62">
        <v>0</v>
      </c>
      <c r="T29" s="62">
        <v>0</v>
      </c>
      <c r="U29" s="74">
        <f t="shared" si="13"/>
        <v>0</v>
      </c>
      <c r="V29" s="73">
        <f t="shared" si="4"/>
        <v>0</v>
      </c>
      <c r="W29" s="62">
        <v>0</v>
      </c>
      <c r="X29" s="75">
        <f t="shared" si="5"/>
        <v>0</v>
      </c>
      <c r="Y29" s="62">
        <v>1326772</v>
      </c>
      <c r="Z29" s="75">
        <f t="shared" si="6"/>
        <v>0.49793773000000002</v>
      </c>
      <c r="AA29" s="76">
        <f t="shared" si="7"/>
        <v>1.04862905</v>
      </c>
      <c r="AB29" s="77">
        <f t="shared" si="8"/>
        <v>2664534</v>
      </c>
      <c r="AC29" s="62">
        <v>3655761</v>
      </c>
      <c r="AD29" s="78">
        <f t="shared" si="14"/>
        <v>0.42158380265478113</v>
      </c>
      <c r="AE29" s="227"/>
      <c r="AF29" s="227"/>
    </row>
    <row r="30" spans="1:32" x14ac:dyDescent="0.55000000000000004">
      <c r="A30" s="40">
        <v>3594</v>
      </c>
      <c r="B30" s="71" t="s">
        <v>242</v>
      </c>
      <c r="C30" s="62">
        <v>125472288</v>
      </c>
      <c r="D30" s="62">
        <v>10075839</v>
      </c>
      <c r="E30" s="72">
        <f t="shared" si="9"/>
        <v>8.0299999999999996E-2</v>
      </c>
      <c r="F30" s="73">
        <f t="shared" si="0"/>
        <v>0.44705989000000002</v>
      </c>
      <c r="G30" s="62">
        <v>357326</v>
      </c>
      <c r="H30" s="62">
        <v>3060616</v>
      </c>
      <c r="I30" s="74">
        <f t="shared" si="10"/>
        <v>8.5653000000000006</v>
      </c>
      <c r="J30" s="73">
        <f t="shared" si="1"/>
        <v>0.22754885</v>
      </c>
      <c r="K30" s="62">
        <v>242999</v>
      </c>
      <c r="L30" s="62">
        <v>1195546</v>
      </c>
      <c r="M30" s="74">
        <f t="shared" si="11"/>
        <v>4.92</v>
      </c>
      <c r="N30" s="73">
        <f t="shared" si="2"/>
        <v>6.8963140000000006E-2</v>
      </c>
      <c r="O30" s="62">
        <v>242619</v>
      </c>
      <c r="P30" s="62">
        <v>1264939</v>
      </c>
      <c r="Q30" s="74">
        <f t="shared" si="12"/>
        <v>5.2137000000000002</v>
      </c>
      <c r="R30" s="73">
        <f t="shared" si="3"/>
        <v>5.2546639999999999E-2</v>
      </c>
      <c r="S30" s="62">
        <v>0</v>
      </c>
      <c r="T30" s="62">
        <v>0</v>
      </c>
      <c r="U30" s="74">
        <f t="shared" si="13"/>
        <v>0</v>
      </c>
      <c r="V30" s="73">
        <f t="shared" si="4"/>
        <v>0</v>
      </c>
      <c r="W30" s="62">
        <v>0</v>
      </c>
      <c r="X30" s="75">
        <f t="shared" si="5"/>
        <v>0</v>
      </c>
      <c r="Y30" s="62">
        <v>10823527</v>
      </c>
      <c r="Z30" s="75">
        <f t="shared" si="6"/>
        <v>0.40966448</v>
      </c>
      <c r="AA30" s="76">
        <f t="shared" si="7"/>
        <v>1.205783</v>
      </c>
      <c r="AB30" s="77">
        <f t="shared" si="8"/>
        <v>26420467</v>
      </c>
      <c r="AC30" s="62">
        <v>31070682</v>
      </c>
      <c r="AD30" s="78">
        <f t="shared" si="14"/>
        <v>0.45955712243635971</v>
      </c>
      <c r="AE30" s="227"/>
      <c r="AF30" s="227"/>
    </row>
    <row r="31" spans="1:32" x14ac:dyDescent="0.55000000000000004">
      <c r="A31" s="40">
        <v>42421</v>
      </c>
      <c r="B31" s="71" t="s">
        <v>243</v>
      </c>
      <c r="C31" s="62">
        <v>8401266</v>
      </c>
      <c r="D31" s="62">
        <v>478186</v>
      </c>
      <c r="E31" s="72">
        <f t="shared" si="9"/>
        <v>5.6899999999999999E-2</v>
      </c>
      <c r="F31" s="73">
        <f t="shared" si="0"/>
        <v>0.31410386000000001</v>
      </c>
      <c r="G31" s="62">
        <v>16073</v>
      </c>
      <c r="H31" s="62">
        <v>15640</v>
      </c>
      <c r="I31" s="74">
        <f t="shared" si="10"/>
        <v>0.97309999999999997</v>
      </c>
      <c r="J31" s="73">
        <f t="shared" si="1"/>
        <v>2.7600200000000002E-3</v>
      </c>
      <c r="K31" s="62">
        <v>24290</v>
      </c>
      <c r="L31" s="62">
        <v>152990</v>
      </c>
      <c r="M31" s="74">
        <f t="shared" si="11"/>
        <v>6.2984999999999998</v>
      </c>
      <c r="N31" s="73">
        <f t="shared" si="2"/>
        <v>0.23603750000000001</v>
      </c>
      <c r="O31" s="62">
        <v>24290</v>
      </c>
      <c r="P31" s="62">
        <v>133618</v>
      </c>
      <c r="Q31" s="74">
        <f t="shared" si="12"/>
        <v>5.5008999999999997</v>
      </c>
      <c r="R31" s="73">
        <f t="shared" si="3"/>
        <v>0.12235543</v>
      </c>
      <c r="S31" s="62">
        <v>0</v>
      </c>
      <c r="T31" s="62">
        <v>0</v>
      </c>
      <c r="U31" s="74">
        <f t="shared" si="13"/>
        <v>0</v>
      </c>
      <c r="V31" s="73">
        <f t="shared" si="4"/>
        <v>0</v>
      </c>
      <c r="W31" s="62">
        <v>0</v>
      </c>
      <c r="X31" s="75">
        <f t="shared" si="5"/>
        <v>0</v>
      </c>
      <c r="Y31" s="62">
        <v>484143</v>
      </c>
      <c r="Z31" s="75">
        <f t="shared" si="6"/>
        <v>0.38284975999999998</v>
      </c>
      <c r="AA31" s="76">
        <f t="shared" si="7"/>
        <v>1.0581065700000001</v>
      </c>
      <c r="AB31" s="77">
        <f t="shared" si="8"/>
        <v>1264577</v>
      </c>
      <c r="AC31" s="62">
        <v>4965351</v>
      </c>
      <c r="AD31" s="78">
        <f t="shared" si="14"/>
        <v>0.2029842078431725</v>
      </c>
      <c r="AE31" s="227"/>
      <c r="AF31" s="227"/>
    </row>
    <row r="32" spans="1:32" x14ac:dyDescent="0.55000000000000004">
      <c r="A32" s="40">
        <v>3624</v>
      </c>
      <c r="B32" s="71" t="s">
        <v>244</v>
      </c>
      <c r="C32" s="62">
        <v>34026514</v>
      </c>
      <c r="D32" s="62">
        <v>2444743</v>
      </c>
      <c r="E32" s="72">
        <f t="shared" si="9"/>
        <v>7.1800000000000003E-2</v>
      </c>
      <c r="F32" s="73">
        <f t="shared" si="0"/>
        <v>0.59825391000000006</v>
      </c>
      <c r="G32" s="62">
        <v>88563</v>
      </c>
      <c r="H32" s="62">
        <v>479582</v>
      </c>
      <c r="I32" s="74">
        <f t="shared" si="10"/>
        <v>5.4151999999999996</v>
      </c>
      <c r="J32" s="73">
        <f t="shared" si="1"/>
        <v>0.13904633999999999</v>
      </c>
      <c r="K32" s="62">
        <v>71611</v>
      </c>
      <c r="L32" s="62">
        <v>428142</v>
      </c>
      <c r="M32" s="74">
        <f t="shared" si="11"/>
        <v>5.9786999999999999</v>
      </c>
      <c r="N32" s="73">
        <f t="shared" si="2"/>
        <v>0.18511395999999999</v>
      </c>
      <c r="O32" s="62">
        <v>39336</v>
      </c>
      <c r="P32" s="62">
        <v>223493</v>
      </c>
      <c r="Q32" s="74">
        <f t="shared" si="12"/>
        <v>5.6816000000000004</v>
      </c>
      <c r="R32" s="73">
        <f t="shared" si="3"/>
        <v>6.2405500000000003E-2</v>
      </c>
      <c r="S32" s="62">
        <v>0</v>
      </c>
      <c r="T32" s="62">
        <v>0</v>
      </c>
      <c r="U32" s="74">
        <f t="shared" si="13"/>
        <v>0</v>
      </c>
      <c r="V32" s="73">
        <f t="shared" si="4"/>
        <v>0</v>
      </c>
      <c r="W32" s="62">
        <v>229859</v>
      </c>
      <c r="X32" s="75">
        <f t="shared" si="5"/>
        <v>5.3663620000000002E-2</v>
      </c>
      <c r="Y32" s="62">
        <v>477511</v>
      </c>
      <c r="Z32" s="75">
        <f t="shared" si="6"/>
        <v>0.11148125</v>
      </c>
      <c r="AA32" s="76">
        <f t="shared" si="7"/>
        <v>1.14996458</v>
      </c>
      <c r="AB32" s="77">
        <f t="shared" si="8"/>
        <v>4283330</v>
      </c>
      <c r="AC32" s="62">
        <v>6637790</v>
      </c>
      <c r="AD32" s="78">
        <f t="shared" si="14"/>
        <v>0.39220611072856998</v>
      </c>
      <c r="AE32" s="227"/>
      <c r="AF32" s="227"/>
    </row>
    <row r="33" spans="1:32" x14ac:dyDescent="0.55000000000000004">
      <c r="A33" s="40">
        <v>3642</v>
      </c>
      <c r="B33" s="71" t="s">
        <v>245</v>
      </c>
      <c r="C33" s="62">
        <v>39595112</v>
      </c>
      <c r="D33" s="62">
        <v>2621877</v>
      </c>
      <c r="E33" s="72">
        <f t="shared" si="9"/>
        <v>6.6199999999999995E-2</v>
      </c>
      <c r="F33" s="73">
        <f t="shared" si="0"/>
        <v>0.31933755000000003</v>
      </c>
      <c r="G33" s="62">
        <v>55977</v>
      </c>
      <c r="H33" s="62">
        <v>267535</v>
      </c>
      <c r="I33" s="74">
        <f t="shared" si="10"/>
        <v>4.7793999999999999</v>
      </c>
      <c r="J33" s="73">
        <f t="shared" si="1"/>
        <v>3.6956250000000003E-2</v>
      </c>
      <c r="K33" s="62">
        <v>171994</v>
      </c>
      <c r="L33" s="62">
        <v>848792</v>
      </c>
      <c r="M33" s="74">
        <f t="shared" si="11"/>
        <v>4.9349999999999996</v>
      </c>
      <c r="N33" s="73">
        <f t="shared" si="2"/>
        <v>0.16352523999999999</v>
      </c>
      <c r="O33" s="62">
        <v>125017</v>
      </c>
      <c r="P33" s="62">
        <v>817833</v>
      </c>
      <c r="Q33" s="74">
        <f t="shared" si="12"/>
        <v>6.5418000000000003</v>
      </c>
      <c r="R33" s="73">
        <f t="shared" si="3"/>
        <v>0.14193907</v>
      </c>
      <c r="S33" s="62">
        <v>0</v>
      </c>
      <c r="T33" s="62">
        <v>0</v>
      </c>
      <c r="U33" s="74">
        <f t="shared" si="13"/>
        <v>0</v>
      </c>
      <c r="V33" s="73">
        <f t="shared" si="4"/>
        <v>0</v>
      </c>
      <c r="W33" s="62">
        <v>0</v>
      </c>
      <c r="X33" s="75">
        <f t="shared" si="5"/>
        <v>0</v>
      </c>
      <c r="Y33" s="62">
        <v>3378649</v>
      </c>
      <c r="Z33" s="75">
        <f t="shared" si="6"/>
        <v>0.42580751999999999</v>
      </c>
      <c r="AA33" s="76">
        <f t="shared" si="7"/>
        <v>1.0875656300000001</v>
      </c>
      <c r="AB33" s="77">
        <f t="shared" si="8"/>
        <v>7934686</v>
      </c>
      <c r="AC33" s="62">
        <v>4882489</v>
      </c>
      <c r="AD33" s="78">
        <f t="shared" si="14"/>
        <v>0.61906668201066151</v>
      </c>
      <c r="AE33" s="227"/>
      <c r="AF33" s="227"/>
    </row>
    <row r="34" spans="1:32" x14ac:dyDescent="0.55000000000000004">
      <c r="A34" s="40">
        <v>3644</v>
      </c>
      <c r="B34" s="71" t="s">
        <v>246</v>
      </c>
      <c r="C34" s="62">
        <v>98179827</v>
      </c>
      <c r="D34" s="62">
        <v>9532766</v>
      </c>
      <c r="E34" s="72">
        <f t="shared" si="9"/>
        <v>9.7100000000000006E-2</v>
      </c>
      <c r="F34" s="73">
        <f t="shared" si="0"/>
        <v>0.62536004000000001</v>
      </c>
      <c r="G34" s="62">
        <v>794178</v>
      </c>
      <c r="H34" s="62">
        <v>2275028</v>
      </c>
      <c r="I34" s="74">
        <f t="shared" si="10"/>
        <v>2.8645999999999998</v>
      </c>
      <c r="J34" s="73">
        <f t="shared" si="1"/>
        <v>6.9166690000000003E-2</v>
      </c>
      <c r="K34" s="62">
        <v>96424</v>
      </c>
      <c r="L34" s="62">
        <v>804477</v>
      </c>
      <c r="M34" s="74">
        <f t="shared" si="11"/>
        <v>8.3430999999999997</v>
      </c>
      <c r="N34" s="73">
        <f t="shared" si="2"/>
        <v>9.6216540000000003E-2</v>
      </c>
      <c r="O34" s="62">
        <v>69402</v>
      </c>
      <c r="P34" s="62">
        <v>390619</v>
      </c>
      <c r="Q34" s="74">
        <f t="shared" si="12"/>
        <v>5.6284000000000001</v>
      </c>
      <c r="R34" s="73">
        <f t="shared" si="3"/>
        <v>2.141858E-2</v>
      </c>
      <c r="S34" s="62">
        <v>0</v>
      </c>
      <c r="T34" s="62">
        <v>0</v>
      </c>
      <c r="U34" s="74">
        <f t="shared" si="13"/>
        <v>0</v>
      </c>
      <c r="V34" s="73">
        <f t="shared" si="4"/>
        <v>0</v>
      </c>
      <c r="W34" s="62">
        <v>831665</v>
      </c>
      <c r="X34" s="75">
        <f t="shared" si="5"/>
        <v>3.8488500000000002E-2</v>
      </c>
      <c r="Y34" s="62">
        <v>7773589</v>
      </c>
      <c r="Z34" s="75">
        <f t="shared" si="6"/>
        <v>0.35975274000000002</v>
      </c>
      <c r="AA34" s="76">
        <f t="shared" si="7"/>
        <v>1.21040309</v>
      </c>
      <c r="AB34" s="77">
        <f t="shared" si="8"/>
        <v>21608144</v>
      </c>
      <c r="AC34" s="62">
        <v>30615112</v>
      </c>
      <c r="AD34" s="78">
        <f t="shared" si="14"/>
        <v>0.4137647794308344</v>
      </c>
      <c r="AE34" s="227"/>
      <c r="AF34" s="227"/>
    </row>
    <row r="35" spans="1:32" x14ac:dyDescent="0.55000000000000004">
      <c r="A35" s="40">
        <v>3541</v>
      </c>
      <c r="B35" s="71" t="s">
        <v>247</v>
      </c>
      <c r="C35" s="62">
        <v>21199559</v>
      </c>
      <c r="D35" s="62">
        <v>1413854</v>
      </c>
      <c r="E35" s="72">
        <f t="shared" si="9"/>
        <v>6.6699999999999995E-2</v>
      </c>
      <c r="F35" s="73">
        <f t="shared" si="0"/>
        <v>0.70091935000000005</v>
      </c>
      <c r="G35" s="62">
        <v>27564</v>
      </c>
      <c r="H35" s="62">
        <v>190298</v>
      </c>
      <c r="I35" s="74">
        <f t="shared" si="10"/>
        <v>6.9039000000000001</v>
      </c>
      <c r="J35" s="73">
        <f t="shared" si="1"/>
        <v>0.15339833999999999</v>
      </c>
      <c r="K35" s="62">
        <v>29384</v>
      </c>
      <c r="L35" s="62">
        <v>215494</v>
      </c>
      <c r="M35" s="74">
        <f t="shared" si="11"/>
        <v>7.3337000000000003</v>
      </c>
      <c r="N35" s="73">
        <f t="shared" si="2"/>
        <v>0.24923708</v>
      </c>
      <c r="O35" s="62">
        <v>14633</v>
      </c>
      <c r="P35" s="62">
        <v>126681</v>
      </c>
      <c r="Q35" s="74">
        <f t="shared" si="12"/>
        <v>8.6571999999999996</v>
      </c>
      <c r="R35" s="73">
        <f t="shared" si="3"/>
        <v>0.11754035</v>
      </c>
      <c r="S35" s="62">
        <v>0</v>
      </c>
      <c r="T35" s="62">
        <v>0</v>
      </c>
      <c r="U35" s="74">
        <f t="shared" si="13"/>
        <v>0</v>
      </c>
      <c r="V35" s="73">
        <f t="shared" si="4"/>
        <v>0</v>
      </c>
      <c r="W35" s="62">
        <v>0</v>
      </c>
      <c r="X35" s="75">
        <f t="shared" si="5"/>
        <v>0</v>
      </c>
      <c r="Y35" s="62">
        <v>17810</v>
      </c>
      <c r="Z35" s="75">
        <f t="shared" si="6"/>
        <v>9.0676000000000003E-3</v>
      </c>
      <c r="AA35" s="76">
        <f t="shared" si="7"/>
        <v>1.2301627200000003</v>
      </c>
      <c r="AB35" s="77">
        <f t="shared" si="8"/>
        <v>1964137</v>
      </c>
      <c r="AC35" s="62">
        <v>5345103</v>
      </c>
      <c r="AD35" s="78">
        <f t="shared" si="14"/>
        <v>0.26871973009505778</v>
      </c>
      <c r="AE35" s="227"/>
      <c r="AF35" s="227"/>
    </row>
    <row r="36" spans="1:32" x14ac:dyDescent="0.55000000000000004">
      <c r="A36" s="40">
        <v>3646</v>
      </c>
      <c r="B36" s="71" t="s">
        <v>248</v>
      </c>
      <c r="C36" s="62">
        <v>76650891</v>
      </c>
      <c r="D36" s="62">
        <v>3334126</v>
      </c>
      <c r="E36" s="72">
        <f>IF(C36=0,0,ROUND(D36/C36,4))</f>
        <v>4.3499999999999997E-2</v>
      </c>
      <c r="F36" s="73">
        <f t="shared" si="0"/>
        <v>0.32194610000000001</v>
      </c>
      <c r="G36" s="62">
        <v>134836</v>
      </c>
      <c r="H36" s="62">
        <v>1038569.94</v>
      </c>
      <c r="I36" s="74">
        <f>IF(G36=0,0,ROUND(H36/G36,4))</f>
        <v>7.7024999999999997</v>
      </c>
      <c r="J36" s="73">
        <f t="shared" si="1"/>
        <v>0.27895467000000002</v>
      </c>
      <c r="K36" s="62">
        <v>149986</v>
      </c>
      <c r="L36" s="62">
        <v>701229</v>
      </c>
      <c r="M36" s="74">
        <f>IF(K36=0,0,ROUND(L36/K36,4))</f>
        <v>4.6753</v>
      </c>
      <c r="N36" s="73">
        <f t="shared" si="2"/>
        <v>0.15441800999999999</v>
      </c>
      <c r="O36" s="62">
        <v>84228</v>
      </c>
      <c r="P36" s="62">
        <v>391396</v>
      </c>
      <c r="Q36" s="74">
        <f>IF(O36=0,0,ROUND(P36/O36,4))</f>
        <v>4.6468999999999996</v>
      </c>
      <c r="R36" s="73">
        <f t="shared" si="3"/>
        <v>5.8217289999999998E-2</v>
      </c>
      <c r="S36" s="62">
        <v>204</v>
      </c>
      <c r="T36" s="62">
        <v>3201</v>
      </c>
      <c r="U36" s="74">
        <f>IF(S36=0,0,ROUND(T36/S36,4))</f>
        <v>15.6912</v>
      </c>
      <c r="V36" s="73">
        <f t="shared" si="4"/>
        <v>2.4057000000000001E-4</v>
      </c>
      <c r="W36" s="62">
        <v>0</v>
      </c>
      <c r="X36" s="75">
        <f t="shared" si="5"/>
        <v>0</v>
      </c>
      <c r="Y36" s="62">
        <v>1108019</v>
      </c>
      <c r="Z36" s="75">
        <f t="shared" si="6"/>
        <v>0.16848051</v>
      </c>
      <c r="AA36" s="76">
        <f t="shared" si="7"/>
        <v>0.98225714999999991</v>
      </c>
      <c r="AB36" s="77">
        <f t="shared" si="8"/>
        <v>6576540.9399999995</v>
      </c>
      <c r="AC36" s="62">
        <v>14861790</v>
      </c>
      <c r="AD36" s="78">
        <f t="shared" si="14"/>
        <v>0.30676552938780227</v>
      </c>
      <c r="AE36" s="227"/>
      <c r="AF36" s="227"/>
    </row>
    <row r="37" spans="1:32" x14ac:dyDescent="0.55000000000000004">
      <c r="A37" s="40">
        <v>3581</v>
      </c>
      <c r="B37" s="71" t="s">
        <v>249</v>
      </c>
      <c r="C37" s="62">
        <v>42274277</v>
      </c>
      <c r="D37" s="62">
        <v>2804625</v>
      </c>
      <c r="E37" s="72">
        <f t="shared" si="9"/>
        <v>6.6299999999999998E-2</v>
      </c>
      <c r="F37" s="73">
        <f t="shared" si="0"/>
        <v>0.17321381</v>
      </c>
      <c r="G37" s="62">
        <v>60790</v>
      </c>
      <c r="H37" s="62">
        <v>192727</v>
      </c>
      <c r="I37" s="74">
        <f t="shared" si="10"/>
        <v>3.1703999999999999</v>
      </c>
      <c r="J37" s="73">
        <f t="shared" si="1"/>
        <v>8.9413900000000004E-3</v>
      </c>
      <c r="K37" s="62">
        <v>39596</v>
      </c>
      <c r="L37" s="62">
        <v>231153</v>
      </c>
      <c r="M37" s="74">
        <f t="shared" si="11"/>
        <v>5.8377999999999997</v>
      </c>
      <c r="N37" s="73">
        <f t="shared" si="2"/>
        <v>2.6672250000000002E-2</v>
      </c>
      <c r="O37" s="62">
        <v>39596</v>
      </c>
      <c r="P37" s="62">
        <v>161482</v>
      </c>
      <c r="Q37" s="74">
        <f t="shared" si="12"/>
        <v>4.0781999999999998</v>
      </c>
      <c r="R37" s="73">
        <f t="shared" si="3"/>
        <v>8.8460099999999996E-3</v>
      </c>
      <c r="S37" s="62">
        <v>0</v>
      </c>
      <c r="T37" s="62">
        <v>0</v>
      </c>
      <c r="U37" s="74">
        <f t="shared" si="13"/>
        <v>0</v>
      </c>
      <c r="V37" s="73">
        <f t="shared" si="4"/>
        <v>0</v>
      </c>
      <c r="W37" s="62">
        <v>0</v>
      </c>
      <c r="X37" s="75">
        <f t="shared" si="5"/>
        <v>0</v>
      </c>
      <c r="Y37" s="62">
        <v>12281682</v>
      </c>
      <c r="Z37" s="75">
        <f t="shared" si="6"/>
        <v>0.78368691999999995</v>
      </c>
      <c r="AA37" s="76">
        <f t="shared" si="7"/>
        <v>1.0013603799999999</v>
      </c>
      <c r="AB37" s="77">
        <f t="shared" si="8"/>
        <v>15671669</v>
      </c>
      <c r="AC37" s="62">
        <v>359959</v>
      </c>
      <c r="AD37" s="78">
        <f t="shared" si="14"/>
        <v>0.97754694657336105</v>
      </c>
      <c r="AE37" s="227"/>
      <c r="AF37" s="227"/>
    </row>
    <row r="38" spans="1:32" x14ac:dyDescent="0.55000000000000004">
      <c r="A38" s="40">
        <v>3606</v>
      </c>
      <c r="B38" s="71" t="s">
        <v>250</v>
      </c>
      <c r="C38" s="62">
        <v>48620191</v>
      </c>
      <c r="D38" s="62">
        <v>2763675</v>
      </c>
      <c r="E38" s="72">
        <f t="shared" si="9"/>
        <v>5.6800000000000003E-2</v>
      </c>
      <c r="F38" s="73">
        <f t="shared" si="0"/>
        <v>0.51172689000000005</v>
      </c>
      <c r="G38" s="62">
        <v>94375</v>
      </c>
      <c r="H38" s="62">
        <v>260018</v>
      </c>
      <c r="I38" s="74">
        <f t="shared" si="10"/>
        <v>2.7551999999999999</v>
      </c>
      <c r="J38" s="73">
        <f t="shared" si="1"/>
        <v>3.6687129999999998E-2</v>
      </c>
      <c r="K38" s="62">
        <v>79975</v>
      </c>
      <c r="L38" s="62">
        <v>664418</v>
      </c>
      <c r="M38" s="74">
        <f t="shared" si="11"/>
        <v>8.3078000000000003</v>
      </c>
      <c r="N38" s="73">
        <f t="shared" si="2"/>
        <v>0.38180977999999999</v>
      </c>
      <c r="O38" s="62">
        <v>41260</v>
      </c>
      <c r="P38" s="62">
        <v>250095</v>
      </c>
      <c r="Q38" s="74">
        <f t="shared" si="12"/>
        <v>6.0613999999999999</v>
      </c>
      <c r="R38" s="73">
        <f t="shared" si="3"/>
        <v>7.1259260000000005E-2</v>
      </c>
      <c r="S38" s="62">
        <v>0</v>
      </c>
      <c r="T38" s="62">
        <v>0</v>
      </c>
      <c r="U38" s="74">
        <f t="shared" si="13"/>
        <v>0</v>
      </c>
      <c r="V38" s="73">
        <f t="shared" si="4"/>
        <v>0</v>
      </c>
      <c r="W38" s="62">
        <v>0</v>
      </c>
      <c r="X38" s="75">
        <f t="shared" si="5"/>
        <v>0</v>
      </c>
      <c r="Y38" s="62">
        <v>540025</v>
      </c>
      <c r="Z38" s="75">
        <f t="shared" si="6"/>
        <v>0.12058890999999999</v>
      </c>
      <c r="AA38" s="76">
        <f t="shared" si="7"/>
        <v>1.1220719699999999</v>
      </c>
      <c r="AB38" s="77">
        <f t="shared" si="8"/>
        <v>4478231</v>
      </c>
      <c r="AC38" s="62">
        <v>21548865</v>
      </c>
      <c r="AD38" s="78">
        <f t="shared" si="14"/>
        <v>0.17206034050053068</v>
      </c>
      <c r="AE38" s="227"/>
      <c r="AF38" s="227"/>
    </row>
    <row r="39" spans="1:32" x14ac:dyDescent="0.55000000000000004">
      <c r="A39" s="40">
        <v>3615</v>
      </c>
      <c r="B39" s="71" t="s">
        <v>251</v>
      </c>
      <c r="C39" s="62">
        <v>60756740</v>
      </c>
      <c r="D39" s="62">
        <v>5556555</v>
      </c>
      <c r="E39" s="72">
        <f t="shared" si="9"/>
        <v>9.1499999999999998E-2</v>
      </c>
      <c r="F39" s="73">
        <f t="shared" si="0"/>
        <v>0.37103848</v>
      </c>
      <c r="G39" s="62">
        <v>234540</v>
      </c>
      <c r="H39" s="62">
        <v>1010722</v>
      </c>
      <c r="I39" s="74">
        <f t="shared" si="10"/>
        <v>4.3094000000000001</v>
      </c>
      <c r="J39" s="73">
        <f t="shared" si="1"/>
        <v>4.9933850000000002E-2</v>
      </c>
      <c r="K39" s="62">
        <v>9772</v>
      </c>
      <c r="L39" s="62">
        <v>114108</v>
      </c>
      <c r="M39" s="74">
        <f t="shared" si="11"/>
        <v>11.677</v>
      </c>
      <c r="N39" s="73">
        <f t="shared" si="2"/>
        <v>2.0632709999999999E-2</v>
      </c>
      <c r="O39" s="62">
        <v>102909</v>
      </c>
      <c r="P39" s="62">
        <v>852294</v>
      </c>
      <c r="Q39" s="74">
        <f t="shared" si="12"/>
        <v>8.282</v>
      </c>
      <c r="R39" s="73">
        <f t="shared" si="3"/>
        <v>7.428092E-2</v>
      </c>
      <c r="S39" s="62">
        <v>0</v>
      </c>
      <c r="T39" s="62">
        <v>0</v>
      </c>
      <c r="U39" s="74">
        <f t="shared" si="13"/>
        <v>0</v>
      </c>
      <c r="V39" s="73">
        <f t="shared" si="4"/>
        <v>0</v>
      </c>
      <c r="W39" s="62">
        <v>2336959</v>
      </c>
      <c r="X39" s="75">
        <f t="shared" si="5"/>
        <v>0.11682449</v>
      </c>
      <c r="Y39" s="62">
        <v>10133378</v>
      </c>
      <c r="Z39" s="75">
        <f t="shared" si="6"/>
        <v>0.50656718000000001</v>
      </c>
      <c r="AA39" s="76">
        <f t="shared" si="7"/>
        <v>1.13927763</v>
      </c>
      <c r="AB39" s="77">
        <f t="shared" si="8"/>
        <v>20004016</v>
      </c>
      <c r="AC39" s="62">
        <v>32578873</v>
      </c>
      <c r="AD39" s="78">
        <f t="shared" si="14"/>
        <v>0.38042824159014921</v>
      </c>
      <c r="AE39" s="227"/>
      <c r="AF39" s="227"/>
    </row>
    <row r="40" spans="1:32" x14ac:dyDescent="0.55000000000000004">
      <c r="A40" s="40">
        <v>3625</v>
      </c>
      <c r="B40" s="71" t="s">
        <v>252</v>
      </c>
      <c r="C40" s="62">
        <v>12001892</v>
      </c>
      <c r="D40" s="62">
        <v>756601</v>
      </c>
      <c r="E40" s="72">
        <f>IF(C40=0,0,ROUND(D40/C40,4))</f>
        <v>6.3E-2</v>
      </c>
      <c r="F40" s="73">
        <f t="shared" si="0"/>
        <v>0.46125894000000001</v>
      </c>
      <c r="G40" s="62">
        <v>11479</v>
      </c>
      <c r="H40" s="62">
        <v>137950</v>
      </c>
      <c r="I40" s="74">
        <f>IF(G40=0,0,ROUND(H40/G40,4))</f>
        <v>12.0176</v>
      </c>
      <c r="J40" s="73">
        <f t="shared" si="1"/>
        <v>0.25201772</v>
      </c>
      <c r="K40" s="62">
        <v>61880</v>
      </c>
      <c r="L40" s="62">
        <v>203396</v>
      </c>
      <c r="M40" s="74">
        <f>IF(K40=0,0,ROUND(L40/K40,4))</f>
        <v>3.2869000000000002</v>
      </c>
      <c r="N40" s="73">
        <f t="shared" si="2"/>
        <v>0.13727230000000001</v>
      </c>
      <c r="O40" s="62">
        <v>61880</v>
      </c>
      <c r="P40" s="62">
        <v>145877</v>
      </c>
      <c r="Q40" s="74">
        <f>IF(O40=0,0,ROUND(P40/O40,4))</f>
        <v>2.3574000000000002</v>
      </c>
      <c r="R40" s="73">
        <f t="shared" si="3"/>
        <v>4.7986359999999999E-2</v>
      </c>
      <c r="S40" s="62">
        <v>0</v>
      </c>
      <c r="T40" s="62">
        <v>0</v>
      </c>
      <c r="U40" s="74">
        <f>IF(S40=0,0,ROUND(T40/S40,4))</f>
        <v>0</v>
      </c>
      <c r="V40" s="73">
        <f t="shared" si="4"/>
        <v>0</v>
      </c>
      <c r="W40" s="62">
        <v>0</v>
      </c>
      <c r="X40" s="75">
        <f>ROUND(W40/$AB40,8)</f>
        <v>0</v>
      </c>
      <c r="Y40" s="62">
        <v>264769</v>
      </c>
      <c r="Z40" s="75">
        <f>ROUND(Y40/$AB40,8)</f>
        <v>0.17550724000000001</v>
      </c>
      <c r="AA40" s="76">
        <f>F40+J40+N40+R40+V40+X40+Z40</f>
        <v>1.0740425600000001</v>
      </c>
      <c r="AB40" s="77">
        <f>D40+H40+L40+P40+T40+W40+Y40</f>
        <v>1508593</v>
      </c>
      <c r="AC40" s="62">
        <v>950822</v>
      </c>
      <c r="AD40" s="78">
        <f>AB40/(AB40+AC40)</f>
        <v>0.61339505532819794</v>
      </c>
      <c r="AE40" s="227"/>
      <c r="AF40" s="227"/>
    </row>
    <row r="41" spans="1:32" ht="19.8" thickBot="1" x14ac:dyDescent="0.6">
      <c r="A41" s="40">
        <v>20</v>
      </c>
      <c r="B41" s="71" t="s">
        <v>253</v>
      </c>
      <c r="C41" s="79">
        <v>2691861</v>
      </c>
      <c r="D41" s="80">
        <v>161894</v>
      </c>
      <c r="E41" s="81">
        <f>IF(C41=0,0,ROUND(D41/C41,4))</f>
        <v>6.0100000000000001E-2</v>
      </c>
      <c r="F41" s="82">
        <f t="shared" si="0"/>
        <v>0.80093663000000004</v>
      </c>
      <c r="G41" s="80">
        <v>0</v>
      </c>
      <c r="H41" s="80">
        <v>0</v>
      </c>
      <c r="I41" s="83">
        <f>IF(G41=0,0,ROUND(H41/G41,4))</f>
        <v>0</v>
      </c>
      <c r="J41" s="82">
        <f t="shared" si="1"/>
        <v>0</v>
      </c>
      <c r="K41" s="80">
        <v>2455</v>
      </c>
      <c r="L41" s="80">
        <v>15450</v>
      </c>
      <c r="M41" s="83">
        <f>IF(K41=0,0,ROUND(L41/K41,4))</f>
        <v>6.2933000000000003</v>
      </c>
      <c r="N41" s="82">
        <f t="shared" si="2"/>
        <v>0.16983082999999999</v>
      </c>
      <c r="O41" s="80">
        <v>0</v>
      </c>
      <c r="P41" s="80">
        <v>0</v>
      </c>
      <c r="Q41" s="83">
        <f>IF(O41=0,0,ROUND(P41/O41,4))</f>
        <v>0</v>
      </c>
      <c r="R41" s="82">
        <f t="shared" si="3"/>
        <v>0</v>
      </c>
      <c r="S41" s="80">
        <v>0</v>
      </c>
      <c r="T41" s="80">
        <v>0</v>
      </c>
      <c r="U41" s="83">
        <f>IF(S41=0,0,ROUND(T41/S41,4))</f>
        <v>0</v>
      </c>
      <c r="V41" s="82">
        <f t="shared" si="4"/>
        <v>0</v>
      </c>
      <c r="W41" s="80">
        <v>0</v>
      </c>
      <c r="X41" s="84">
        <f>ROUND(W41/$AB41,8)</f>
        <v>0</v>
      </c>
      <c r="Y41" s="80">
        <v>0</v>
      </c>
      <c r="Z41" s="84">
        <f>ROUND(Y41/$AB41,8)</f>
        <v>0</v>
      </c>
      <c r="AA41" s="85">
        <f>F41+J41+N41+R41+V41+X41+Z41</f>
        <v>0.97076746000000003</v>
      </c>
      <c r="AB41" s="86">
        <f>D41+H41+L41+P41+T41+W41+Y41</f>
        <v>177344</v>
      </c>
      <c r="AC41" s="80">
        <v>0</v>
      </c>
      <c r="AD41" s="87">
        <f>AB41/(AB41+AC41)</f>
        <v>1</v>
      </c>
      <c r="AE41" s="227"/>
      <c r="AF41" s="227"/>
    </row>
    <row r="42" spans="1:32" ht="19.8" thickBot="1" x14ac:dyDescent="0.6">
      <c r="B42" s="88" t="s">
        <v>29</v>
      </c>
      <c r="C42" s="89">
        <f>SUM(C5:C41)</f>
        <v>2043273982</v>
      </c>
      <c r="D42" s="90">
        <f>SUM(D5:D41)</f>
        <v>138729909</v>
      </c>
      <c r="E42" s="91">
        <f>IF(C42=0," ",ROUND(D42/C42,4))</f>
        <v>6.7900000000000002E-2</v>
      </c>
      <c r="F42" s="44">
        <f t="shared" si="0"/>
        <v>0.37410090000000001</v>
      </c>
      <c r="G42" s="92">
        <f>SUM(G5:G41)</f>
        <v>8962377</v>
      </c>
      <c r="H42" s="90">
        <f>SUM(H5:H41)</f>
        <v>38960555.939999998</v>
      </c>
      <c r="I42" s="93">
        <f>IF(G42=0," ",ROUND(H42/G42,4))</f>
        <v>4.3471000000000002</v>
      </c>
      <c r="J42" s="44">
        <f t="shared" si="1"/>
        <v>0.10566422</v>
      </c>
      <c r="K42" s="89">
        <f>SUM(K5:K41)</f>
        <v>7091313</v>
      </c>
      <c r="L42" s="90">
        <f>SUM(L5:L41)</f>
        <v>22698075</v>
      </c>
      <c r="M42" s="93">
        <f>IF(K42=0," ",ROUND(L42/K42,4))</f>
        <v>3.2008000000000001</v>
      </c>
      <c r="N42" s="44">
        <f t="shared" si="2"/>
        <v>6.1222789999999999E-2</v>
      </c>
      <c r="O42" s="90">
        <f>SUM(O5:O41)</f>
        <v>3151588</v>
      </c>
      <c r="P42" s="90">
        <f>SUM(P5:P41)</f>
        <v>15508261</v>
      </c>
      <c r="Q42" s="93">
        <f>IF(O42=0," ",ROUND(P42/O42,4))</f>
        <v>4.9207999999999998</v>
      </c>
      <c r="R42" s="44">
        <f t="shared" si="3"/>
        <v>4.3702680000000001E-2</v>
      </c>
      <c r="S42" s="90">
        <f>SUM(S5:S41)</f>
        <v>1409</v>
      </c>
      <c r="T42" s="90">
        <f>SUM(T5:T41)</f>
        <v>44731</v>
      </c>
      <c r="U42" s="93">
        <f>IF(S42=0," ",ROUND(T42/S42,4))</f>
        <v>31.746600000000001</v>
      </c>
      <c r="V42" s="44">
        <f t="shared" si="4"/>
        <v>1.2169E-4</v>
      </c>
      <c r="W42" s="90">
        <f>SUM(W5:W41)</f>
        <v>23847847</v>
      </c>
      <c r="X42" s="94">
        <f t="shared" si="5"/>
        <v>6.4876680000000006E-2</v>
      </c>
      <c r="Y42" s="90">
        <f>SUM(Y5:Y41)</f>
        <v>127797967</v>
      </c>
      <c r="Z42" s="94">
        <f t="shared" si="6"/>
        <v>0.34766693999999998</v>
      </c>
      <c r="AA42" s="44">
        <f t="shared" si="7"/>
        <v>0.99735589999999996</v>
      </c>
      <c r="AB42" s="90">
        <f>D42+H42+L42+P42+T42+W42+Y42</f>
        <v>367587345.94</v>
      </c>
      <c r="AC42" s="90">
        <f>SUM(AC5:AC41)</f>
        <v>677829195</v>
      </c>
      <c r="AD42" s="95">
        <f t="shared" si="14"/>
        <v>0.351618069491687</v>
      </c>
      <c r="AE42" s="227"/>
      <c r="AF42" s="227"/>
    </row>
    <row r="43" spans="1:32" x14ac:dyDescent="0.55000000000000004">
      <c r="A43" s="96">
        <v>9225</v>
      </c>
      <c r="B43" s="97" t="s">
        <v>254</v>
      </c>
      <c r="C43" s="98">
        <v>10337580</v>
      </c>
      <c r="D43" s="99">
        <v>1038457</v>
      </c>
      <c r="E43" s="100">
        <f t="shared" ref="E43:E52" si="15">IF(C43=0,0,ROUND(D43/C43,4))</f>
        <v>0.10050000000000001</v>
      </c>
      <c r="F43" s="101">
        <f t="shared" si="0"/>
        <v>0.80500872000000001</v>
      </c>
      <c r="G43" s="102">
        <v>607</v>
      </c>
      <c r="H43" s="99">
        <v>32187</v>
      </c>
      <c r="I43" s="103">
        <f t="shared" ref="I43:I52" si="16">IF(G43=0,0,ROUND(H43/G43,4))</f>
        <v>53.026400000000002</v>
      </c>
      <c r="J43" s="101">
        <f t="shared" si="1"/>
        <v>0.20681066000000001</v>
      </c>
      <c r="K43" s="98">
        <v>36591</v>
      </c>
      <c r="L43" s="99">
        <v>206229</v>
      </c>
      <c r="M43" s="103">
        <f t="shared" ref="M43:M52" si="17">IF(K43=0,0,ROUND(L43/K43,4))</f>
        <v>5.6360999999999999</v>
      </c>
      <c r="N43" s="101">
        <f t="shared" si="2"/>
        <v>0.1902353</v>
      </c>
      <c r="O43" s="98">
        <v>36591</v>
      </c>
      <c r="P43" s="99">
        <v>121331</v>
      </c>
      <c r="Q43" s="103">
        <f t="shared" ref="Q43:Q52" si="18">IF(O43=0,0,ROUND(P43/O43,4))</f>
        <v>3.3159000000000001</v>
      </c>
      <c r="R43" s="101">
        <f t="shared" si="3"/>
        <v>4.4748610000000001E-2</v>
      </c>
      <c r="S43" s="104">
        <v>0</v>
      </c>
      <c r="T43" s="105">
        <v>0</v>
      </c>
      <c r="U43" s="103">
        <f t="shared" ref="U43:U52" si="19">IF(S43=0,0,ROUND(T43/S43,4))</f>
        <v>0</v>
      </c>
      <c r="V43" s="101">
        <f t="shared" si="4"/>
        <v>0</v>
      </c>
      <c r="W43" s="106">
        <v>0</v>
      </c>
      <c r="X43" s="67">
        <f t="shared" si="5"/>
        <v>0</v>
      </c>
      <c r="Y43" s="107">
        <v>494416</v>
      </c>
      <c r="Z43" s="67">
        <f t="shared" si="6"/>
        <v>0.26123362999999999</v>
      </c>
      <c r="AA43" s="108">
        <f t="shared" si="7"/>
        <v>1.5080369199999999</v>
      </c>
      <c r="AB43" s="109">
        <f t="shared" ref="AB43:AB52" si="20">D43+H43+L43+P43+T43+W43+Y43</f>
        <v>1892620</v>
      </c>
      <c r="AC43" s="110">
        <v>3085955</v>
      </c>
      <c r="AD43" s="70">
        <f t="shared" si="14"/>
        <v>0.38015295541394878</v>
      </c>
      <c r="AE43" s="227"/>
      <c r="AF43" s="227"/>
    </row>
    <row r="44" spans="1:32" x14ac:dyDescent="0.55000000000000004">
      <c r="A44" s="40">
        <v>9932</v>
      </c>
      <c r="B44" s="71" t="s">
        <v>255</v>
      </c>
      <c r="C44" s="102">
        <v>4055391</v>
      </c>
      <c r="D44" s="102">
        <v>403813</v>
      </c>
      <c r="E44" s="72">
        <f t="shared" si="15"/>
        <v>9.9599999999999994E-2</v>
      </c>
      <c r="F44" s="73">
        <f t="shared" si="0"/>
        <v>0.66873804000000003</v>
      </c>
      <c r="G44" s="102">
        <v>9055</v>
      </c>
      <c r="H44" s="102">
        <v>92843</v>
      </c>
      <c r="I44" s="74">
        <f t="shared" si="16"/>
        <v>10.2532</v>
      </c>
      <c r="J44" s="73">
        <f t="shared" si="1"/>
        <v>0.24864474</v>
      </c>
      <c r="K44" s="102">
        <v>7491</v>
      </c>
      <c r="L44" s="102">
        <v>91731</v>
      </c>
      <c r="M44" s="74">
        <f t="shared" si="17"/>
        <v>12.2455</v>
      </c>
      <c r="N44" s="73">
        <f t="shared" si="2"/>
        <v>0.39630151000000002</v>
      </c>
      <c r="O44" s="102">
        <v>4274</v>
      </c>
      <c r="P44" s="102">
        <v>39032</v>
      </c>
      <c r="Q44" s="74">
        <f t="shared" si="18"/>
        <v>9.1324000000000005</v>
      </c>
      <c r="R44" s="73">
        <f t="shared" si="3"/>
        <v>8.5463860000000003E-2</v>
      </c>
      <c r="S44" s="62">
        <v>0</v>
      </c>
      <c r="T44" s="62">
        <v>0</v>
      </c>
      <c r="U44" s="74">
        <f t="shared" si="19"/>
        <v>0</v>
      </c>
      <c r="V44" s="73">
        <f t="shared" si="4"/>
        <v>0</v>
      </c>
      <c r="W44" s="102">
        <v>0</v>
      </c>
      <c r="X44" s="75">
        <f t="shared" si="5"/>
        <v>0</v>
      </c>
      <c r="Y44" s="102">
        <v>250578</v>
      </c>
      <c r="Z44" s="75">
        <f t="shared" si="6"/>
        <v>0.28539733</v>
      </c>
      <c r="AA44" s="76">
        <f t="shared" si="7"/>
        <v>1.6845454800000002</v>
      </c>
      <c r="AB44" s="77">
        <f t="shared" si="20"/>
        <v>877997</v>
      </c>
      <c r="AC44" s="102">
        <v>3199421</v>
      </c>
      <c r="AD44" s="78">
        <f t="shared" si="14"/>
        <v>0.21533161427158068</v>
      </c>
      <c r="AE44" s="227"/>
      <c r="AF44" s="227"/>
    </row>
    <row r="45" spans="1:32" x14ac:dyDescent="0.55000000000000004">
      <c r="A45" s="40">
        <v>33965</v>
      </c>
      <c r="B45" s="71" t="s">
        <v>256</v>
      </c>
      <c r="C45" s="102">
        <v>1024844</v>
      </c>
      <c r="D45" s="102">
        <v>239313</v>
      </c>
      <c r="E45" s="72">
        <f>IF(C45=0,0,ROUND(D45/C45,4))</f>
        <v>0.23350000000000001</v>
      </c>
      <c r="F45" s="73">
        <f t="shared" si="0"/>
        <v>2.2973276500000002</v>
      </c>
      <c r="G45" s="102">
        <v>6728</v>
      </c>
      <c r="H45" s="102">
        <v>7579</v>
      </c>
      <c r="I45" s="74">
        <f>IF(G45=0,0,ROUND(H45/G45,4))</f>
        <v>1.1265000000000001</v>
      </c>
      <c r="J45" s="73">
        <f t="shared" si="1"/>
        <v>5.5139999999999998E-3</v>
      </c>
      <c r="K45" s="102">
        <v>2709</v>
      </c>
      <c r="L45" s="102">
        <v>15981</v>
      </c>
      <c r="M45" s="74">
        <f>IF(K45=0,0,ROUND(L45/K45,4))</f>
        <v>5.8992000000000004</v>
      </c>
      <c r="N45" s="73">
        <f t="shared" si="2"/>
        <v>8.2240079999999993E-2</v>
      </c>
      <c r="O45" s="102">
        <v>2703</v>
      </c>
      <c r="P45" s="102">
        <v>17219</v>
      </c>
      <c r="Q45" s="74">
        <f>IF(O45=0,0,ROUND(P45/O45,4))</f>
        <v>6.3703000000000003</v>
      </c>
      <c r="R45" s="73">
        <f t="shared" si="3"/>
        <v>6.5027639999999998E-2</v>
      </c>
      <c r="S45" s="62">
        <v>0</v>
      </c>
      <c r="T45" s="62">
        <v>0</v>
      </c>
      <c r="U45" s="74">
        <f>IF(S45=0,0,ROUND(T45/S45,4))</f>
        <v>0</v>
      </c>
      <c r="V45" s="73">
        <f t="shared" si="4"/>
        <v>0</v>
      </c>
      <c r="W45" s="102">
        <v>0</v>
      </c>
      <c r="X45" s="75">
        <f t="shared" si="5"/>
        <v>0</v>
      </c>
      <c r="Y45" s="102">
        <v>74999</v>
      </c>
      <c r="Z45" s="75">
        <f t="shared" si="6"/>
        <v>0.21121065</v>
      </c>
      <c r="AA45" s="76">
        <f t="shared" si="7"/>
        <v>2.6613200199999998</v>
      </c>
      <c r="AB45" s="77">
        <f t="shared" si="20"/>
        <v>355091</v>
      </c>
      <c r="AC45" s="102">
        <v>919337</v>
      </c>
      <c r="AD45" s="78">
        <f t="shared" si="14"/>
        <v>0.27862774515311967</v>
      </c>
      <c r="AE45" s="227"/>
      <c r="AF45" s="227"/>
    </row>
    <row r="46" spans="1:32" x14ac:dyDescent="0.55000000000000004">
      <c r="A46" s="40">
        <v>3634</v>
      </c>
      <c r="B46" s="71" t="s">
        <v>257</v>
      </c>
      <c r="C46" s="102">
        <v>14863160</v>
      </c>
      <c r="D46" s="102">
        <v>1325921</v>
      </c>
      <c r="E46" s="72">
        <f t="shared" si="15"/>
        <v>8.9200000000000002E-2</v>
      </c>
      <c r="F46" s="73">
        <f t="shared" si="0"/>
        <v>0.60906291000000001</v>
      </c>
      <c r="G46" s="102">
        <v>60845</v>
      </c>
      <c r="H46" s="102">
        <v>374269</v>
      </c>
      <c r="I46" s="74">
        <f t="shared" si="16"/>
        <v>6.1512000000000002</v>
      </c>
      <c r="J46" s="73">
        <f t="shared" si="1"/>
        <v>0.18624199999999999</v>
      </c>
      <c r="K46" s="102">
        <v>45055</v>
      </c>
      <c r="L46" s="102">
        <v>341615</v>
      </c>
      <c r="M46" s="74">
        <f t="shared" si="17"/>
        <v>7.5822000000000003</v>
      </c>
      <c r="N46" s="73">
        <f t="shared" si="2"/>
        <v>0.28302740999999998</v>
      </c>
      <c r="O46" s="102">
        <v>51264</v>
      </c>
      <c r="P46" s="102">
        <v>72876</v>
      </c>
      <c r="Q46" s="74">
        <f t="shared" si="18"/>
        <v>1.4216</v>
      </c>
      <c r="R46" s="73">
        <f t="shared" si="3"/>
        <v>7.6931100000000004E-3</v>
      </c>
      <c r="S46" s="62">
        <v>0</v>
      </c>
      <c r="T46" s="62">
        <v>0</v>
      </c>
      <c r="U46" s="74">
        <f t="shared" si="19"/>
        <v>0</v>
      </c>
      <c r="V46" s="73">
        <f t="shared" si="4"/>
        <v>0</v>
      </c>
      <c r="W46" s="102">
        <v>0</v>
      </c>
      <c r="X46" s="75">
        <f t="shared" si="5"/>
        <v>0</v>
      </c>
      <c r="Y46" s="102">
        <v>720167</v>
      </c>
      <c r="Z46" s="75">
        <f t="shared" si="6"/>
        <v>0.25404078000000002</v>
      </c>
      <c r="AA46" s="76">
        <f t="shared" si="7"/>
        <v>1.3400662099999998</v>
      </c>
      <c r="AB46" s="77">
        <f t="shared" si="20"/>
        <v>2834848</v>
      </c>
      <c r="AC46" s="102">
        <v>4800149</v>
      </c>
      <c r="AD46" s="78">
        <f t="shared" si="14"/>
        <v>0.3712965440588909</v>
      </c>
      <c r="AE46" s="227"/>
      <c r="AF46" s="227"/>
    </row>
    <row r="47" spans="1:32" x14ac:dyDescent="0.55000000000000004">
      <c r="A47" s="40">
        <v>203634</v>
      </c>
      <c r="B47" s="71" t="s">
        <v>258</v>
      </c>
      <c r="C47" s="102">
        <v>2647404</v>
      </c>
      <c r="D47" s="102">
        <v>230848</v>
      </c>
      <c r="E47" s="72">
        <f t="shared" si="15"/>
        <v>8.72E-2</v>
      </c>
      <c r="F47" s="73">
        <f t="shared" si="0"/>
        <v>0.72725877999999999</v>
      </c>
      <c r="G47" s="102">
        <v>631</v>
      </c>
      <c r="H47" s="102">
        <v>6313</v>
      </c>
      <c r="I47" s="74">
        <f>IF(G47=0,0,ROUND(H47/G47,4))</f>
        <v>10.004799999999999</v>
      </c>
      <c r="J47" s="73">
        <f>ROUND((I47/I$54)*H47/$AB47,8)</f>
        <v>3.5846339999999997E-2</v>
      </c>
      <c r="K47" s="102">
        <v>72263</v>
      </c>
      <c r="L47" s="102">
        <v>45088</v>
      </c>
      <c r="M47" s="74">
        <f>IF(K47=0,0,ROUND(L47/K47,4))</f>
        <v>0.62390000000000001</v>
      </c>
      <c r="N47" s="73">
        <f t="shared" si="2"/>
        <v>2.156448E-2</v>
      </c>
      <c r="O47" s="102">
        <v>72263</v>
      </c>
      <c r="P47" s="102">
        <v>9981</v>
      </c>
      <c r="Q47" s="74">
        <f>IF(O47=0,0,ROUND(P47/O47,4))</f>
        <v>0.1381</v>
      </c>
      <c r="R47" s="73">
        <f t="shared" si="3"/>
        <v>7.1807999999999996E-4</v>
      </c>
      <c r="S47" s="62">
        <v>0</v>
      </c>
      <c r="T47" s="62">
        <v>0</v>
      </c>
      <c r="U47" s="74">
        <f>IF(S47=0,0,ROUND(T47/S47,4))</f>
        <v>0</v>
      </c>
      <c r="V47" s="73">
        <f t="shared" si="4"/>
        <v>0</v>
      </c>
      <c r="W47" s="102">
        <v>0</v>
      </c>
      <c r="X47" s="75">
        <f>ROUND(W47/$AB47,8)</f>
        <v>0</v>
      </c>
      <c r="Y47" s="102">
        <v>111846</v>
      </c>
      <c r="Z47" s="75">
        <f>ROUND(Y47/$AB47,8)</f>
        <v>0.27679446000000002</v>
      </c>
      <c r="AA47" s="76">
        <f t="shared" si="7"/>
        <v>1.06218214</v>
      </c>
      <c r="AB47" s="77">
        <f>D47+H47+L47+P47+T47+W47+Y47</f>
        <v>404076</v>
      </c>
      <c r="AC47" s="102">
        <v>646121</v>
      </c>
      <c r="AD47" s="78">
        <f t="shared" si="14"/>
        <v>0.38476209701608366</v>
      </c>
      <c r="AE47" s="227"/>
      <c r="AF47" s="227"/>
    </row>
    <row r="48" spans="1:32" ht="20.399999999999999" x14ac:dyDescent="0.55000000000000004">
      <c r="A48" s="40">
        <v>133965</v>
      </c>
      <c r="B48" s="71" t="s">
        <v>151</v>
      </c>
      <c r="C48" s="102">
        <v>0</v>
      </c>
      <c r="D48" s="102">
        <v>0</v>
      </c>
      <c r="E48" s="72">
        <f t="shared" si="15"/>
        <v>0</v>
      </c>
      <c r="F48" s="73"/>
      <c r="G48" s="102">
        <v>0</v>
      </c>
      <c r="H48" s="102">
        <v>0</v>
      </c>
      <c r="I48" s="74">
        <f>IF(G48=0,0,ROUND(H48/G48,4))</f>
        <v>0</v>
      </c>
      <c r="J48" s="73"/>
      <c r="K48" s="102">
        <v>0</v>
      </c>
      <c r="L48" s="102">
        <v>0</v>
      </c>
      <c r="M48" s="74">
        <f>IF(K48=0,0,ROUND(L48/K48,4))</f>
        <v>0</v>
      </c>
      <c r="N48" s="73">
        <v>0</v>
      </c>
      <c r="O48" s="102">
        <v>0</v>
      </c>
      <c r="P48" s="102">
        <v>0</v>
      </c>
      <c r="Q48" s="74">
        <f>IF(O48=0,0,ROUND(P48/O48,4))</f>
        <v>0</v>
      </c>
      <c r="R48" s="73">
        <v>0</v>
      </c>
      <c r="S48" s="62">
        <v>0</v>
      </c>
      <c r="T48" s="62">
        <v>0</v>
      </c>
      <c r="U48" s="74">
        <f>IF(S48=0,0,ROUND(T48/S48,4))</f>
        <v>0</v>
      </c>
      <c r="V48" s="73">
        <v>0</v>
      </c>
      <c r="W48" s="102">
        <v>0</v>
      </c>
      <c r="X48" s="75">
        <v>0</v>
      </c>
      <c r="Y48" s="102">
        <v>0</v>
      </c>
      <c r="Z48" s="75">
        <v>0</v>
      </c>
      <c r="AA48" s="76">
        <f t="shared" si="7"/>
        <v>0</v>
      </c>
      <c r="AB48" s="77">
        <f>D48+H48+L48+P48+T48+W48+Y48</f>
        <v>0</v>
      </c>
      <c r="AC48" s="102">
        <v>401496</v>
      </c>
      <c r="AD48" s="78">
        <f t="shared" si="14"/>
        <v>0</v>
      </c>
      <c r="AE48" s="227"/>
      <c r="AF48" s="227"/>
    </row>
    <row r="49" spans="1:32" x14ac:dyDescent="0.55000000000000004">
      <c r="A49" s="40"/>
      <c r="B49" s="71" t="s">
        <v>266</v>
      </c>
      <c r="C49" s="102">
        <v>0</v>
      </c>
      <c r="D49" s="102">
        <v>0</v>
      </c>
      <c r="E49" s="72"/>
      <c r="F49" s="73"/>
      <c r="G49" s="102">
        <v>0</v>
      </c>
      <c r="H49" s="102">
        <v>0</v>
      </c>
      <c r="I49" s="74"/>
      <c r="J49" s="73"/>
      <c r="K49" s="102">
        <v>0</v>
      </c>
      <c r="L49" s="102">
        <v>0</v>
      </c>
      <c r="M49" s="74">
        <f>IF(K49=0,0,ROUND(L49/K49,4))</f>
        <v>0</v>
      </c>
      <c r="N49" s="73">
        <v>0</v>
      </c>
      <c r="O49" s="102">
        <v>0</v>
      </c>
      <c r="P49" s="102">
        <v>0</v>
      </c>
      <c r="Q49" s="74">
        <f>IF(O49=0,0,ROUND(P49/O49,4))</f>
        <v>0</v>
      </c>
      <c r="R49" s="73">
        <v>0</v>
      </c>
      <c r="S49" s="62">
        <v>0</v>
      </c>
      <c r="T49" s="62">
        <v>0</v>
      </c>
      <c r="U49" s="74">
        <f>IF(S49=0,0,ROUND(T49/S49,4))</f>
        <v>0</v>
      </c>
      <c r="V49" s="73">
        <v>0</v>
      </c>
      <c r="W49" s="62">
        <v>0</v>
      </c>
      <c r="X49" s="75">
        <v>0</v>
      </c>
      <c r="Y49" s="102">
        <v>0</v>
      </c>
      <c r="Z49" s="75">
        <v>0</v>
      </c>
      <c r="AA49" s="76">
        <f t="shared" ref="AA49" si="21">F49+J49+N49+R49+V49+X49+Z49</f>
        <v>0</v>
      </c>
      <c r="AB49" s="77">
        <f>D49+H49+L49+P49+T49+W49+Y49</f>
        <v>0</v>
      </c>
      <c r="AC49" s="102">
        <v>0</v>
      </c>
      <c r="AD49" s="78" t="e">
        <f t="shared" si="14"/>
        <v>#DIV/0!</v>
      </c>
      <c r="AE49" s="227"/>
      <c r="AF49" s="227"/>
    </row>
    <row r="50" spans="1:32" x14ac:dyDescent="0.55000000000000004">
      <c r="A50" s="40">
        <v>36273</v>
      </c>
      <c r="B50" s="71" t="s">
        <v>52</v>
      </c>
      <c r="C50" s="102">
        <v>4233738</v>
      </c>
      <c r="D50" s="102">
        <v>355052</v>
      </c>
      <c r="E50" s="72">
        <f t="shared" si="15"/>
        <v>8.3900000000000002E-2</v>
      </c>
      <c r="F50" s="73">
        <f t="shared" si="0"/>
        <v>1.1090129200000001</v>
      </c>
      <c r="G50" s="102">
        <v>8051</v>
      </c>
      <c r="H50" s="102">
        <v>10529</v>
      </c>
      <c r="I50" s="74">
        <f t="shared" si="16"/>
        <v>1.3078000000000001</v>
      </c>
      <c r="J50" s="73">
        <f t="shared" ref="J50:J54" si="22">ROUND((I50/I$54)*H50/$AB50,8)</f>
        <v>8.0531400000000003E-3</v>
      </c>
      <c r="K50" s="102">
        <v>1945</v>
      </c>
      <c r="L50" s="102">
        <v>13273</v>
      </c>
      <c r="M50" s="74">
        <f t="shared" si="17"/>
        <v>6.8242000000000003</v>
      </c>
      <c r="N50" s="73">
        <f t="shared" si="2"/>
        <v>7.1551740000000003E-2</v>
      </c>
      <c r="O50" s="102">
        <v>1945</v>
      </c>
      <c r="P50" s="102">
        <v>13273</v>
      </c>
      <c r="Q50" s="74">
        <f t="shared" si="18"/>
        <v>6.8242000000000003</v>
      </c>
      <c r="R50" s="73">
        <f t="shared" si="3"/>
        <v>4.8625479999999999E-2</v>
      </c>
      <c r="S50" s="62">
        <v>0</v>
      </c>
      <c r="T50" s="62">
        <v>0</v>
      </c>
      <c r="U50" s="74">
        <f t="shared" si="19"/>
        <v>0</v>
      </c>
      <c r="V50" s="73">
        <f t="shared" si="4"/>
        <v>0</v>
      </c>
      <c r="W50" s="102">
        <v>0</v>
      </c>
      <c r="X50" s="75">
        <f t="shared" si="5"/>
        <v>0</v>
      </c>
      <c r="Y50" s="102">
        <v>0</v>
      </c>
      <c r="Z50" s="75">
        <f t="shared" si="6"/>
        <v>0</v>
      </c>
      <c r="AA50" s="76">
        <f t="shared" si="7"/>
        <v>1.2372432799999999</v>
      </c>
      <c r="AB50" s="77">
        <f t="shared" si="20"/>
        <v>392127</v>
      </c>
      <c r="AC50" s="102">
        <v>2399102</v>
      </c>
      <c r="AD50" s="78">
        <f t="shared" si="14"/>
        <v>0.1404854277452692</v>
      </c>
      <c r="AE50" s="227"/>
      <c r="AF50" s="227"/>
    </row>
    <row r="51" spans="1:32" x14ac:dyDescent="0.55000000000000004">
      <c r="A51" s="40">
        <v>23582</v>
      </c>
      <c r="B51" s="71" t="s">
        <v>53</v>
      </c>
      <c r="C51" s="102">
        <v>6594915</v>
      </c>
      <c r="D51" s="102">
        <v>471758</v>
      </c>
      <c r="E51" s="72">
        <f t="shared" si="15"/>
        <v>7.1499999999999994E-2</v>
      </c>
      <c r="F51" s="73">
        <f t="shared" si="0"/>
        <v>0.61883832000000005</v>
      </c>
      <c r="G51" s="102">
        <v>16052</v>
      </c>
      <c r="H51" s="102">
        <v>15615</v>
      </c>
      <c r="I51" s="74">
        <f t="shared" si="16"/>
        <v>0.9728</v>
      </c>
      <c r="J51" s="73">
        <f t="shared" si="22"/>
        <v>4.3779600000000002E-3</v>
      </c>
      <c r="K51" s="102">
        <v>15816</v>
      </c>
      <c r="L51" s="102">
        <v>46592</v>
      </c>
      <c r="M51" s="74">
        <f t="shared" si="17"/>
        <v>2.9459</v>
      </c>
      <c r="N51" s="73">
        <f t="shared" si="2"/>
        <v>5.3431569999999998E-2</v>
      </c>
      <c r="O51" s="102">
        <v>15816</v>
      </c>
      <c r="P51" s="102">
        <v>59501</v>
      </c>
      <c r="Q51" s="74">
        <f t="shared" si="18"/>
        <v>3.7621000000000002</v>
      </c>
      <c r="R51" s="73">
        <f t="shared" si="3"/>
        <v>5.9219790000000001E-2</v>
      </c>
      <c r="S51" s="62">
        <v>0</v>
      </c>
      <c r="T51" s="62">
        <v>0</v>
      </c>
      <c r="U51" s="74">
        <f t="shared" si="19"/>
        <v>0</v>
      </c>
      <c r="V51" s="73">
        <f t="shared" si="4"/>
        <v>0</v>
      </c>
      <c r="W51" s="102">
        <v>0</v>
      </c>
      <c r="X51" s="75">
        <f t="shared" si="5"/>
        <v>0</v>
      </c>
      <c r="Y51" s="102">
        <v>202249</v>
      </c>
      <c r="Z51" s="75">
        <f t="shared" si="6"/>
        <v>0.25417265999999999</v>
      </c>
      <c r="AA51" s="76">
        <f t="shared" si="7"/>
        <v>0.99004029999999998</v>
      </c>
      <c r="AB51" s="77">
        <f t="shared" si="20"/>
        <v>795715</v>
      </c>
      <c r="AC51" s="102">
        <v>4140207</v>
      </c>
      <c r="AD51" s="78">
        <f t="shared" si="14"/>
        <v>0.1612089899313644</v>
      </c>
      <c r="AE51" s="227"/>
      <c r="AF51" s="227"/>
    </row>
    <row r="52" spans="1:32" ht="19.8" thickBot="1" x14ac:dyDescent="0.6">
      <c r="A52" s="41">
        <v>23485</v>
      </c>
      <c r="B52" s="111" t="s">
        <v>54</v>
      </c>
      <c r="C52" s="102">
        <v>5456341</v>
      </c>
      <c r="D52" s="102">
        <v>480189</v>
      </c>
      <c r="E52" s="81">
        <f t="shared" si="15"/>
        <v>8.7999999999999995E-2</v>
      </c>
      <c r="F52" s="82">
        <f t="shared" si="0"/>
        <v>0.95230508000000003</v>
      </c>
      <c r="G52" s="102">
        <v>15249</v>
      </c>
      <c r="H52" s="102">
        <v>91496</v>
      </c>
      <c r="I52" s="83">
        <f t="shared" si="16"/>
        <v>6.0000999999999998</v>
      </c>
      <c r="J52" s="82">
        <f t="shared" si="22"/>
        <v>0.19435516999999999</v>
      </c>
      <c r="K52" s="112">
        <v>6932</v>
      </c>
      <c r="L52" s="113">
        <v>43654</v>
      </c>
      <c r="M52" s="83">
        <f t="shared" si="17"/>
        <v>6.2975000000000003</v>
      </c>
      <c r="N52" s="82">
        <f t="shared" si="2"/>
        <v>0.13145894</v>
      </c>
      <c r="O52" s="112">
        <v>5157</v>
      </c>
      <c r="P52" s="113">
        <v>32442</v>
      </c>
      <c r="Q52" s="83">
        <f t="shared" si="18"/>
        <v>6.2908999999999997</v>
      </c>
      <c r="R52" s="82">
        <f t="shared" si="3"/>
        <v>6.632267E-2</v>
      </c>
      <c r="S52" s="79">
        <v>0</v>
      </c>
      <c r="T52" s="80">
        <v>0</v>
      </c>
      <c r="U52" s="83">
        <f t="shared" si="19"/>
        <v>0</v>
      </c>
      <c r="V52" s="82">
        <f t="shared" si="4"/>
        <v>0</v>
      </c>
      <c r="W52" s="112">
        <v>0</v>
      </c>
      <c r="X52" s="84">
        <f t="shared" si="5"/>
        <v>0</v>
      </c>
      <c r="Y52" s="114">
        <v>0</v>
      </c>
      <c r="Z52" s="84">
        <f t="shared" si="6"/>
        <v>0</v>
      </c>
      <c r="AA52" s="85">
        <f t="shared" si="7"/>
        <v>1.3444418599999999</v>
      </c>
      <c r="AB52" s="86">
        <f t="shared" si="20"/>
        <v>647781</v>
      </c>
      <c r="AC52" s="112">
        <v>2424682</v>
      </c>
      <c r="AD52" s="87">
        <f t="shared" si="14"/>
        <v>0.2108344347840804</v>
      </c>
      <c r="AE52" s="227"/>
      <c r="AF52" s="227"/>
    </row>
    <row r="53" spans="1:32" x14ac:dyDescent="0.55000000000000004">
      <c r="B53" s="88" t="s">
        <v>30</v>
      </c>
      <c r="C53" s="115">
        <f>SUM(C43:C52)</f>
        <v>49213373</v>
      </c>
      <c r="D53" s="90">
        <f>SUM(D43:D52)</f>
        <v>4545351</v>
      </c>
      <c r="E53" s="93">
        <f>IF(C53=0,0,ROUND(D53/C53,4))</f>
        <v>9.2399999999999996E-2</v>
      </c>
      <c r="F53" s="44">
        <f t="shared" si="0"/>
        <v>0.74768981999999995</v>
      </c>
      <c r="G53" s="90">
        <f>SUM(G43:G52)</f>
        <v>117218</v>
      </c>
      <c r="H53" s="90">
        <f>SUM(H43:H52)</f>
        <v>630831</v>
      </c>
      <c r="I53" s="93">
        <f>IF(G53=0,0,ROUND(H53/G53,4))</f>
        <v>5.3817000000000004</v>
      </c>
      <c r="J53" s="44">
        <f t="shared" si="22"/>
        <v>9.4944290000000001E-2</v>
      </c>
      <c r="K53" s="90">
        <f>SUM(K43:K52)</f>
        <v>188802</v>
      </c>
      <c r="L53" s="90">
        <f>SUM(L43:L52)</f>
        <v>804163</v>
      </c>
      <c r="M53" s="93">
        <f>IF(K53=0,0,ROUND(L53/K53,4))</f>
        <v>4.2592999999999996</v>
      </c>
      <c r="N53" s="44">
        <f t="shared" si="2"/>
        <v>0.12938415</v>
      </c>
      <c r="O53" s="90">
        <f>SUM(O43:O52)</f>
        <v>190013</v>
      </c>
      <c r="P53" s="90">
        <f>SUM(P43:P52)</f>
        <v>365655</v>
      </c>
      <c r="Q53" s="93">
        <f>IF(O53=0,0,ROUND(P53/O53,4))</f>
        <v>1.9244000000000001</v>
      </c>
      <c r="R53" s="44">
        <f t="shared" si="3"/>
        <v>1.806381E-2</v>
      </c>
      <c r="S53" s="89">
        <f>SUM(S43:S52)</f>
        <v>0</v>
      </c>
      <c r="T53" s="90">
        <f>SUM(T43:T52)</f>
        <v>0</v>
      </c>
      <c r="U53" s="93">
        <f>IF(S53=0,0,ROUND(T53/S53,4))</f>
        <v>0</v>
      </c>
      <c r="V53" s="44">
        <f t="shared" si="4"/>
        <v>0</v>
      </c>
      <c r="W53" s="90">
        <f>SUM(W43:W52)</f>
        <v>0</v>
      </c>
      <c r="X53" s="94">
        <f>ROUND(W53/$AB53,8)</f>
        <v>0</v>
      </c>
      <c r="Y53" s="90">
        <f>SUM(Y43:Y52)</f>
        <v>1854255</v>
      </c>
      <c r="Z53" s="94">
        <f>ROUND(Y53/$AB53,8)</f>
        <v>0.22612162999999999</v>
      </c>
      <c r="AA53" s="44">
        <f>F53+J53+N53+R53+V53+X53+Z53</f>
        <v>1.2162037000000001</v>
      </c>
      <c r="AB53" s="90">
        <f>D53+H53+L53+P53+T53+W53+Y53</f>
        <v>8200255</v>
      </c>
      <c r="AC53" s="90">
        <f>SUM(AC43:AC52)</f>
        <v>22016470</v>
      </c>
      <c r="AD53" s="95">
        <f t="shared" si="14"/>
        <v>0.27138132937967302</v>
      </c>
      <c r="AE53" s="227"/>
      <c r="AF53" s="227"/>
    </row>
    <row r="54" spans="1:32" x14ac:dyDescent="0.55000000000000004">
      <c r="B54" s="116" t="s">
        <v>1</v>
      </c>
      <c r="C54" s="90">
        <f>C42+C53</f>
        <v>2092487355</v>
      </c>
      <c r="D54" s="43">
        <f>D53+D42</f>
        <v>143275260</v>
      </c>
      <c r="E54" s="117">
        <f>IF(C54=0,0,ROUND(D54/C54,4))</f>
        <v>6.8500000000000005E-2</v>
      </c>
      <c r="F54" s="44">
        <f t="shared" si="0"/>
        <v>0.38126660000000001</v>
      </c>
      <c r="G54" s="90">
        <f>G42+G53</f>
        <v>9079595</v>
      </c>
      <c r="H54" s="43">
        <f>H53+H42</f>
        <v>39591386.939999998</v>
      </c>
      <c r="I54" s="117">
        <f>IF(G54=0,0,ROUND(H54/G54,4))</f>
        <v>4.3605</v>
      </c>
      <c r="J54" s="44">
        <f t="shared" si="22"/>
        <v>0.10535576000000001</v>
      </c>
      <c r="K54" s="90">
        <f>K42+K53</f>
        <v>7280115</v>
      </c>
      <c r="L54" s="43">
        <f>L53+L42</f>
        <v>23502238</v>
      </c>
      <c r="M54" s="117">
        <f>IF(K54=0,0,ROUND(L54/K54,4))</f>
        <v>3.2282999999999999</v>
      </c>
      <c r="N54" s="44">
        <f t="shared" si="2"/>
        <v>6.2541280000000005E-2</v>
      </c>
      <c r="O54" s="90">
        <f>O42+O53</f>
        <v>3341601</v>
      </c>
      <c r="P54" s="43">
        <f>P53+P42</f>
        <v>15873916</v>
      </c>
      <c r="Q54" s="117">
        <f>IF(O54=0,0,ROUND(P54/O54,4))</f>
        <v>4.7504</v>
      </c>
      <c r="R54" s="44">
        <f t="shared" si="3"/>
        <v>4.2241720000000003E-2</v>
      </c>
      <c r="S54" s="89">
        <f>S42+S53</f>
        <v>1409</v>
      </c>
      <c r="T54" s="43">
        <f>T53+T42</f>
        <v>44731</v>
      </c>
      <c r="U54" s="117">
        <f>IF(S54=0,0,ROUND(T54/S54,4))</f>
        <v>31.746600000000001</v>
      </c>
      <c r="V54" s="44">
        <f t="shared" si="4"/>
        <v>1.1903E-4</v>
      </c>
      <c r="W54" s="43">
        <f>W53+W42</f>
        <v>23847847</v>
      </c>
      <c r="X54" s="94">
        <f>ROUND(W54/$AB54,8)</f>
        <v>6.3460970000000005E-2</v>
      </c>
      <c r="Y54" s="43">
        <f>Y53+Y42</f>
        <v>129652222</v>
      </c>
      <c r="Z54" s="94">
        <f>ROUND(Y54/$AB54,8)</f>
        <v>0.34501463999999998</v>
      </c>
      <c r="AA54" s="44">
        <f>F54+J54+N54+R54+V54+X54+Z54</f>
        <v>1.0000000000000002</v>
      </c>
      <c r="AB54" s="43">
        <f>D54+H54+L54+P54+T54+W54+Y54</f>
        <v>375787600.94</v>
      </c>
      <c r="AC54" s="43">
        <f>AC42+AC53</f>
        <v>699845665</v>
      </c>
      <c r="AD54" s="118">
        <f t="shared" si="14"/>
        <v>0.34936405635576712</v>
      </c>
      <c r="AE54" s="227"/>
      <c r="AF54" s="227"/>
    </row>
    <row r="55" spans="1:32" x14ac:dyDescent="0.55000000000000004">
      <c r="B55" s="116"/>
      <c r="C55" s="90"/>
      <c r="D55" s="43"/>
      <c r="E55" s="117"/>
      <c r="F55" s="44"/>
      <c r="G55" s="90"/>
      <c r="H55" s="43"/>
      <c r="I55" s="117"/>
      <c r="J55" s="44"/>
      <c r="K55" s="90"/>
      <c r="L55" s="43"/>
      <c r="M55" s="117"/>
      <c r="N55" s="44"/>
      <c r="O55" s="90"/>
      <c r="P55" s="43"/>
      <c r="Q55" s="117"/>
      <c r="R55" s="44"/>
      <c r="S55" s="89"/>
      <c r="T55" s="43"/>
      <c r="U55" s="117"/>
      <c r="V55" s="44"/>
      <c r="W55" s="43"/>
      <c r="X55" s="94"/>
      <c r="Y55" s="43"/>
      <c r="Z55" s="94"/>
      <c r="AA55" s="44"/>
      <c r="AB55" s="43"/>
      <c r="AC55" s="43"/>
      <c r="AD55" s="118"/>
      <c r="AE55" s="227"/>
      <c r="AF55" s="227"/>
    </row>
    <row r="56" spans="1:32" ht="20.399999999999999" x14ac:dyDescent="0.55000000000000004">
      <c r="A56" s="119" t="s">
        <v>267</v>
      </c>
      <c r="B56" s="155"/>
      <c r="C56" s="90"/>
      <c r="D56" s="43"/>
      <c r="E56" s="117"/>
      <c r="F56" s="44"/>
      <c r="G56" s="90"/>
      <c r="H56" s="43"/>
      <c r="I56" s="117"/>
      <c r="J56" s="44"/>
      <c r="K56" s="90"/>
      <c r="L56" s="117"/>
      <c r="M56" s="117"/>
      <c r="N56" s="44"/>
      <c r="O56" s="90"/>
      <c r="P56" s="43"/>
      <c r="Q56" s="117"/>
      <c r="R56" s="44"/>
      <c r="S56" s="89"/>
      <c r="T56" s="43"/>
      <c r="U56" s="117"/>
      <c r="V56" s="44"/>
      <c r="W56" s="43"/>
      <c r="X56" s="94"/>
      <c r="Y56" s="43"/>
      <c r="Z56" s="94"/>
      <c r="AA56" s="44"/>
      <c r="AB56" s="43"/>
    </row>
    <row r="57" spans="1:32" ht="20.399999999999999" x14ac:dyDescent="0.55000000000000004">
      <c r="A57" s="36" t="s">
        <v>152</v>
      </c>
      <c r="E57" s="120"/>
    </row>
    <row r="58" spans="1:32" ht="20.399999999999999" x14ac:dyDescent="0.55000000000000004">
      <c r="A58" s="121" t="s">
        <v>216</v>
      </c>
    </row>
  </sheetData>
  <mergeCells count="12">
    <mergeCell ref="AD3:AD4"/>
    <mergeCell ref="A3:B4"/>
    <mergeCell ref="C3:F3"/>
    <mergeCell ref="G3:J3"/>
    <mergeCell ref="K3:N3"/>
    <mergeCell ref="O3:R3"/>
    <mergeCell ref="S3:V3"/>
    <mergeCell ref="W3:X3"/>
    <mergeCell ref="Y3:Z3"/>
    <mergeCell ref="AA3:AA4"/>
    <mergeCell ref="AB3:AB4"/>
    <mergeCell ref="AC3:AC4"/>
  </mergeCells>
  <conditionalFormatting sqref="E5:E30 E32:E37 E39">
    <cfRule type="top10" dxfId="57" priority="57" bottom="1" rank="4"/>
    <cfRule type="top10" dxfId="56" priority="58" rank="4"/>
  </conditionalFormatting>
  <conditionalFormatting sqref="E31">
    <cfRule type="top10" dxfId="55" priority="40" rank="4"/>
    <cfRule type="top10" dxfId="54" priority="39" bottom="1" rank="4"/>
  </conditionalFormatting>
  <conditionalFormatting sqref="E38">
    <cfRule type="top10" dxfId="53" priority="27" bottom="1" rank="4"/>
    <cfRule type="top10" dxfId="52" priority="28" rank="4"/>
  </conditionalFormatting>
  <conditionalFormatting sqref="E40:E41">
    <cfRule type="top10" dxfId="51" priority="11" bottom="1" rank="4"/>
    <cfRule type="top10" dxfId="50" priority="12" rank="4"/>
  </conditionalFormatting>
  <conditionalFormatting sqref="E43">
    <cfRule type="top10" dxfId="49" priority="13" bottom="1" rank="4"/>
    <cfRule type="top10" dxfId="48" priority="14" rank="4"/>
  </conditionalFormatting>
  <conditionalFormatting sqref="E44:E52">
    <cfRule type="top10" dxfId="47" priority="15" bottom="1" rank="4"/>
    <cfRule type="top10" dxfId="46" priority="16" rank="4"/>
  </conditionalFormatting>
  <conditionalFormatting sqref="I5:I30 I35:I37 I44:I52 I32:I33 I39">
    <cfRule type="top10" dxfId="45" priority="56" rank="4"/>
  </conditionalFormatting>
  <conditionalFormatting sqref="I5:I30 I43:I52 I32:I37 I39">
    <cfRule type="top10" dxfId="44" priority="48" rank="4"/>
    <cfRule type="top10" dxfId="43" priority="47" bottom="1" rank="4"/>
  </conditionalFormatting>
  <conditionalFormatting sqref="I5:I30 I44:I52 I32:I37 I39">
    <cfRule type="top10" dxfId="42" priority="55" bottom="1" rank="4"/>
  </conditionalFormatting>
  <conditionalFormatting sqref="I31">
    <cfRule type="top10" dxfId="41" priority="37" bottom="1" rank="4"/>
    <cfRule type="top10" dxfId="40" priority="29" bottom="1" rank="4"/>
    <cfRule type="top10" dxfId="39" priority="30" rank="4"/>
    <cfRule type="top10" dxfId="38" priority="38" rank="4"/>
  </conditionalFormatting>
  <conditionalFormatting sqref="I38">
    <cfRule type="top10" dxfId="37" priority="25" bottom="1" rank="4"/>
    <cfRule type="top10" dxfId="36" priority="26" rank="4"/>
    <cfRule type="top10" dxfId="35" priority="17" bottom="1" rank="4"/>
    <cfRule type="top10" dxfId="34" priority="18" rank="4"/>
  </conditionalFormatting>
  <conditionalFormatting sqref="I40:I41">
    <cfRule type="top10" dxfId="33" priority="2" rank="4"/>
    <cfRule type="top10" dxfId="32" priority="10" rank="4"/>
    <cfRule type="top10" dxfId="31" priority="1" bottom="1" rank="4"/>
    <cfRule type="top10" dxfId="30" priority="9" bottom="1" rank="4"/>
  </conditionalFormatting>
  <conditionalFormatting sqref="M5:M30 M32:M37 M39 M44:M52">
    <cfRule type="top10" dxfId="29" priority="53" bottom="1" rank="4"/>
  </conditionalFormatting>
  <conditionalFormatting sqref="M5:M30 M35:M37 M32:M33 M39 M44:M52">
    <cfRule type="top10" dxfId="28" priority="54" rank="4"/>
  </conditionalFormatting>
  <conditionalFormatting sqref="M31">
    <cfRule type="top10" dxfId="27" priority="35" bottom="1" rank="4"/>
    <cfRule type="top10" dxfId="26" priority="36" rank="4"/>
  </conditionalFormatting>
  <conditionalFormatting sqref="M38">
    <cfRule type="top10" dxfId="25" priority="23" bottom="1" rank="4"/>
    <cfRule type="top10" dxfId="24" priority="24" rank="4"/>
  </conditionalFormatting>
  <conditionalFormatting sqref="M40:M41">
    <cfRule type="top10" dxfId="23" priority="8" rank="4"/>
    <cfRule type="top10" dxfId="22" priority="7" bottom="1" rank="4"/>
  </conditionalFormatting>
  <conditionalFormatting sqref="M43">
    <cfRule type="top10" dxfId="21" priority="45" bottom="1" rank="4"/>
    <cfRule type="top10" dxfId="20" priority="46" rank="4"/>
  </conditionalFormatting>
  <conditionalFormatting sqref="Q5:Q30 Q32:Q37 Q39 Q44:Q52">
    <cfRule type="top10" dxfId="19" priority="51" bottom="1" rank="4"/>
  </conditionalFormatting>
  <conditionalFormatting sqref="Q5:Q30 Q35:Q37 Q32:Q33 Q39 Q44:Q52">
    <cfRule type="top10" dxfId="18" priority="52" rank="4"/>
  </conditionalFormatting>
  <conditionalFormatting sqref="Q31">
    <cfRule type="top10" dxfId="17" priority="33" bottom="1" rank="4"/>
    <cfRule type="top10" dxfId="16" priority="34" rank="4"/>
  </conditionalFormatting>
  <conditionalFormatting sqref="Q38">
    <cfRule type="top10" dxfId="15" priority="22" rank="4"/>
    <cfRule type="top10" dxfId="14" priority="21" bottom="1" rank="4"/>
  </conditionalFormatting>
  <conditionalFormatting sqref="Q40:Q41">
    <cfRule type="top10" dxfId="13" priority="6" rank="4"/>
    <cfRule type="top10" dxfId="12" priority="5" bottom="1" rank="4"/>
  </conditionalFormatting>
  <conditionalFormatting sqref="Q43">
    <cfRule type="top10" dxfId="11" priority="43" bottom="1" rank="4"/>
    <cfRule type="top10" dxfId="10" priority="44" rank="4"/>
  </conditionalFormatting>
  <conditionalFormatting sqref="U5:U30 U32:U37 U39 U44:U52">
    <cfRule type="top10" dxfId="9" priority="49" bottom="1" rank="4"/>
  </conditionalFormatting>
  <conditionalFormatting sqref="U5:U30 U35:U37 U32:U33 U39 U44:U52">
    <cfRule type="top10" dxfId="8" priority="50" rank="4"/>
  </conditionalFormatting>
  <conditionalFormatting sqref="U31">
    <cfRule type="top10" dxfId="7" priority="31" bottom="1" rank="4"/>
    <cfRule type="top10" dxfId="6" priority="32" rank="4"/>
  </conditionalFormatting>
  <conditionalFormatting sqref="U38">
    <cfRule type="top10" dxfId="5" priority="20" rank="4"/>
    <cfRule type="top10" dxfId="4" priority="19" bottom="1" rank="4"/>
  </conditionalFormatting>
  <conditionalFormatting sqref="U40:U41">
    <cfRule type="top10" dxfId="3" priority="3" bottom="1" rank="4"/>
    <cfRule type="top10" dxfId="2" priority="4" rank="4"/>
  </conditionalFormatting>
  <conditionalFormatting sqref="U43">
    <cfRule type="top10" dxfId="1" priority="41" bottom="1" rank="4"/>
    <cfRule type="top10" dxfId="0" priority="42" rank="4"/>
  </conditionalFormatting>
  <pageMargins left="0.17" right="0.18" top="0.18" bottom="0.49" header="0.18" footer="0.18"/>
  <pageSetup scale="76" fitToWidth="0" orientation="landscape" r:id="rId1"/>
  <headerFooter>
    <oddFooter>Prepared by Paul Turcotte &amp;D&amp;RPage &amp;P</oddFooter>
  </headerFooter>
  <colBreaks count="1" manualBreakCount="1">
    <brk id="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  <pageSetUpPr fitToPage="1"/>
  </sheetPr>
  <dimension ref="A1:H17"/>
  <sheetViews>
    <sheetView showGridLines="0" zoomScale="85" zoomScaleNormal="85" zoomScaleSheetLayoutView="75" workbookViewId="0"/>
  </sheetViews>
  <sheetFormatPr defaultColWidth="9.109375" defaultRowHeight="19.2" x14ac:dyDescent="0.55000000000000004"/>
  <cols>
    <col min="1" max="1" width="10.44140625" style="229" customWidth="1"/>
    <col min="2" max="2" width="29" style="229" customWidth="1"/>
    <col min="3" max="3" width="31.109375" style="229" customWidth="1"/>
    <col min="4" max="5" width="15.88671875" style="229" customWidth="1"/>
    <col min="6" max="10" width="10.109375" style="229" customWidth="1"/>
    <col min="11" max="16384" width="9.109375" style="229"/>
  </cols>
  <sheetData>
    <row r="1" spans="1:8" x14ac:dyDescent="0.55000000000000004">
      <c r="A1" s="228" t="str">
        <f>'Allocation Summary'!A1</f>
        <v>State Colleges Basis for Legislative Appropriations - 2026-2027</v>
      </c>
    </row>
    <row r="2" spans="1:8" ht="19.8" thickBot="1" x14ac:dyDescent="0.6">
      <c r="A2" s="228" t="s">
        <v>21</v>
      </c>
    </row>
    <row r="3" spans="1:8" ht="39" thickBot="1" x14ac:dyDescent="0.6">
      <c r="A3" s="230" t="s">
        <v>2</v>
      </c>
      <c r="B3" s="231" t="s">
        <v>0</v>
      </c>
      <c r="C3" s="232" t="s">
        <v>283</v>
      </c>
      <c r="D3" s="232" t="s">
        <v>50</v>
      </c>
      <c r="E3" s="232" t="s">
        <v>49</v>
      </c>
    </row>
    <row r="4" spans="1:8" x14ac:dyDescent="0.55000000000000004">
      <c r="A4" s="233" t="s">
        <v>55</v>
      </c>
      <c r="B4" s="234" t="s">
        <v>52</v>
      </c>
      <c r="C4" s="235">
        <v>5606</v>
      </c>
      <c r="D4" s="236">
        <f>1316566.5*IF((10000-C4)/5000&gt;1,1,IF((10000-C4)/5000&gt;0,(10000-C4)/5000,0))</f>
        <v>1156998.6402</v>
      </c>
      <c r="E4" s="237">
        <f>D4*2</f>
        <v>2313997.2804</v>
      </c>
      <c r="F4" s="238"/>
      <c r="G4" s="239"/>
      <c r="H4" s="240"/>
    </row>
    <row r="5" spans="1:8" x14ac:dyDescent="0.55000000000000004">
      <c r="A5" s="241" t="s">
        <v>56</v>
      </c>
      <c r="B5" s="242" t="s">
        <v>53</v>
      </c>
      <c r="C5" s="243">
        <v>3613</v>
      </c>
      <c r="D5" s="236">
        <f t="shared" ref="D5:D6" si="0">1316566.5*IF((10000-C5)/5000&gt;1,1,IF((10000-C5)/5000&gt;0,(10000-C5)/5000,0))</f>
        <v>1316566.5</v>
      </c>
      <c r="E5" s="244">
        <f>D5*2</f>
        <v>2633133</v>
      </c>
      <c r="F5" s="238"/>
      <c r="G5" s="239"/>
      <c r="H5" s="240"/>
    </row>
    <row r="6" spans="1:8" ht="19.8" thickBot="1" x14ac:dyDescent="0.6">
      <c r="A6" s="245" t="s">
        <v>57</v>
      </c>
      <c r="B6" s="246" t="s">
        <v>54</v>
      </c>
      <c r="C6" s="247">
        <v>4682</v>
      </c>
      <c r="D6" s="384">
        <f t="shared" si="0"/>
        <v>1316566.5</v>
      </c>
      <c r="E6" s="248">
        <f>D6*2</f>
        <v>2633133</v>
      </c>
      <c r="F6" s="238"/>
      <c r="G6" s="239"/>
      <c r="H6" s="240"/>
    </row>
    <row r="7" spans="1:8" x14ac:dyDescent="0.55000000000000004">
      <c r="B7" s="249" t="s">
        <v>1</v>
      </c>
      <c r="C7" s="250">
        <f>SUM(C4:C6)</f>
        <v>13901</v>
      </c>
      <c r="D7" s="250">
        <f>SUM(D4:D6)</f>
        <v>3790131.6402000003</v>
      </c>
      <c r="E7" s="250">
        <f>SUM(E4:E6)</f>
        <v>7580263.2804000005</v>
      </c>
    </row>
    <row r="8" spans="1:8" x14ac:dyDescent="0.55000000000000004">
      <c r="B8" s="249"/>
      <c r="C8" s="250"/>
      <c r="D8" s="250"/>
      <c r="E8" s="250"/>
    </row>
    <row r="9" spans="1:8" ht="101.4" customHeight="1" x14ac:dyDescent="0.55000000000000004">
      <c r="A9" s="426" t="s">
        <v>261</v>
      </c>
      <c r="B9" s="426"/>
      <c r="C9" s="426"/>
      <c r="D9" s="426"/>
      <c r="E9" s="427"/>
    </row>
    <row r="17" spans="7:7" x14ac:dyDescent="0.55000000000000004">
      <c r="G17" s="251"/>
    </row>
  </sheetData>
  <mergeCells count="1">
    <mergeCell ref="A9:E9"/>
  </mergeCells>
  <pageMargins left="0.34" right="0.26" top="0.49" bottom="0.37" header="0.33" footer="0.16"/>
  <pageSetup scale="91" orientation="portrait" r:id="rId1"/>
  <headerFooter alignWithMargins="0">
    <oddFooter>Prepared by Paul Turcotte &amp;D&amp;RPage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J16"/>
  <sheetViews>
    <sheetView zoomScale="85" zoomScaleNormal="85" workbookViewId="0">
      <selection sqref="A1:G1"/>
    </sheetView>
  </sheetViews>
  <sheetFormatPr defaultColWidth="9.109375" defaultRowHeight="19.2" x14ac:dyDescent="0.55000000000000004"/>
  <cols>
    <col min="1" max="1" width="10.88671875" style="123" customWidth="1"/>
    <col min="2" max="2" width="17.33203125" style="123" bestFit="1" customWidth="1"/>
    <col min="3" max="4" width="9.109375" style="123" bestFit="1" customWidth="1"/>
    <col min="5" max="5" width="10" style="123" customWidth="1"/>
    <col min="6" max="6" width="11.5546875" style="123" bestFit="1" customWidth="1"/>
    <col min="7" max="7" width="10.109375" style="123" bestFit="1" customWidth="1"/>
    <col min="8" max="9" width="7.88671875" style="123" bestFit="1" customWidth="1"/>
    <col min="10" max="10" width="8" style="123" bestFit="1" customWidth="1"/>
    <col min="11" max="11" width="11.5546875" style="123" bestFit="1" customWidth="1"/>
    <col min="12" max="12" width="10.109375" style="123" bestFit="1" customWidth="1"/>
    <col min="13" max="15" width="7.88671875" style="123" bestFit="1" customWidth="1"/>
    <col min="16" max="16" width="11.5546875" style="123" bestFit="1" customWidth="1"/>
    <col min="17" max="17" width="10.109375" style="123" bestFit="1" customWidth="1"/>
    <col min="18" max="18" width="3.6640625" style="123" customWidth="1"/>
    <col min="19" max="21" width="9.6640625" style="123" bestFit="1" customWidth="1"/>
    <col min="22" max="22" width="10.88671875" style="123" bestFit="1" customWidth="1"/>
    <col min="23" max="23" width="10.33203125" style="123" bestFit="1" customWidth="1"/>
    <col min="24" max="24" width="4.33203125" style="123" customWidth="1"/>
    <col min="25" max="36" width="13.109375" style="123" customWidth="1"/>
    <col min="37" max="16384" width="9.109375" style="123"/>
  </cols>
  <sheetData>
    <row r="1" spans="1:36" x14ac:dyDescent="0.55000000000000004">
      <c r="A1" s="428" t="str">
        <f>'Allocation Summary'!A1</f>
        <v>State Colleges Basis for Legislative Appropriations - 2026-2027</v>
      </c>
      <c r="B1" s="428"/>
      <c r="C1" s="428"/>
      <c r="D1" s="428"/>
      <c r="E1" s="428"/>
      <c r="F1" s="428"/>
      <c r="G1" s="428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</row>
    <row r="2" spans="1:36" ht="19.8" thickBot="1" x14ac:dyDescent="0.6">
      <c r="A2" s="429" t="s">
        <v>128</v>
      </c>
      <c r="B2" s="429"/>
      <c r="C2" s="429"/>
      <c r="D2" s="429"/>
      <c r="E2" s="429"/>
      <c r="F2" s="429"/>
      <c r="G2" s="429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</row>
    <row r="3" spans="1:36" ht="20.399999999999999" x14ac:dyDescent="0.55000000000000004">
      <c r="A3" s="430" t="s">
        <v>2</v>
      </c>
      <c r="B3" s="434" t="s">
        <v>0</v>
      </c>
      <c r="C3" s="430" t="s">
        <v>129</v>
      </c>
      <c r="D3" s="431" t="s">
        <v>129</v>
      </c>
      <c r="E3" s="431"/>
      <c r="F3" s="431"/>
      <c r="G3" s="432"/>
      <c r="H3" s="436" t="s">
        <v>130</v>
      </c>
      <c r="I3" s="431"/>
      <c r="J3" s="431"/>
      <c r="K3" s="431"/>
      <c r="L3" s="432"/>
      <c r="M3" s="430" t="s">
        <v>153</v>
      </c>
      <c r="N3" s="431"/>
      <c r="O3" s="431"/>
      <c r="P3" s="431"/>
      <c r="Q3" s="432"/>
      <c r="R3" s="122"/>
      <c r="S3" s="430" t="s">
        <v>131</v>
      </c>
      <c r="T3" s="431"/>
      <c r="U3" s="431"/>
      <c r="V3" s="431"/>
      <c r="W3" s="432"/>
      <c r="X3" s="122"/>
      <c r="Y3" s="430" t="s">
        <v>154</v>
      </c>
      <c r="Z3" s="431"/>
      <c r="AA3" s="431"/>
      <c r="AB3" s="432"/>
      <c r="AC3" s="430" t="s">
        <v>155</v>
      </c>
      <c r="AD3" s="431"/>
      <c r="AE3" s="431"/>
      <c r="AF3" s="432"/>
      <c r="AG3" s="430" t="s">
        <v>156</v>
      </c>
      <c r="AH3" s="431"/>
      <c r="AI3" s="431"/>
      <c r="AJ3" s="432"/>
    </row>
    <row r="4" spans="1:36" ht="79.8" customHeight="1" x14ac:dyDescent="0.55000000000000004">
      <c r="A4" s="433"/>
      <c r="B4" s="435"/>
      <c r="C4" s="124" t="s">
        <v>157</v>
      </c>
      <c r="D4" s="124" t="s">
        <v>270</v>
      </c>
      <c r="E4" s="124" t="s">
        <v>271</v>
      </c>
      <c r="F4" s="124" t="s">
        <v>272</v>
      </c>
      <c r="G4" s="125" t="s">
        <v>132</v>
      </c>
      <c r="H4" s="126" t="s">
        <v>157</v>
      </c>
      <c r="I4" s="124" t="s">
        <v>270</v>
      </c>
      <c r="J4" s="124" t="s">
        <v>271</v>
      </c>
      <c r="K4" s="124" t="s">
        <v>272</v>
      </c>
      <c r="L4" s="125" t="s">
        <v>132</v>
      </c>
      <c r="M4" s="127" t="s">
        <v>157</v>
      </c>
      <c r="N4" s="124" t="s">
        <v>270</v>
      </c>
      <c r="O4" s="124" t="s">
        <v>271</v>
      </c>
      <c r="P4" s="124" t="s">
        <v>272</v>
      </c>
      <c r="Q4" s="125" t="s">
        <v>132</v>
      </c>
      <c r="R4" s="122"/>
      <c r="S4" s="127" t="s">
        <v>157</v>
      </c>
      <c r="T4" s="124" t="s">
        <v>270</v>
      </c>
      <c r="U4" s="124" t="s">
        <v>271</v>
      </c>
      <c r="V4" s="124" t="s">
        <v>273</v>
      </c>
      <c r="W4" s="125" t="s">
        <v>132</v>
      </c>
      <c r="X4" s="122"/>
      <c r="Y4" s="127" t="s">
        <v>158</v>
      </c>
      <c r="Z4" s="124" t="s">
        <v>274</v>
      </c>
      <c r="AA4" s="128" t="s">
        <v>19</v>
      </c>
      <c r="AB4" s="125" t="s">
        <v>132</v>
      </c>
      <c r="AC4" s="127" t="s">
        <v>158</v>
      </c>
      <c r="AD4" s="124" t="s">
        <v>274</v>
      </c>
      <c r="AE4" s="128" t="s">
        <v>19</v>
      </c>
      <c r="AF4" s="125" t="s">
        <v>132</v>
      </c>
      <c r="AG4" s="127" t="s">
        <v>158</v>
      </c>
      <c r="AH4" s="124" t="s">
        <v>274</v>
      </c>
      <c r="AI4" s="128" t="s">
        <v>19</v>
      </c>
      <c r="AJ4" s="125" t="s">
        <v>132</v>
      </c>
    </row>
    <row r="5" spans="1:36" x14ac:dyDescent="0.55000000000000004">
      <c r="A5" s="129">
        <v>36273</v>
      </c>
      <c r="B5" s="159" t="s">
        <v>52</v>
      </c>
      <c r="C5" s="130">
        <v>39535</v>
      </c>
      <c r="D5" s="131">
        <v>41807</v>
      </c>
      <c r="E5" s="131">
        <v>44176</v>
      </c>
      <c r="F5" s="132">
        <f>E5-C5</f>
        <v>4641</v>
      </c>
      <c r="G5" s="133">
        <f>IFERROR(F5/C5,0)</f>
        <v>0.11738965473630959</v>
      </c>
      <c r="H5" s="131">
        <v>4788</v>
      </c>
      <c r="I5" s="131">
        <v>5261</v>
      </c>
      <c r="J5" s="131">
        <v>5606</v>
      </c>
      <c r="K5" s="134">
        <f>J5-H5</f>
        <v>818</v>
      </c>
      <c r="L5" s="135">
        <f t="shared" ref="L5:L8" si="0">IFERROR(ROUND(K5/H5,3),"")</f>
        <v>0.17100000000000001</v>
      </c>
      <c r="M5" s="136">
        <v>2717</v>
      </c>
      <c r="N5" s="137">
        <v>2792</v>
      </c>
      <c r="O5" s="137">
        <v>2945</v>
      </c>
      <c r="P5" s="134">
        <f>O5-M5</f>
        <v>228</v>
      </c>
      <c r="Q5" s="133">
        <f t="shared" ref="Q5:Q8" si="1">IFERROR(ROUND(P5/M5,3),"")</f>
        <v>8.4000000000000005E-2</v>
      </c>
      <c r="R5" s="122"/>
      <c r="S5" s="145">
        <v>278016.95746524649</v>
      </c>
      <c r="T5" s="138">
        <v>278050.40047213499</v>
      </c>
      <c r="U5" s="138">
        <v>297872</v>
      </c>
      <c r="V5" s="139">
        <f>U5-S5</f>
        <v>19855.042534753506</v>
      </c>
      <c r="W5" s="140">
        <f>IFERROR(ROUND(V5/S5,3),"")</f>
        <v>7.0999999999999994E-2</v>
      </c>
      <c r="X5" s="122"/>
      <c r="Y5" s="141">
        <f>AC5+AG5</f>
        <v>1879857</v>
      </c>
      <c r="Z5" s="142">
        <f>AD5+AH5</f>
        <v>2315769.850002131</v>
      </c>
      <c r="AA5" s="134">
        <f>Z5-Y5</f>
        <v>435912.85000213096</v>
      </c>
      <c r="AB5" s="133">
        <f>IFERROR(ROUND(AA5/Y5,3),"")</f>
        <v>0.23200000000000001</v>
      </c>
      <c r="AC5" s="138">
        <v>721296</v>
      </c>
      <c r="AD5" s="143">
        <f>SUMIF(Hours!$A:$A,Comparison!$A5,Hours!L:L)</f>
        <v>906838.07798184699</v>
      </c>
      <c r="AE5" s="134">
        <f t="shared" ref="AE5" si="2">AD5-AC5</f>
        <v>185542.07798184699</v>
      </c>
      <c r="AF5" s="133">
        <f t="shared" ref="AF5:AF8" si="3">IFERROR(ROUND(AE5/AC5,3),"")</f>
        <v>0.25700000000000001</v>
      </c>
      <c r="AG5" s="136">
        <v>1158561</v>
      </c>
      <c r="AH5" s="143">
        <f>SUMIF(Hours!$A:$A,Comparison!$A5,Hours!M:M)</f>
        <v>1408931.7720202839</v>
      </c>
      <c r="AI5" s="134">
        <f t="shared" ref="AI5" si="4">AH5-AG5</f>
        <v>250370.77202028385</v>
      </c>
      <c r="AJ5" s="133">
        <f t="shared" ref="AJ5:AJ8" si="5">IFERROR(ROUND(AI5/AG5,3),"")</f>
        <v>0.216</v>
      </c>
    </row>
    <row r="6" spans="1:36" x14ac:dyDescent="0.55000000000000004">
      <c r="A6" s="129">
        <v>23582</v>
      </c>
      <c r="B6" s="159" t="s">
        <v>53</v>
      </c>
      <c r="C6" s="130">
        <v>21985</v>
      </c>
      <c r="D6" s="131">
        <v>24765</v>
      </c>
      <c r="E6" s="131">
        <v>28154</v>
      </c>
      <c r="F6" s="132">
        <f>E6-C6</f>
        <v>6169</v>
      </c>
      <c r="G6" s="140">
        <f>IFERROR(F6/C6,0)</f>
        <v>0.28060040937002501</v>
      </c>
      <c r="H6" s="131">
        <v>2629</v>
      </c>
      <c r="I6" s="131">
        <v>3154</v>
      </c>
      <c r="J6" s="131">
        <v>3613</v>
      </c>
      <c r="K6" s="134">
        <f t="shared" ref="K6:K7" si="6">J6-H6</f>
        <v>984</v>
      </c>
      <c r="L6" s="144">
        <f t="shared" si="0"/>
        <v>0.374</v>
      </c>
      <c r="M6" s="145">
        <v>1375</v>
      </c>
      <c r="N6" s="131">
        <v>1379</v>
      </c>
      <c r="O6" s="137">
        <v>1877</v>
      </c>
      <c r="P6" s="134">
        <f t="shared" ref="P6:P7" si="7">O6-M6</f>
        <v>502</v>
      </c>
      <c r="Q6" s="140">
        <f t="shared" si="1"/>
        <v>0.36499999999999999</v>
      </c>
      <c r="R6" s="122"/>
      <c r="S6" s="145">
        <v>161848.847155289</v>
      </c>
      <c r="T6" s="138">
        <v>154032.47811114922</v>
      </c>
      <c r="U6" s="138">
        <v>183356</v>
      </c>
      <c r="V6" s="139">
        <f t="shared" ref="V6:V7" si="8">U6-S6</f>
        <v>21507.152844711003</v>
      </c>
      <c r="W6" s="140">
        <f t="shared" ref="W6:W7" si="9">IFERROR(ROUND(V6/S6,3),"")</f>
        <v>0.13300000000000001</v>
      </c>
      <c r="X6" s="122"/>
      <c r="Y6" s="141">
        <f t="shared" ref="Y6:Y7" si="10">AC6+AG6</f>
        <v>1039065</v>
      </c>
      <c r="Z6" s="146">
        <f>AD6+AH6</f>
        <v>1415307.3899253733</v>
      </c>
      <c r="AA6" s="139">
        <f>Z6-Y6</f>
        <v>376242.38992537325</v>
      </c>
      <c r="AB6" s="140">
        <f>IFERROR(ROUND(AA6/Y6,3),"")</f>
        <v>0.36199999999999999</v>
      </c>
      <c r="AC6" s="138">
        <v>572384</v>
      </c>
      <c r="AD6" s="143">
        <f>SUMIF(Hours!$A:$A,Comparison!$A6,Hours!L:L)</f>
        <v>543739.02922885574</v>
      </c>
      <c r="AE6" s="139">
        <f>AD6-AC6</f>
        <v>-28644.970771144261</v>
      </c>
      <c r="AF6" s="140">
        <f t="shared" si="3"/>
        <v>-0.05</v>
      </c>
      <c r="AG6" s="145">
        <v>466681</v>
      </c>
      <c r="AH6" s="143">
        <f>SUMIF(Hours!$A:$A,Comparison!$A6,Hours!M:M)</f>
        <v>871568.3606965174</v>
      </c>
      <c r="AI6" s="139">
        <f>AH6-AG6</f>
        <v>404887.3606965174</v>
      </c>
      <c r="AJ6" s="140">
        <f t="shared" si="5"/>
        <v>0.86799999999999999</v>
      </c>
    </row>
    <row r="7" spans="1:36" x14ac:dyDescent="0.55000000000000004">
      <c r="A7" s="129">
        <v>23485</v>
      </c>
      <c r="B7" s="159" t="s">
        <v>54</v>
      </c>
      <c r="C7" s="130">
        <v>21896</v>
      </c>
      <c r="D7" s="131">
        <v>27274</v>
      </c>
      <c r="E7" s="131">
        <v>30578</v>
      </c>
      <c r="F7" s="132">
        <f>E7-C7</f>
        <v>8682</v>
      </c>
      <c r="G7" s="140">
        <f t="shared" ref="G7:G8" si="11">IFERROR(F7/C7,0)</f>
        <v>0.39651077822433323</v>
      </c>
      <c r="H7" s="131">
        <v>2698</v>
      </c>
      <c r="I7" s="131">
        <v>3941</v>
      </c>
      <c r="J7" s="131">
        <v>4682</v>
      </c>
      <c r="K7" s="134">
        <f t="shared" si="6"/>
        <v>1984</v>
      </c>
      <c r="L7" s="144">
        <f t="shared" si="0"/>
        <v>0.73499999999999999</v>
      </c>
      <c r="M7" s="145">
        <v>1593</v>
      </c>
      <c r="N7" s="131">
        <v>1473</v>
      </c>
      <c r="O7" s="137">
        <v>2039</v>
      </c>
      <c r="P7" s="134">
        <f t="shared" si="7"/>
        <v>446</v>
      </c>
      <c r="Q7" s="140">
        <f t="shared" si="1"/>
        <v>0.28000000000000003</v>
      </c>
      <c r="R7" s="122"/>
      <c r="S7" s="145">
        <v>211529.47749576991</v>
      </c>
      <c r="T7" s="138">
        <v>199090.07435769841</v>
      </c>
      <c r="U7" s="138">
        <v>209483</v>
      </c>
      <c r="V7" s="139">
        <f t="shared" si="8"/>
        <v>-2046.4774957699119</v>
      </c>
      <c r="W7" s="140">
        <f t="shared" si="9"/>
        <v>-0.01</v>
      </c>
      <c r="X7" s="122"/>
      <c r="Y7" s="141">
        <f t="shared" si="10"/>
        <v>1140424</v>
      </c>
      <c r="Z7" s="146">
        <f>AD7+AH7</f>
        <v>1863141.9380828543</v>
      </c>
      <c r="AA7" s="139">
        <f>Z7-Y7</f>
        <v>722717.93808285426</v>
      </c>
      <c r="AB7" s="140">
        <f>IFERROR(ROUND(AA7/Y7,3),"")</f>
        <v>0.63400000000000001</v>
      </c>
      <c r="AC7" s="138">
        <v>597280</v>
      </c>
      <c r="AD7" s="143">
        <f>SUMIF(Hours!$A:$A,Comparison!$A7,Hours!L:L)</f>
        <v>623920.84062311193</v>
      </c>
      <c r="AE7" s="139">
        <f>AD7-AC7</f>
        <v>26640.84062311193</v>
      </c>
      <c r="AF7" s="140">
        <f t="shared" si="3"/>
        <v>4.4999999999999998E-2</v>
      </c>
      <c r="AG7" s="145">
        <v>543144</v>
      </c>
      <c r="AH7" s="143">
        <f>SUMIF(Hours!$A:$A,Comparison!$A7,Hours!M:M)</f>
        <v>1239221.0974597423</v>
      </c>
      <c r="AI7" s="139">
        <f>AH7-AG7</f>
        <v>696077.09745974233</v>
      </c>
      <c r="AJ7" s="140">
        <f t="shared" si="5"/>
        <v>1.282</v>
      </c>
    </row>
    <row r="8" spans="1:36" ht="19.8" thickBot="1" x14ac:dyDescent="0.6">
      <c r="A8" s="147"/>
      <c r="B8" s="148" t="s">
        <v>133</v>
      </c>
      <c r="C8" s="149">
        <f>SUM(C5:C7)</f>
        <v>83416</v>
      </c>
      <c r="D8" s="150">
        <f>SUM(D5:D7)</f>
        <v>93846</v>
      </c>
      <c r="E8" s="151">
        <f>SUM(E5:E7)</f>
        <v>102908</v>
      </c>
      <c r="F8" s="151">
        <f>SUM(F5:F7)</f>
        <v>19492</v>
      </c>
      <c r="G8" s="152">
        <f t="shared" si="11"/>
        <v>0.23367219718039706</v>
      </c>
      <c r="H8" s="150">
        <f>SUM(H5:H7)</f>
        <v>10115</v>
      </c>
      <c r="I8" s="151">
        <f>SUM(I5:I7)</f>
        <v>12356</v>
      </c>
      <c r="J8" s="151">
        <f>SUM(J5:J7)</f>
        <v>13901</v>
      </c>
      <c r="K8" s="151">
        <f>SUM(K5:K7)</f>
        <v>3786</v>
      </c>
      <c r="L8" s="153">
        <f t="shared" si="0"/>
        <v>0.374</v>
      </c>
      <c r="M8" s="150">
        <f>SUM(M5:M7)</f>
        <v>5685</v>
      </c>
      <c r="N8" s="151">
        <f>SUM(N5:N7)</f>
        <v>5644</v>
      </c>
      <c r="O8" s="151">
        <f>SUM(O5:O7)</f>
        <v>6861</v>
      </c>
      <c r="P8" s="151">
        <f>SUM(P5:P7)</f>
        <v>1176</v>
      </c>
      <c r="Q8" s="152">
        <f t="shared" si="1"/>
        <v>0.20699999999999999</v>
      </c>
      <c r="R8" s="122"/>
      <c r="S8" s="149">
        <f>SUM(S5:S7)</f>
        <v>651395.28211630532</v>
      </c>
      <c r="T8" s="151">
        <f>SUM(T5:T7)</f>
        <v>631172.95294098265</v>
      </c>
      <c r="U8" s="151">
        <f>SUM(U5:U7)</f>
        <v>690711</v>
      </c>
      <c r="V8" s="151">
        <f>SUM(V5:V7)</f>
        <v>39315.717883694597</v>
      </c>
      <c r="W8" s="152">
        <f>IFERROR(ROUND(V8/T8,3),"")</f>
        <v>6.2E-2</v>
      </c>
      <c r="X8" s="122"/>
      <c r="Y8" s="149">
        <f>SUM(Y5:Y7)</f>
        <v>4059346</v>
      </c>
      <c r="Z8" s="151">
        <f>SUM(Z5:Z7)</f>
        <v>5594219.1780103585</v>
      </c>
      <c r="AA8" s="151">
        <f>SUM(AA5:AA7)</f>
        <v>1534873.1780103585</v>
      </c>
      <c r="AB8" s="152">
        <f t="shared" ref="AB8" si="12">IFERROR(ROUND(AA8/Y8,3),"")</f>
        <v>0.378</v>
      </c>
      <c r="AC8" s="149">
        <f>SUM(AC5:AC7)</f>
        <v>1890960</v>
      </c>
      <c r="AD8" s="151">
        <f>SUM(AD5:AD7)</f>
        <v>2074497.9478338147</v>
      </c>
      <c r="AE8" s="151">
        <f>SUM(AE5:AE7)</f>
        <v>183537.94783381466</v>
      </c>
      <c r="AF8" s="152">
        <f t="shared" si="3"/>
        <v>9.7000000000000003E-2</v>
      </c>
      <c r="AG8" s="149">
        <f>SUM(AG5:AG7)</f>
        <v>2168386</v>
      </c>
      <c r="AH8" s="151">
        <f>SUM(AH5:AH7)</f>
        <v>3519721.2301765434</v>
      </c>
      <c r="AI8" s="151">
        <f>SUM(AI5:AI7)</f>
        <v>1351335.2301765436</v>
      </c>
      <c r="AJ8" s="152">
        <f t="shared" si="5"/>
        <v>0.623</v>
      </c>
    </row>
    <row r="9" spans="1:36" x14ac:dyDescent="0.55000000000000004">
      <c r="A9" s="122"/>
      <c r="B9" s="122"/>
      <c r="C9" s="122"/>
      <c r="D9" s="122"/>
      <c r="E9" s="122"/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22"/>
      <c r="AI9" s="122"/>
      <c r="AJ9" s="122"/>
    </row>
    <row r="10" spans="1:36" x14ac:dyDescent="0.55000000000000004">
      <c r="A10" s="122" t="s">
        <v>159</v>
      </c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  <c r="AA10" s="122"/>
      <c r="AB10" s="122"/>
      <c r="AC10" s="122"/>
      <c r="AD10" s="122"/>
      <c r="AE10" s="122"/>
      <c r="AF10" s="122"/>
      <c r="AG10" s="122"/>
      <c r="AH10" s="122"/>
      <c r="AI10" s="122"/>
      <c r="AJ10" s="122"/>
    </row>
    <row r="11" spans="1:36" ht="20.399999999999999" x14ac:dyDescent="0.55000000000000004">
      <c r="A11" s="122" t="s">
        <v>282</v>
      </c>
    </row>
    <row r="12" spans="1:36" x14ac:dyDescent="0.55000000000000004">
      <c r="A12" s="154"/>
    </row>
    <row r="16" spans="1:36" x14ac:dyDescent="0.55000000000000004">
      <c r="F16" s="123" t="s">
        <v>134</v>
      </c>
    </row>
  </sheetData>
  <mergeCells count="11">
    <mergeCell ref="A1:G1"/>
    <mergeCell ref="A2:G2"/>
    <mergeCell ref="Y3:AB3"/>
    <mergeCell ref="AC3:AF3"/>
    <mergeCell ref="AG3:AJ3"/>
    <mergeCell ref="A3:A4"/>
    <mergeCell ref="B3:B4"/>
    <mergeCell ref="C3:G3"/>
    <mergeCell ref="H3:L3"/>
    <mergeCell ref="M3:Q3"/>
    <mergeCell ref="S3:W3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AL127"/>
  <sheetViews>
    <sheetView workbookViewId="0">
      <selection activeCell="E14" sqref="E14"/>
    </sheetView>
  </sheetViews>
  <sheetFormatPr defaultColWidth="11.5546875" defaultRowHeight="19.2" x14ac:dyDescent="0.55000000000000004"/>
  <cols>
    <col min="1" max="1" width="8.6640625" style="252" bestFit="1" customWidth="1"/>
    <col min="2" max="2" width="6.6640625" style="252" bestFit="1" customWidth="1"/>
    <col min="3" max="3" width="66.6640625" style="252" bestFit="1" customWidth="1"/>
    <col min="4" max="4" width="11.6640625" style="252" bestFit="1" customWidth="1"/>
    <col min="5" max="5" width="15.6640625" style="252" bestFit="1" customWidth="1"/>
    <col min="6" max="6" width="9.6640625" style="252" bestFit="1" customWidth="1"/>
    <col min="7" max="7" width="13.6640625" style="252" bestFit="1" customWidth="1"/>
    <col min="8" max="8" width="10.6640625" style="252" bestFit="1" customWidth="1"/>
    <col min="9" max="9" width="14.6640625" style="252" bestFit="1" customWidth="1"/>
    <col min="10" max="10" width="9.6640625" style="252" bestFit="1" customWidth="1"/>
    <col min="11" max="11" width="12.6640625" style="252" bestFit="1" customWidth="1"/>
    <col min="12" max="12" width="10.6640625" style="252" bestFit="1" customWidth="1"/>
    <col min="13" max="13" width="11.5546875" style="252"/>
    <col min="14" max="14" width="8.6640625" style="252" bestFit="1" customWidth="1"/>
    <col min="15" max="15" width="6.6640625" style="252" bestFit="1" customWidth="1"/>
    <col min="16" max="16" width="66.6640625" style="252" bestFit="1" customWidth="1"/>
    <col min="17" max="17" width="11.6640625" style="252" bestFit="1" customWidth="1"/>
    <col min="18" max="18" width="15.6640625" style="252" bestFit="1" customWidth="1"/>
    <col min="19" max="19" width="9.6640625" style="252" bestFit="1" customWidth="1"/>
    <col min="20" max="20" width="13.6640625" style="252" bestFit="1" customWidth="1"/>
    <col min="21" max="21" width="10.6640625" style="252" bestFit="1" customWidth="1"/>
    <col min="22" max="22" width="14.6640625" style="252" bestFit="1" customWidth="1"/>
    <col min="23" max="23" width="9.6640625" style="252" bestFit="1" customWidth="1"/>
    <col min="24" max="24" width="12.6640625" style="252" bestFit="1" customWidth="1"/>
    <col min="25" max="25" width="10.6640625" style="252" bestFit="1" customWidth="1"/>
    <col min="26" max="28" width="11.5546875" style="252"/>
    <col min="29" max="29" width="62.6640625" style="252" bestFit="1" customWidth="1"/>
    <col min="30" max="16384" width="11.5546875" style="252"/>
  </cols>
  <sheetData>
    <row r="1" spans="1:38" ht="16.2" customHeight="1" x14ac:dyDescent="0.55000000000000004">
      <c r="A1" s="437" t="s">
        <v>268</v>
      </c>
      <c r="B1" s="437"/>
      <c r="C1" s="437"/>
      <c r="D1" s="437"/>
      <c r="E1" s="437"/>
      <c r="F1" s="437"/>
      <c r="G1" s="437"/>
      <c r="H1" s="437"/>
      <c r="I1" s="437"/>
      <c r="J1" s="437"/>
      <c r="K1" s="437"/>
      <c r="L1" s="437"/>
      <c r="N1" s="437" t="s">
        <v>269</v>
      </c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</row>
    <row r="2" spans="1:38" ht="16.2" customHeight="1" x14ac:dyDescent="0.55000000000000004">
      <c r="A2" s="437" t="s">
        <v>161</v>
      </c>
      <c r="B2" s="437"/>
      <c r="C2" s="437"/>
      <c r="D2" s="437"/>
      <c r="E2" s="437"/>
      <c r="F2" s="437"/>
      <c r="G2" s="437"/>
      <c r="H2" s="437"/>
      <c r="I2" s="437"/>
      <c r="J2" s="437"/>
      <c r="K2" s="437"/>
      <c r="L2" s="437"/>
      <c r="N2" s="437" t="s">
        <v>161</v>
      </c>
      <c r="O2" s="437"/>
      <c r="P2" s="437"/>
      <c r="Q2" s="437"/>
      <c r="R2" s="437"/>
      <c r="S2" s="437"/>
      <c r="T2" s="437"/>
      <c r="U2" s="437"/>
      <c r="V2" s="437"/>
      <c r="W2" s="437"/>
      <c r="X2" s="437"/>
      <c r="Y2" s="437"/>
      <c r="AA2" s="257"/>
      <c r="AB2" s="257"/>
      <c r="AC2" s="257"/>
      <c r="AD2" s="257"/>
      <c r="AE2" s="257"/>
      <c r="AF2" s="257"/>
      <c r="AG2" s="257"/>
      <c r="AH2" s="257"/>
      <c r="AI2" s="257"/>
      <c r="AJ2" s="257"/>
      <c r="AK2" s="257"/>
      <c r="AL2" s="257"/>
    </row>
    <row r="3" spans="1:38" ht="12" customHeight="1" x14ac:dyDescent="0.55000000000000004">
      <c r="AA3" s="258" t="s">
        <v>275</v>
      </c>
      <c r="AB3" s="253"/>
      <c r="AC3" s="258"/>
      <c r="AD3" s="259">
        <v>1.0889973153790429</v>
      </c>
    </row>
    <row r="4" spans="1:38" ht="13.95" customHeight="1" x14ac:dyDescent="0.55000000000000004">
      <c r="A4" s="254" t="s">
        <v>2</v>
      </c>
      <c r="B4" s="254" t="s">
        <v>4</v>
      </c>
      <c r="C4" s="254" t="s">
        <v>162</v>
      </c>
      <c r="D4" s="254" t="s">
        <v>163</v>
      </c>
      <c r="E4" s="254" t="s">
        <v>164</v>
      </c>
      <c r="F4" s="254" t="s">
        <v>165</v>
      </c>
      <c r="G4" s="254" t="s">
        <v>166</v>
      </c>
      <c r="H4" s="254" t="s">
        <v>167</v>
      </c>
      <c r="I4" s="254" t="s">
        <v>168</v>
      </c>
      <c r="J4" s="254" t="s">
        <v>169</v>
      </c>
      <c r="K4" s="254" t="s">
        <v>170</v>
      </c>
      <c r="L4" s="254" t="s">
        <v>1</v>
      </c>
      <c r="N4" s="254" t="s">
        <v>2</v>
      </c>
      <c r="O4" s="254" t="s">
        <v>4</v>
      </c>
      <c r="P4" s="254" t="s">
        <v>162</v>
      </c>
      <c r="Q4" s="254" t="s">
        <v>163</v>
      </c>
      <c r="R4" s="254" t="s">
        <v>164</v>
      </c>
      <c r="S4" s="254" t="s">
        <v>165</v>
      </c>
      <c r="T4" s="254" t="s">
        <v>166</v>
      </c>
      <c r="U4" s="254" t="s">
        <v>167</v>
      </c>
      <c r="V4" s="254" t="s">
        <v>168</v>
      </c>
      <c r="W4" s="254" t="s">
        <v>169</v>
      </c>
      <c r="X4" s="254" t="s">
        <v>170</v>
      </c>
      <c r="Y4" s="254" t="s">
        <v>1</v>
      </c>
      <c r="AA4" s="254" t="s">
        <v>2</v>
      </c>
      <c r="AB4" s="254" t="s">
        <v>4</v>
      </c>
      <c r="AC4" s="254" t="s">
        <v>162</v>
      </c>
      <c r="AD4" s="254" t="s">
        <v>163</v>
      </c>
      <c r="AE4" s="254" t="s">
        <v>164</v>
      </c>
      <c r="AF4" s="254" t="s">
        <v>165</v>
      </c>
      <c r="AG4" s="254" t="s">
        <v>166</v>
      </c>
      <c r="AH4" s="254" t="s">
        <v>167</v>
      </c>
      <c r="AI4" s="254" t="s">
        <v>168</v>
      </c>
      <c r="AJ4" s="254" t="s">
        <v>169</v>
      </c>
      <c r="AK4" s="254" t="s">
        <v>170</v>
      </c>
      <c r="AL4" s="254" t="s">
        <v>1</v>
      </c>
    </row>
    <row r="5" spans="1:38" ht="13.95" customHeight="1" x14ac:dyDescent="0.55000000000000004">
      <c r="A5" s="255" t="s">
        <v>55</v>
      </c>
      <c r="B5" s="255" t="s">
        <v>92</v>
      </c>
      <c r="C5" s="255" t="s">
        <v>171</v>
      </c>
      <c r="D5" s="256">
        <f>Q5+AD5</f>
        <v>0</v>
      </c>
      <c r="E5" s="256">
        <f t="shared" ref="E5:L20" si="0">R5+AE5</f>
        <v>0</v>
      </c>
      <c r="F5" s="256">
        <f t="shared" si="0"/>
        <v>0</v>
      </c>
      <c r="G5" s="256">
        <f t="shared" si="0"/>
        <v>0</v>
      </c>
      <c r="H5" s="256">
        <f t="shared" si="0"/>
        <v>0</v>
      </c>
      <c r="I5" s="256">
        <f t="shared" si="0"/>
        <v>0</v>
      </c>
      <c r="J5" s="256">
        <f t="shared" si="0"/>
        <v>0</v>
      </c>
      <c r="K5" s="256">
        <f t="shared" si="0"/>
        <v>0</v>
      </c>
      <c r="L5" s="256">
        <f t="shared" si="0"/>
        <v>0</v>
      </c>
      <c r="N5" s="255" t="s">
        <v>55</v>
      </c>
      <c r="O5" s="255" t="s">
        <v>92</v>
      </c>
      <c r="P5" s="255" t="s">
        <v>171</v>
      </c>
      <c r="Q5" s="256">
        <v>0</v>
      </c>
      <c r="R5" s="256">
        <v>0</v>
      </c>
      <c r="S5" s="256">
        <v>0</v>
      </c>
      <c r="T5" s="256">
        <v>0</v>
      </c>
      <c r="U5" s="256">
        <v>0</v>
      </c>
      <c r="V5" s="256">
        <v>0</v>
      </c>
      <c r="W5" s="256">
        <v>0</v>
      </c>
      <c r="X5" s="256">
        <v>0</v>
      </c>
      <c r="Y5" s="256">
        <v>0</v>
      </c>
      <c r="AA5" s="255" t="s">
        <v>55</v>
      </c>
      <c r="AB5" s="255" t="s">
        <v>92</v>
      </c>
      <c r="AC5" s="255" t="s">
        <v>171</v>
      </c>
      <c r="AD5" s="256">
        <v>0</v>
      </c>
      <c r="AE5" s="256">
        <v>0</v>
      </c>
      <c r="AF5" s="256">
        <v>0</v>
      </c>
      <c r="AG5" s="256">
        <v>0</v>
      </c>
      <c r="AH5" s="256">
        <v>0</v>
      </c>
      <c r="AI5" s="256">
        <v>0</v>
      </c>
      <c r="AJ5" s="256">
        <v>0</v>
      </c>
      <c r="AK5" s="256">
        <v>0</v>
      </c>
      <c r="AL5" s="256">
        <v>0</v>
      </c>
    </row>
    <row r="6" spans="1:38" ht="13.95" customHeight="1" x14ac:dyDescent="0.55000000000000004">
      <c r="A6" s="255" t="s">
        <v>55</v>
      </c>
      <c r="B6" s="255" t="s">
        <v>93</v>
      </c>
      <c r="C6" s="255" t="s">
        <v>172</v>
      </c>
      <c r="D6" s="256">
        <f t="shared" ref="D6:L41" si="1">Q6+AD6</f>
        <v>0</v>
      </c>
      <c r="E6" s="256">
        <f t="shared" si="0"/>
        <v>0</v>
      </c>
      <c r="F6" s="256">
        <f t="shared" si="0"/>
        <v>0</v>
      </c>
      <c r="G6" s="256">
        <f t="shared" si="0"/>
        <v>0</v>
      </c>
      <c r="H6" s="256">
        <f t="shared" si="0"/>
        <v>164192.7165807304</v>
      </c>
      <c r="I6" s="256">
        <f t="shared" si="0"/>
        <v>0</v>
      </c>
      <c r="J6" s="256">
        <f t="shared" si="0"/>
        <v>9404</v>
      </c>
      <c r="K6" s="256">
        <f t="shared" si="0"/>
        <v>0</v>
      </c>
      <c r="L6" s="256">
        <f t="shared" si="0"/>
        <v>173596.7165807304</v>
      </c>
      <c r="N6" s="255" t="s">
        <v>55</v>
      </c>
      <c r="O6" s="255" t="s">
        <v>93</v>
      </c>
      <c r="P6" s="255" t="s">
        <v>172</v>
      </c>
      <c r="Q6" s="256">
        <v>0</v>
      </c>
      <c r="R6" s="256">
        <v>0</v>
      </c>
      <c r="S6" s="256">
        <v>0</v>
      </c>
      <c r="T6" s="256">
        <v>0</v>
      </c>
      <c r="U6" s="256">
        <v>157184</v>
      </c>
      <c r="V6" s="256">
        <v>0</v>
      </c>
      <c r="W6" s="256">
        <v>9404</v>
      </c>
      <c r="X6" s="256">
        <v>0</v>
      </c>
      <c r="Y6" s="256">
        <v>166588</v>
      </c>
      <c r="AA6" s="255" t="s">
        <v>55</v>
      </c>
      <c r="AB6" s="255" t="s">
        <v>93</v>
      </c>
      <c r="AC6" s="255" t="s">
        <v>172</v>
      </c>
      <c r="AD6" s="256">
        <v>0</v>
      </c>
      <c r="AE6" s="256">
        <v>0</v>
      </c>
      <c r="AF6" s="256">
        <v>0</v>
      </c>
      <c r="AG6" s="256">
        <v>0</v>
      </c>
      <c r="AH6" s="256">
        <v>7008.7165807303845</v>
      </c>
      <c r="AI6" s="256">
        <v>0</v>
      </c>
      <c r="AJ6" s="256">
        <v>0</v>
      </c>
      <c r="AK6" s="256">
        <v>0</v>
      </c>
      <c r="AL6" s="256">
        <v>7008.7165807303845</v>
      </c>
    </row>
    <row r="7" spans="1:38" ht="13.95" customHeight="1" x14ac:dyDescent="0.55000000000000004">
      <c r="A7" s="255" t="s">
        <v>55</v>
      </c>
      <c r="B7" s="255" t="s">
        <v>94</v>
      </c>
      <c r="C7" s="255" t="s">
        <v>173</v>
      </c>
      <c r="D7" s="256">
        <f t="shared" si="1"/>
        <v>0</v>
      </c>
      <c r="E7" s="256">
        <f t="shared" si="0"/>
        <v>213090.3263305919</v>
      </c>
      <c r="F7" s="256">
        <f t="shared" si="0"/>
        <v>0</v>
      </c>
      <c r="G7" s="256">
        <f t="shared" si="0"/>
        <v>0</v>
      </c>
      <c r="H7" s="256">
        <f t="shared" si="0"/>
        <v>128032.75408019772</v>
      </c>
      <c r="I7" s="256">
        <f t="shared" si="0"/>
        <v>0</v>
      </c>
      <c r="J7" s="256">
        <f t="shared" si="0"/>
        <v>400</v>
      </c>
      <c r="K7" s="256">
        <f t="shared" si="0"/>
        <v>0</v>
      </c>
      <c r="L7" s="256">
        <f t="shared" si="0"/>
        <v>341523.08041078964</v>
      </c>
      <c r="N7" s="255" t="s">
        <v>55</v>
      </c>
      <c r="O7" s="255" t="s">
        <v>94</v>
      </c>
      <c r="P7" s="255" t="s">
        <v>173</v>
      </c>
      <c r="Q7" s="256">
        <v>0</v>
      </c>
      <c r="R7" s="256">
        <v>205344</v>
      </c>
      <c r="S7" s="256">
        <v>0</v>
      </c>
      <c r="T7" s="256">
        <v>0</v>
      </c>
      <c r="U7" s="256">
        <v>123328</v>
      </c>
      <c r="V7" s="256">
        <v>0</v>
      </c>
      <c r="W7" s="256">
        <v>400</v>
      </c>
      <c r="X7" s="256">
        <v>0</v>
      </c>
      <c r="Y7" s="256">
        <v>329072</v>
      </c>
      <c r="AA7" s="255" t="s">
        <v>55</v>
      </c>
      <c r="AB7" s="255" t="s">
        <v>94</v>
      </c>
      <c r="AC7" s="255" t="s">
        <v>173</v>
      </c>
      <c r="AD7" s="256">
        <v>0</v>
      </c>
      <c r="AE7" s="256">
        <v>7746.3263305918917</v>
      </c>
      <c r="AF7" s="256">
        <v>0</v>
      </c>
      <c r="AG7" s="256">
        <v>0</v>
      </c>
      <c r="AH7" s="256">
        <v>4704.7540801977229</v>
      </c>
      <c r="AI7" s="256">
        <v>0</v>
      </c>
      <c r="AJ7" s="256">
        <v>0</v>
      </c>
      <c r="AK7" s="256">
        <v>0</v>
      </c>
      <c r="AL7" s="256">
        <v>12451.080410789615</v>
      </c>
    </row>
    <row r="8" spans="1:38" ht="13.95" customHeight="1" x14ac:dyDescent="0.55000000000000004">
      <c r="A8" s="255" t="s">
        <v>55</v>
      </c>
      <c r="B8" s="255" t="s">
        <v>95</v>
      </c>
      <c r="C8" s="255" t="s">
        <v>174</v>
      </c>
      <c r="D8" s="256">
        <f t="shared" si="1"/>
        <v>17840.624536583287</v>
      </c>
      <c r="E8" s="256">
        <f t="shared" si="0"/>
        <v>20173.518217070781</v>
      </c>
      <c r="F8" s="256">
        <f t="shared" si="0"/>
        <v>0</v>
      </c>
      <c r="G8" s="256">
        <f t="shared" si="0"/>
        <v>0</v>
      </c>
      <c r="H8" s="256">
        <f t="shared" si="0"/>
        <v>32281.197937529298</v>
      </c>
      <c r="I8" s="256">
        <f t="shared" si="0"/>
        <v>63462.770017471339</v>
      </c>
      <c r="J8" s="256">
        <f t="shared" si="0"/>
        <v>1800</v>
      </c>
      <c r="K8" s="256">
        <f t="shared" si="0"/>
        <v>32</v>
      </c>
      <c r="L8" s="256">
        <f t="shared" si="0"/>
        <v>135590.11070865471</v>
      </c>
      <c r="N8" s="255" t="s">
        <v>55</v>
      </c>
      <c r="O8" s="255" t="s">
        <v>95</v>
      </c>
      <c r="P8" s="255" t="s">
        <v>174</v>
      </c>
      <c r="Q8" s="256">
        <v>17328</v>
      </c>
      <c r="R8" s="256">
        <v>19584</v>
      </c>
      <c r="S8" s="256">
        <v>0</v>
      </c>
      <c r="T8" s="256">
        <v>0</v>
      </c>
      <c r="U8" s="256">
        <v>31152</v>
      </c>
      <c r="V8" s="256">
        <v>61408</v>
      </c>
      <c r="W8" s="256">
        <v>1800</v>
      </c>
      <c r="X8" s="256">
        <v>32</v>
      </c>
      <c r="Y8" s="256">
        <v>131304</v>
      </c>
      <c r="AA8" s="255" t="s">
        <v>55</v>
      </c>
      <c r="AB8" s="255" t="s">
        <v>95</v>
      </c>
      <c r="AC8" s="255" t="s">
        <v>174</v>
      </c>
      <c r="AD8" s="256">
        <v>512.62453658328695</v>
      </c>
      <c r="AE8" s="256">
        <v>589.51821707078</v>
      </c>
      <c r="AF8" s="256">
        <v>0</v>
      </c>
      <c r="AG8" s="256">
        <v>0</v>
      </c>
      <c r="AH8" s="256">
        <v>1129.197937529296</v>
      </c>
      <c r="AI8" s="256">
        <v>2054.7700174713418</v>
      </c>
      <c r="AJ8" s="256">
        <v>0</v>
      </c>
      <c r="AK8" s="256">
        <v>0</v>
      </c>
      <c r="AL8" s="256">
        <v>4286.1107086547045</v>
      </c>
    </row>
    <row r="9" spans="1:38" ht="13.95" customHeight="1" x14ac:dyDescent="0.55000000000000004">
      <c r="A9" s="255" t="s">
        <v>55</v>
      </c>
      <c r="B9" s="255" t="s">
        <v>96</v>
      </c>
      <c r="C9" s="255" t="s">
        <v>175</v>
      </c>
      <c r="D9" s="256">
        <f t="shared" si="1"/>
        <v>0</v>
      </c>
      <c r="E9" s="256">
        <f t="shared" si="0"/>
        <v>0</v>
      </c>
      <c r="F9" s="256">
        <f t="shared" si="0"/>
        <v>0</v>
      </c>
      <c r="G9" s="256">
        <f t="shared" si="0"/>
        <v>0</v>
      </c>
      <c r="H9" s="256">
        <f t="shared" si="0"/>
        <v>0</v>
      </c>
      <c r="I9" s="256">
        <f t="shared" si="0"/>
        <v>0</v>
      </c>
      <c r="J9" s="256">
        <f t="shared" si="0"/>
        <v>0</v>
      </c>
      <c r="K9" s="256">
        <f t="shared" si="0"/>
        <v>0</v>
      </c>
      <c r="L9" s="256">
        <f t="shared" si="0"/>
        <v>0</v>
      </c>
      <c r="N9" s="255" t="s">
        <v>55</v>
      </c>
      <c r="O9" s="255" t="s">
        <v>96</v>
      </c>
      <c r="P9" s="255" t="s">
        <v>175</v>
      </c>
      <c r="Q9" s="256">
        <v>0</v>
      </c>
      <c r="R9" s="256">
        <v>0</v>
      </c>
      <c r="S9" s="256">
        <v>0</v>
      </c>
      <c r="T9" s="256">
        <v>0</v>
      </c>
      <c r="U9" s="256">
        <v>0</v>
      </c>
      <c r="V9" s="256">
        <v>0</v>
      </c>
      <c r="W9" s="256">
        <v>0</v>
      </c>
      <c r="X9" s="256">
        <v>0</v>
      </c>
      <c r="Y9" s="256">
        <v>0</v>
      </c>
      <c r="AA9" s="255" t="s">
        <v>55</v>
      </c>
      <c r="AB9" s="255" t="s">
        <v>96</v>
      </c>
      <c r="AC9" s="255" t="s">
        <v>175</v>
      </c>
      <c r="AD9" s="256">
        <v>0</v>
      </c>
      <c r="AE9" s="256">
        <v>0</v>
      </c>
      <c r="AF9" s="256">
        <v>0</v>
      </c>
      <c r="AG9" s="256">
        <v>0</v>
      </c>
      <c r="AH9" s="256">
        <v>0</v>
      </c>
      <c r="AI9" s="256">
        <v>0</v>
      </c>
      <c r="AJ9" s="256">
        <v>0</v>
      </c>
      <c r="AK9" s="256">
        <v>0</v>
      </c>
      <c r="AL9" s="256">
        <v>0</v>
      </c>
    </row>
    <row r="10" spans="1:38" ht="13.95" customHeight="1" x14ac:dyDescent="0.55000000000000004">
      <c r="A10" s="255" t="s">
        <v>55</v>
      </c>
      <c r="B10" s="255" t="s">
        <v>97</v>
      </c>
      <c r="C10" s="255" t="s">
        <v>176</v>
      </c>
      <c r="D10" s="256">
        <f t="shared" si="1"/>
        <v>51299.273362594278</v>
      </c>
      <c r="E10" s="256">
        <f t="shared" si="0"/>
        <v>0</v>
      </c>
      <c r="F10" s="256">
        <f t="shared" si="0"/>
        <v>0</v>
      </c>
      <c r="G10" s="256">
        <f t="shared" si="0"/>
        <v>0</v>
      </c>
      <c r="H10" s="256">
        <f t="shared" si="0"/>
        <v>2880</v>
      </c>
      <c r="I10" s="256">
        <f t="shared" si="0"/>
        <v>0</v>
      </c>
      <c r="J10" s="256">
        <f t="shared" si="0"/>
        <v>3924</v>
      </c>
      <c r="K10" s="256">
        <f t="shared" si="0"/>
        <v>0</v>
      </c>
      <c r="L10" s="256">
        <f t="shared" si="0"/>
        <v>58103.273362594278</v>
      </c>
      <c r="N10" s="255" t="s">
        <v>55</v>
      </c>
      <c r="O10" s="255" t="s">
        <v>97</v>
      </c>
      <c r="P10" s="255" t="s">
        <v>176</v>
      </c>
      <c r="Q10" s="256">
        <v>49488</v>
      </c>
      <c r="R10" s="256">
        <v>0</v>
      </c>
      <c r="S10" s="256">
        <v>0</v>
      </c>
      <c r="T10" s="256">
        <v>0</v>
      </c>
      <c r="U10" s="256">
        <v>2880</v>
      </c>
      <c r="V10" s="256">
        <v>0</v>
      </c>
      <c r="W10" s="256">
        <v>3924</v>
      </c>
      <c r="X10" s="256">
        <v>0</v>
      </c>
      <c r="Y10" s="256">
        <v>56292</v>
      </c>
      <c r="AA10" s="255" t="s">
        <v>55</v>
      </c>
      <c r="AB10" s="255" t="s">
        <v>97</v>
      </c>
      <c r="AC10" s="255" t="s">
        <v>176</v>
      </c>
      <c r="AD10" s="256">
        <v>1811.2733625942806</v>
      </c>
      <c r="AE10" s="256">
        <v>0</v>
      </c>
      <c r="AF10" s="256">
        <v>0</v>
      </c>
      <c r="AG10" s="256">
        <v>0</v>
      </c>
      <c r="AH10" s="256">
        <v>0</v>
      </c>
      <c r="AI10" s="256">
        <v>0</v>
      </c>
      <c r="AJ10" s="256">
        <v>0</v>
      </c>
      <c r="AK10" s="256">
        <v>0</v>
      </c>
      <c r="AL10" s="256">
        <v>1811.2733625942806</v>
      </c>
    </row>
    <row r="11" spans="1:38" ht="13.95" customHeight="1" x14ac:dyDescent="0.55000000000000004">
      <c r="A11" s="255" t="s">
        <v>55</v>
      </c>
      <c r="B11" s="255" t="s">
        <v>98</v>
      </c>
      <c r="C11" s="255" t="s">
        <v>177</v>
      </c>
      <c r="D11" s="256">
        <f t="shared" si="1"/>
        <v>0</v>
      </c>
      <c r="E11" s="256">
        <f t="shared" si="0"/>
        <v>0</v>
      </c>
      <c r="F11" s="256">
        <f t="shared" si="0"/>
        <v>0</v>
      </c>
      <c r="G11" s="256">
        <f t="shared" si="0"/>
        <v>0</v>
      </c>
      <c r="H11" s="256">
        <f t="shared" si="0"/>
        <v>0</v>
      </c>
      <c r="I11" s="256">
        <f t="shared" si="0"/>
        <v>44455.286828312099</v>
      </c>
      <c r="J11" s="256">
        <f t="shared" si="0"/>
        <v>0</v>
      </c>
      <c r="K11" s="256">
        <f t="shared" si="0"/>
        <v>28</v>
      </c>
      <c r="L11" s="256">
        <f t="shared" si="0"/>
        <v>44483.286828312099</v>
      </c>
      <c r="N11" s="255" t="s">
        <v>55</v>
      </c>
      <c r="O11" s="255" t="s">
        <v>98</v>
      </c>
      <c r="P11" s="255" t="s">
        <v>177</v>
      </c>
      <c r="Q11" s="256">
        <v>0</v>
      </c>
      <c r="R11" s="256">
        <v>0</v>
      </c>
      <c r="S11" s="256">
        <v>0</v>
      </c>
      <c r="T11" s="256">
        <v>0</v>
      </c>
      <c r="U11" s="256">
        <v>0</v>
      </c>
      <c r="V11" s="256">
        <v>42560</v>
      </c>
      <c r="W11" s="256">
        <v>0</v>
      </c>
      <c r="X11" s="256">
        <v>28</v>
      </c>
      <c r="Y11" s="256">
        <v>42588</v>
      </c>
      <c r="AA11" s="255" t="s">
        <v>55</v>
      </c>
      <c r="AB11" s="255" t="s">
        <v>98</v>
      </c>
      <c r="AC11" s="255" t="s">
        <v>177</v>
      </c>
      <c r="AD11" s="256">
        <v>0</v>
      </c>
      <c r="AE11" s="256">
        <v>0</v>
      </c>
      <c r="AF11" s="256">
        <v>0</v>
      </c>
      <c r="AG11" s="256">
        <v>0</v>
      </c>
      <c r="AH11" s="256">
        <v>0</v>
      </c>
      <c r="AI11" s="256">
        <v>1895.286828312097</v>
      </c>
      <c r="AJ11" s="256">
        <v>0</v>
      </c>
      <c r="AK11" s="256">
        <v>0</v>
      </c>
      <c r="AL11" s="256">
        <v>1895.286828312097</v>
      </c>
    </row>
    <row r="12" spans="1:38" ht="13.95" customHeight="1" x14ac:dyDescent="0.55000000000000004">
      <c r="A12" s="255" t="s">
        <v>55</v>
      </c>
      <c r="B12" s="255" t="s">
        <v>99</v>
      </c>
      <c r="C12" s="255" t="s">
        <v>178</v>
      </c>
      <c r="D12" s="256">
        <f t="shared" si="1"/>
        <v>0</v>
      </c>
      <c r="E12" s="256">
        <f t="shared" si="0"/>
        <v>0</v>
      </c>
      <c r="F12" s="256">
        <f t="shared" si="0"/>
        <v>0</v>
      </c>
      <c r="G12" s="256">
        <f t="shared" si="0"/>
        <v>0</v>
      </c>
      <c r="H12" s="256">
        <f t="shared" si="0"/>
        <v>21099.655516256869</v>
      </c>
      <c r="I12" s="256">
        <f t="shared" si="0"/>
        <v>0</v>
      </c>
      <c r="J12" s="256">
        <f t="shared" si="0"/>
        <v>320</v>
      </c>
      <c r="K12" s="256">
        <f t="shared" si="0"/>
        <v>0</v>
      </c>
      <c r="L12" s="256">
        <f t="shared" si="0"/>
        <v>21419.655516256869</v>
      </c>
      <c r="N12" s="255" t="s">
        <v>55</v>
      </c>
      <c r="O12" s="255" t="s">
        <v>99</v>
      </c>
      <c r="P12" s="255" t="s">
        <v>178</v>
      </c>
      <c r="Q12" s="256">
        <v>0</v>
      </c>
      <c r="R12" s="256">
        <v>0</v>
      </c>
      <c r="S12" s="256">
        <v>0</v>
      </c>
      <c r="T12" s="256">
        <v>0</v>
      </c>
      <c r="U12" s="256">
        <v>20288</v>
      </c>
      <c r="V12" s="256">
        <v>0</v>
      </c>
      <c r="W12" s="256">
        <v>320</v>
      </c>
      <c r="X12" s="256">
        <v>0</v>
      </c>
      <c r="Y12" s="256">
        <v>20608</v>
      </c>
      <c r="AA12" s="255" t="s">
        <v>55</v>
      </c>
      <c r="AB12" s="255" t="s">
        <v>99</v>
      </c>
      <c r="AC12" s="255" t="s">
        <v>178</v>
      </c>
      <c r="AD12" s="256">
        <v>0</v>
      </c>
      <c r="AE12" s="256">
        <v>0</v>
      </c>
      <c r="AF12" s="256">
        <v>0</v>
      </c>
      <c r="AG12" s="256">
        <v>0</v>
      </c>
      <c r="AH12" s="256">
        <v>811.65551625687101</v>
      </c>
      <c r="AI12" s="256">
        <v>0</v>
      </c>
      <c r="AJ12" s="256">
        <v>0</v>
      </c>
      <c r="AK12" s="256">
        <v>0</v>
      </c>
      <c r="AL12" s="256">
        <v>811.65551625687101</v>
      </c>
    </row>
    <row r="13" spans="1:38" ht="13.95" customHeight="1" x14ac:dyDescent="0.55000000000000004">
      <c r="A13" s="255" t="s">
        <v>55</v>
      </c>
      <c r="B13" s="255" t="s">
        <v>100</v>
      </c>
      <c r="C13" s="255" t="s">
        <v>179</v>
      </c>
      <c r="D13" s="256">
        <f t="shared" si="1"/>
        <v>13507.808923168704</v>
      </c>
      <c r="E13" s="256">
        <f t="shared" si="0"/>
        <v>3505.2436186985979</v>
      </c>
      <c r="F13" s="256">
        <f t="shared" si="0"/>
        <v>0</v>
      </c>
      <c r="G13" s="256">
        <f t="shared" si="0"/>
        <v>0</v>
      </c>
      <c r="H13" s="256">
        <f t="shared" si="0"/>
        <v>89848.46328887374</v>
      </c>
      <c r="I13" s="256">
        <f t="shared" si="0"/>
        <v>0</v>
      </c>
      <c r="J13" s="256">
        <f t="shared" si="0"/>
        <v>0</v>
      </c>
      <c r="K13" s="256">
        <f t="shared" si="0"/>
        <v>0</v>
      </c>
      <c r="L13" s="256">
        <f t="shared" si="0"/>
        <v>106861.51583074103</v>
      </c>
      <c r="N13" s="255" t="s">
        <v>55</v>
      </c>
      <c r="O13" s="255" t="s">
        <v>100</v>
      </c>
      <c r="P13" s="255" t="s">
        <v>179</v>
      </c>
      <c r="Q13" s="256">
        <v>13008</v>
      </c>
      <c r="R13" s="256">
        <v>3360</v>
      </c>
      <c r="S13" s="256">
        <v>0</v>
      </c>
      <c r="T13" s="256">
        <v>0</v>
      </c>
      <c r="U13" s="256">
        <v>86112</v>
      </c>
      <c r="V13" s="256">
        <v>0</v>
      </c>
      <c r="W13" s="256">
        <v>0</v>
      </c>
      <c r="X13" s="256">
        <v>0</v>
      </c>
      <c r="Y13" s="256">
        <v>102480</v>
      </c>
      <c r="AA13" s="255" t="s">
        <v>55</v>
      </c>
      <c r="AB13" s="255" t="s">
        <v>100</v>
      </c>
      <c r="AC13" s="255" t="s">
        <v>179</v>
      </c>
      <c r="AD13" s="256">
        <v>499.80892316870478</v>
      </c>
      <c r="AE13" s="256">
        <v>145.24361869859797</v>
      </c>
      <c r="AF13" s="256">
        <v>0</v>
      </c>
      <c r="AG13" s="256">
        <v>0</v>
      </c>
      <c r="AH13" s="256">
        <v>3736.463288873736</v>
      </c>
      <c r="AI13" s="256">
        <v>0</v>
      </c>
      <c r="AJ13" s="256">
        <v>0</v>
      </c>
      <c r="AK13" s="256">
        <v>0</v>
      </c>
      <c r="AL13" s="256">
        <v>4381.5158307410384</v>
      </c>
    </row>
    <row r="14" spans="1:38" ht="13.95" customHeight="1" x14ac:dyDescent="0.55000000000000004">
      <c r="A14" s="255" t="s">
        <v>55</v>
      </c>
      <c r="B14" s="255" t="s">
        <v>101</v>
      </c>
      <c r="C14" s="255" t="s">
        <v>180</v>
      </c>
      <c r="D14" s="256">
        <f t="shared" si="1"/>
        <v>0</v>
      </c>
      <c r="E14" s="256">
        <f t="shared" si="0"/>
        <v>896</v>
      </c>
      <c r="F14" s="256">
        <f t="shared" si="0"/>
        <v>0</v>
      </c>
      <c r="G14" s="256">
        <f t="shared" si="0"/>
        <v>0</v>
      </c>
      <c r="H14" s="256">
        <f t="shared" si="0"/>
        <v>0</v>
      </c>
      <c r="I14" s="256">
        <f t="shared" si="0"/>
        <v>0</v>
      </c>
      <c r="J14" s="256">
        <f t="shared" si="0"/>
        <v>0</v>
      </c>
      <c r="K14" s="256">
        <f t="shared" si="0"/>
        <v>0</v>
      </c>
      <c r="L14" s="256">
        <f t="shared" si="0"/>
        <v>896</v>
      </c>
      <c r="N14" s="255" t="s">
        <v>55</v>
      </c>
      <c r="O14" s="255" t="s">
        <v>101</v>
      </c>
      <c r="P14" s="255" t="s">
        <v>180</v>
      </c>
      <c r="Q14" s="256">
        <v>0</v>
      </c>
      <c r="R14" s="256">
        <v>896</v>
      </c>
      <c r="S14" s="256">
        <v>0</v>
      </c>
      <c r="T14" s="256">
        <v>0</v>
      </c>
      <c r="U14" s="256">
        <v>0</v>
      </c>
      <c r="V14" s="256">
        <v>0</v>
      </c>
      <c r="W14" s="256">
        <v>0</v>
      </c>
      <c r="X14" s="256">
        <v>0</v>
      </c>
      <c r="Y14" s="256">
        <v>896</v>
      </c>
      <c r="AA14" s="255" t="s">
        <v>55</v>
      </c>
      <c r="AB14" s="255" t="s">
        <v>101</v>
      </c>
      <c r="AC14" s="255" t="s">
        <v>180</v>
      </c>
      <c r="AD14" s="256">
        <v>0</v>
      </c>
      <c r="AE14" s="256">
        <v>0</v>
      </c>
      <c r="AF14" s="256">
        <v>0</v>
      </c>
      <c r="AG14" s="256">
        <v>0</v>
      </c>
      <c r="AH14" s="256">
        <v>0</v>
      </c>
      <c r="AI14" s="256">
        <v>0</v>
      </c>
      <c r="AJ14" s="256">
        <v>0</v>
      </c>
      <c r="AK14" s="256">
        <v>0</v>
      </c>
      <c r="AL14" s="256">
        <v>0</v>
      </c>
    </row>
    <row r="15" spans="1:38" ht="13.95" customHeight="1" x14ac:dyDescent="0.55000000000000004">
      <c r="A15" s="255" t="s">
        <v>55</v>
      </c>
      <c r="B15" s="255" t="s">
        <v>102</v>
      </c>
      <c r="C15" s="255" t="s">
        <v>181</v>
      </c>
      <c r="D15" s="256">
        <f t="shared" si="1"/>
        <v>0</v>
      </c>
      <c r="E15" s="256">
        <f t="shared" si="0"/>
        <v>418.17496910555246</v>
      </c>
      <c r="F15" s="256">
        <f t="shared" si="0"/>
        <v>0</v>
      </c>
      <c r="G15" s="256">
        <f t="shared" si="0"/>
        <v>0</v>
      </c>
      <c r="H15" s="256">
        <f t="shared" si="0"/>
        <v>0</v>
      </c>
      <c r="I15" s="256">
        <f t="shared" si="0"/>
        <v>181346.83768696466</v>
      </c>
      <c r="J15" s="256">
        <f t="shared" si="0"/>
        <v>0</v>
      </c>
      <c r="K15" s="256">
        <f t="shared" si="0"/>
        <v>4323</v>
      </c>
      <c r="L15" s="256">
        <f t="shared" si="0"/>
        <v>186088.01265607023</v>
      </c>
      <c r="N15" s="255" t="s">
        <v>55</v>
      </c>
      <c r="O15" s="255" t="s">
        <v>102</v>
      </c>
      <c r="P15" s="255" t="s">
        <v>181</v>
      </c>
      <c r="Q15" s="256">
        <v>0</v>
      </c>
      <c r="R15" s="256">
        <v>384</v>
      </c>
      <c r="S15" s="256">
        <v>0</v>
      </c>
      <c r="T15" s="256">
        <v>0</v>
      </c>
      <c r="U15" s="256">
        <v>0</v>
      </c>
      <c r="V15" s="256">
        <v>174640</v>
      </c>
      <c r="W15" s="256">
        <v>0</v>
      </c>
      <c r="X15" s="256">
        <v>4323</v>
      </c>
      <c r="Y15" s="256">
        <v>179347</v>
      </c>
      <c r="AA15" s="255" t="s">
        <v>55</v>
      </c>
      <c r="AB15" s="255" t="s">
        <v>102</v>
      </c>
      <c r="AC15" s="255" t="s">
        <v>181</v>
      </c>
      <c r="AD15" s="256">
        <v>0</v>
      </c>
      <c r="AE15" s="256">
        <v>34.174969105552464</v>
      </c>
      <c r="AF15" s="256">
        <v>0</v>
      </c>
      <c r="AG15" s="256">
        <v>0</v>
      </c>
      <c r="AH15" s="256">
        <v>0</v>
      </c>
      <c r="AI15" s="256">
        <v>6706.8376869646709</v>
      </c>
      <c r="AJ15" s="256">
        <v>0</v>
      </c>
      <c r="AK15" s="256">
        <v>0</v>
      </c>
      <c r="AL15" s="256">
        <v>6741.0126560702238</v>
      </c>
    </row>
    <row r="16" spans="1:38" ht="13.95" customHeight="1" x14ac:dyDescent="0.55000000000000004">
      <c r="A16" s="255" t="s">
        <v>55</v>
      </c>
      <c r="B16" s="255" t="s">
        <v>103</v>
      </c>
      <c r="C16" s="255" t="s">
        <v>182</v>
      </c>
      <c r="D16" s="256">
        <f t="shared" si="1"/>
        <v>164233.43520688626</v>
      </c>
      <c r="E16" s="256">
        <f t="shared" si="0"/>
        <v>0</v>
      </c>
      <c r="F16" s="256">
        <f t="shared" si="0"/>
        <v>26512.546469510376</v>
      </c>
      <c r="G16" s="256">
        <f t="shared" si="0"/>
        <v>0</v>
      </c>
      <c r="H16" s="256">
        <f t="shared" si="0"/>
        <v>0</v>
      </c>
      <c r="I16" s="256">
        <f t="shared" si="0"/>
        <v>0</v>
      </c>
      <c r="J16" s="256">
        <f t="shared" si="0"/>
        <v>0</v>
      </c>
      <c r="K16" s="256">
        <f t="shared" si="0"/>
        <v>0</v>
      </c>
      <c r="L16" s="256">
        <f t="shared" si="0"/>
        <v>190745.98167639665</v>
      </c>
      <c r="N16" s="255" t="s">
        <v>55</v>
      </c>
      <c r="O16" s="255" t="s">
        <v>103</v>
      </c>
      <c r="P16" s="255" t="s">
        <v>182</v>
      </c>
      <c r="Q16" s="256">
        <v>158240</v>
      </c>
      <c r="R16" s="256">
        <v>0</v>
      </c>
      <c r="S16" s="256">
        <v>26064</v>
      </c>
      <c r="T16" s="256">
        <v>0</v>
      </c>
      <c r="U16" s="256">
        <v>0</v>
      </c>
      <c r="V16" s="256">
        <v>0</v>
      </c>
      <c r="W16" s="256">
        <v>0</v>
      </c>
      <c r="X16" s="256">
        <v>0</v>
      </c>
      <c r="Y16" s="256">
        <v>184304</v>
      </c>
      <c r="AA16" s="255" t="s">
        <v>55</v>
      </c>
      <c r="AB16" s="255" t="s">
        <v>103</v>
      </c>
      <c r="AC16" s="255" t="s">
        <v>182</v>
      </c>
      <c r="AD16" s="256">
        <v>5993.4352068862636</v>
      </c>
      <c r="AE16" s="256">
        <v>0</v>
      </c>
      <c r="AF16" s="256">
        <v>448.54646951037608</v>
      </c>
      <c r="AG16" s="256">
        <v>0</v>
      </c>
      <c r="AH16" s="256">
        <v>0</v>
      </c>
      <c r="AI16" s="256">
        <v>0</v>
      </c>
      <c r="AJ16" s="256">
        <v>0</v>
      </c>
      <c r="AK16" s="256">
        <v>0</v>
      </c>
      <c r="AL16" s="256">
        <v>6441.9816763966392</v>
      </c>
    </row>
    <row r="17" spans="1:38" ht="13.95" customHeight="1" x14ac:dyDescent="0.55000000000000004">
      <c r="A17" s="255" t="s">
        <v>55</v>
      </c>
      <c r="B17" s="255" t="s">
        <v>104</v>
      </c>
      <c r="C17" s="255" t="s">
        <v>183</v>
      </c>
      <c r="D17" s="256">
        <f t="shared" si="1"/>
        <v>0</v>
      </c>
      <c r="E17" s="256">
        <f t="shared" si="0"/>
        <v>0</v>
      </c>
      <c r="F17" s="256">
        <f t="shared" si="0"/>
        <v>0</v>
      </c>
      <c r="G17" s="256">
        <f t="shared" si="0"/>
        <v>0</v>
      </c>
      <c r="H17" s="256">
        <f t="shared" si="0"/>
        <v>0</v>
      </c>
      <c r="I17" s="256">
        <f t="shared" si="0"/>
        <v>0</v>
      </c>
      <c r="J17" s="256">
        <f t="shared" si="0"/>
        <v>200</v>
      </c>
      <c r="K17" s="256">
        <f t="shared" si="0"/>
        <v>0</v>
      </c>
      <c r="L17" s="256">
        <f t="shared" si="0"/>
        <v>200</v>
      </c>
      <c r="N17" s="255" t="s">
        <v>55</v>
      </c>
      <c r="O17" s="255" t="s">
        <v>104</v>
      </c>
      <c r="P17" s="255" t="s">
        <v>183</v>
      </c>
      <c r="Q17" s="256">
        <v>0</v>
      </c>
      <c r="R17" s="256">
        <v>0</v>
      </c>
      <c r="S17" s="256">
        <v>0</v>
      </c>
      <c r="T17" s="256">
        <v>0</v>
      </c>
      <c r="U17" s="256">
        <v>0</v>
      </c>
      <c r="V17" s="256">
        <v>0</v>
      </c>
      <c r="W17" s="256">
        <v>200</v>
      </c>
      <c r="X17" s="256">
        <v>0</v>
      </c>
      <c r="Y17" s="256">
        <v>200</v>
      </c>
      <c r="AA17" s="255" t="s">
        <v>55</v>
      </c>
      <c r="AB17" s="255" t="s">
        <v>104</v>
      </c>
      <c r="AC17" s="255" t="s">
        <v>183</v>
      </c>
      <c r="AD17" s="256">
        <v>0</v>
      </c>
      <c r="AE17" s="256">
        <v>0</v>
      </c>
      <c r="AF17" s="256">
        <v>0</v>
      </c>
      <c r="AG17" s="256">
        <v>0</v>
      </c>
      <c r="AH17" s="256">
        <v>0</v>
      </c>
      <c r="AI17" s="256">
        <v>0</v>
      </c>
      <c r="AJ17" s="256">
        <v>0</v>
      </c>
      <c r="AK17" s="256">
        <v>0</v>
      </c>
      <c r="AL17" s="256">
        <v>0</v>
      </c>
    </row>
    <row r="18" spans="1:38" ht="13.95" customHeight="1" x14ac:dyDescent="0.55000000000000004">
      <c r="A18" s="255" t="s">
        <v>55</v>
      </c>
      <c r="B18" s="255" t="s">
        <v>105</v>
      </c>
      <c r="C18" s="255" t="s">
        <v>184</v>
      </c>
      <c r="D18" s="256">
        <f t="shared" si="1"/>
        <v>0</v>
      </c>
      <c r="E18" s="256">
        <f t="shared" si="0"/>
        <v>0</v>
      </c>
      <c r="F18" s="256">
        <f t="shared" si="0"/>
        <v>0</v>
      </c>
      <c r="G18" s="256">
        <f t="shared" si="0"/>
        <v>0</v>
      </c>
      <c r="H18" s="256">
        <f t="shared" si="0"/>
        <v>0</v>
      </c>
      <c r="I18" s="256">
        <f t="shared" si="0"/>
        <v>13886.893765713554</v>
      </c>
      <c r="J18" s="256">
        <f t="shared" si="0"/>
        <v>0</v>
      </c>
      <c r="K18" s="256">
        <f t="shared" si="0"/>
        <v>762</v>
      </c>
      <c r="L18" s="256">
        <f t="shared" si="0"/>
        <v>14648.893765713554</v>
      </c>
      <c r="N18" s="255" t="s">
        <v>55</v>
      </c>
      <c r="O18" s="255" t="s">
        <v>105</v>
      </c>
      <c r="P18" s="255" t="s">
        <v>184</v>
      </c>
      <c r="Q18" s="256">
        <v>0</v>
      </c>
      <c r="R18" s="256">
        <v>0</v>
      </c>
      <c r="S18" s="256">
        <v>0</v>
      </c>
      <c r="T18" s="256">
        <v>0</v>
      </c>
      <c r="U18" s="256">
        <v>0</v>
      </c>
      <c r="V18" s="256">
        <v>12752</v>
      </c>
      <c r="W18" s="256">
        <v>0</v>
      </c>
      <c r="X18" s="256">
        <v>762</v>
      </c>
      <c r="Y18" s="256">
        <v>13514</v>
      </c>
      <c r="AA18" s="255" t="s">
        <v>55</v>
      </c>
      <c r="AB18" s="255" t="s">
        <v>105</v>
      </c>
      <c r="AC18" s="255" t="s">
        <v>184</v>
      </c>
      <c r="AD18" s="256">
        <v>0</v>
      </c>
      <c r="AE18" s="256">
        <v>0</v>
      </c>
      <c r="AF18" s="256">
        <v>0</v>
      </c>
      <c r="AG18" s="256">
        <v>0</v>
      </c>
      <c r="AH18" s="256">
        <v>0</v>
      </c>
      <c r="AI18" s="256">
        <v>1134.8937657135548</v>
      </c>
      <c r="AJ18" s="256">
        <v>0</v>
      </c>
      <c r="AK18" s="256">
        <v>0</v>
      </c>
      <c r="AL18" s="256">
        <v>1134.8937657135548</v>
      </c>
    </row>
    <row r="19" spans="1:38" ht="13.95" customHeight="1" x14ac:dyDescent="0.55000000000000004">
      <c r="A19" s="255" t="s">
        <v>55</v>
      </c>
      <c r="B19" s="255" t="s">
        <v>106</v>
      </c>
      <c r="C19" s="255" t="s">
        <v>185</v>
      </c>
      <c r="D19" s="256">
        <f t="shared" si="1"/>
        <v>0</v>
      </c>
      <c r="E19" s="256">
        <f t="shared" si="0"/>
        <v>0</v>
      </c>
      <c r="F19" s="256">
        <f t="shared" si="0"/>
        <v>0</v>
      </c>
      <c r="G19" s="256">
        <f t="shared" si="0"/>
        <v>0</v>
      </c>
      <c r="H19" s="256">
        <f t="shared" si="0"/>
        <v>0</v>
      </c>
      <c r="I19" s="256">
        <f t="shared" si="0"/>
        <v>37872.605786849621</v>
      </c>
      <c r="J19" s="256">
        <f t="shared" si="0"/>
        <v>0</v>
      </c>
      <c r="K19" s="256">
        <f t="shared" si="0"/>
        <v>756</v>
      </c>
      <c r="L19" s="256">
        <f t="shared" si="0"/>
        <v>38628.605786849621</v>
      </c>
      <c r="N19" s="255" t="s">
        <v>55</v>
      </c>
      <c r="O19" s="255" t="s">
        <v>106</v>
      </c>
      <c r="P19" s="255" t="s">
        <v>185</v>
      </c>
      <c r="Q19" s="256">
        <v>0</v>
      </c>
      <c r="R19" s="256">
        <v>0</v>
      </c>
      <c r="S19" s="256">
        <v>0</v>
      </c>
      <c r="T19" s="256">
        <v>0</v>
      </c>
      <c r="U19" s="256">
        <v>0</v>
      </c>
      <c r="V19" s="256">
        <v>36208</v>
      </c>
      <c r="W19" s="256">
        <v>0</v>
      </c>
      <c r="X19" s="256">
        <v>756</v>
      </c>
      <c r="Y19" s="256">
        <v>36964</v>
      </c>
      <c r="AA19" s="255" t="s">
        <v>55</v>
      </c>
      <c r="AB19" s="255" t="s">
        <v>106</v>
      </c>
      <c r="AC19" s="255" t="s">
        <v>185</v>
      </c>
      <c r="AD19" s="256">
        <v>0</v>
      </c>
      <c r="AE19" s="256">
        <v>0</v>
      </c>
      <c r="AF19" s="256">
        <v>0</v>
      </c>
      <c r="AG19" s="256">
        <v>0</v>
      </c>
      <c r="AH19" s="256">
        <v>0</v>
      </c>
      <c r="AI19" s="256">
        <v>1664.605786849618</v>
      </c>
      <c r="AJ19" s="256">
        <v>0</v>
      </c>
      <c r="AK19" s="256">
        <v>0</v>
      </c>
      <c r="AL19" s="256">
        <v>1664.605786849618</v>
      </c>
    </row>
    <row r="20" spans="1:38" ht="13.95" customHeight="1" x14ac:dyDescent="0.55000000000000004">
      <c r="A20" s="255" t="s">
        <v>55</v>
      </c>
      <c r="B20" s="255" t="s">
        <v>107</v>
      </c>
      <c r="C20" s="255" t="s">
        <v>186</v>
      </c>
      <c r="D20" s="256">
        <f t="shared" si="1"/>
        <v>0</v>
      </c>
      <c r="E20" s="256">
        <f t="shared" si="0"/>
        <v>0</v>
      </c>
      <c r="F20" s="256">
        <f t="shared" si="0"/>
        <v>0</v>
      </c>
      <c r="G20" s="256">
        <f t="shared" si="0"/>
        <v>0</v>
      </c>
      <c r="H20" s="256">
        <f t="shared" si="0"/>
        <v>0</v>
      </c>
      <c r="I20" s="256">
        <f t="shared" si="0"/>
        <v>171288.2157923893</v>
      </c>
      <c r="J20" s="256">
        <f t="shared" si="0"/>
        <v>0</v>
      </c>
      <c r="K20" s="256">
        <f t="shared" si="0"/>
        <v>4538</v>
      </c>
      <c r="L20" s="256">
        <f t="shared" si="0"/>
        <v>175826.2157923893</v>
      </c>
      <c r="N20" s="255" t="s">
        <v>55</v>
      </c>
      <c r="O20" s="255" t="s">
        <v>107</v>
      </c>
      <c r="P20" s="255" t="s">
        <v>186</v>
      </c>
      <c r="Q20" s="256">
        <v>0</v>
      </c>
      <c r="R20" s="256">
        <v>0</v>
      </c>
      <c r="S20" s="256">
        <v>0</v>
      </c>
      <c r="T20" s="256">
        <v>0</v>
      </c>
      <c r="U20" s="256">
        <v>0</v>
      </c>
      <c r="V20" s="256">
        <v>165712</v>
      </c>
      <c r="W20" s="256">
        <v>0</v>
      </c>
      <c r="X20" s="256">
        <v>4538</v>
      </c>
      <c r="Y20" s="256">
        <v>170250</v>
      </c>
      <c r="AA20" s="255" t="s">
        <v>55</v>
      </c>
      <c r="AB20" s="255" t="s">
        <v>107</v>
      </c>
      <c r="AC20" s="255" t="s">
        <v>186</v>
      </c>
      <c r="AD20" s="256">
        <v>0</v>
      </c>
      <c r="AE20" s="256">
        <v>0</v>
      </c>
      <c r="AF20" s="256">
        <v>0</v>
      </c>
      <c r="AG20" s="256">
        <v>0</v>
      </c>
      <c r="AH20" s="256">
        <v>0</v>
      </c>
      <c r="AI20" s="256">
        <v>5576.2157923893101</v>
      </c>
      <c r="AJ20" s="256">
        <v>0</v>
      </c>
      <c r="AK20" s="256">
        <v>0</v>
      </c>
      <c r="AL20" s="256">
        <v>5576.2157923893101</v>
      </c>
    </row>
    <row r="21" spans="1:38" ht="13.95" customHeight="1" x14ac:dyDescent="0.55000000000000004">
      <c r="A21" s="255" t="s">
        <v>55</v>
      </c>
      <c r="B21" s="255" t="s">
        <v>108</v>
      </c>
      <c r="C21" s="255" t="s">
        <v>187</v>
      </c>
      <c r="D21" s="256">
        <f t="shared" si="1"/>
        <v>0</v>
      </c>
      <c r="E21" s="256">
        <f t="shared" si="1"/>
        <v>0</v>
      </c>
      <c r="F21" s="256">
        <f t="shared" si="1"/>
        <v>0</v>
      </c>
      <c r="G21" s="256">
        <f t="shared" si="1"/>
        <v>0</v>
      </c>
      <c r="H21" s="256">
        <f t="shared" si="1"/>
        <v>0</v>
      </c>
      <c r="I21" s="256">
        <f t="shared" si="1"/>
        <v>29761.897813951506</v>
      </c>
      <c r="J21" s="256">
        <f t="shared" si="1"/>
        <v>0</v>
      </c>
      <c r="K21" s="256">
        <f t="shared" si="1"/>
        <v>0</v>
      </c>
      <c r="L21" s="256">
        <f t="shared" si="1"/>
        <v>29761.897813951506</v>
      </c>
      <c r="N21" s="255" t="s">
        <v>55</v>
      </c>
      <c r="O21" s="255" t="s">
        <v>108</v>
      </c>
      <c r="P21" s="255" t="s">
        <v>187</v>
      </c>
      <c r="Q21" s="256">
        <v>0</v>
      </c>
      <c r="R21" s="256">
        <v>0</v>
      </c>
      <c r="S21" s="256">
        <v>0</v>
      </c>
      <c r="T21" s="256">
        <v>0</v>
      </c>
      <c r="U21" s="256">
        <v>0</v>
      </c>
      <c r="V21" s="256">
        <v>28496</v>
      </c>
      <c r="W21" s="256">
        <v>0</v>
      </c>
      <c r="X21" s="256">
        <v>0</v>
      </c>
      <c r="Y21" s="256">
        <v>28496</v>
      </c>
      <c r="AA21" s="255" t="s">
        <v>55</v>
      </c>
      <c r="AB21" s="255" t="s">
        <v>108</v>
      </c>
      <c r="AC21" s="255" t="s">
        <v>187</v>
      </c>
      <c r="AD21" s="256">
        <v>0</v>
      </c>
      <c r="AE21" s="256">
        <v>0</v>
      </c>
      <c r="AF21" s="256">
        <v>0</v>
      </c>
      <c r="AG21" s="256">
        <v>0</v>
      </c>
      <c r="AH21" s="256">
        <v>0</v>
      </c>
      <c r="AI21" s="256">
        <v>1265.8978139515059</v>
      </c>
      <c r="AJ21" s="256">
        <v>0</v>
      </c>
      <c r="AK21" s="256">
        <v>0</v>
      </c>
      <c r="AL21" s="256">
        <v>1265.8978139515059</v>
      </c>
    </row>
    <row r="22" spans="1:38" ht="13.95" customHeight="1" x14ac:dyDescent="0.55000000000000004">
      <c r="A22" s="255" t="s">
        <v>55</v>
      </c>
      <c r="B22" s="255" t="s">
        <v>109</v>
      </c>
      <c r="C22" s="255" t="s">
        <v>188</v>
      </c>
      <c r="D22" s="256">
        <f t="shared" si="1"/>
        <v>0</v>
      </c>
      <c r="E22" s="256">
        <f t="shared" si="1"/>
        <v>0</v>
      </c>
      <c r="F22" s="256">
        <f t="shared" si="1"/>
        <v>0</v>
      </c>
      <c r="G22" s="256">
        <f t="shared" si="1"/>
        <v>0</v>
      </c>
      <c r="H22" s="256">
        <f t="shared" si="1"/>
        <v>0</v>
      </c>
      <c r="I22" s="256">
        <f t="shared" si="1"/>
        <v>0</v>
      </c>
      <c r="J22" s="256">
        <f t="shared" si="1"/>
        <v>0</v>
      </c>
      <c r="K22" s="256">
        <f t="shared" si="1"/>
        <v>0</v>
      </c>
      <c r="L22" s="256">
        <f t="shared" si="1"/>
        <v>0</v>
      </c>
      <c r="N22" s="255" t="s">
        <v>55</v>
      </c>
      <c r="O22" s="255" t="s">
        <v>109</v>
      </c>
      <c r="P22" s="255" t="s">
        <v>188</v>
      </c>
      <c r="Q22" s="256">
        <v>0</v>
      </c>
      <c r="R22" s="256">
        <v>0</v>
      </c>
      <c r="S22" s="256">
        <v>0</v>
      </c>
      <c r="T22" s="256">
        <v>0</v>
      </c>
      <c r="U22" s="256">
        <v>0</v>
      </c>
      <c r="V22" s="256">
        <v>0</v>
      </c>
      <c r="W22" s="256">
        <v>0</v>
      </c>
      <c r="X22" s="256">
        <v>0</v>
      </c>
      <c r="Y22" s="256">
        <v>0</v>
      </c>
      <c r="AA22" s="255" t="s">
        <v>55</v>
      </c>
      <c r="AB22" s="255" t="s">
        <v>109</v>
      </c>
      <c r="AC22" s="255" t="s">
        <v>188</v>
      </c>
      <c r="AD22" s="256">
        <v>0</v>
      </c>
      <c r="AE22" s="256">
        <v>0</v>
      </c>
      <c r="AF22" s="256">
        <v>0</v>
      </c>
      <c r="AG22" s="256">
        <v>0</v>
      </c>
      <c r="AH22" s="256">
        <v>0</v>
      </c>
      <c r="AI22" s="256">
        <v>0</v>
      </c>
      <c r="AJ22" s="256">
        <v>0</v>
      </c>
      <c r="AK22" s="256">
        <v>0</v>
      </c>
      <c r="AL22" s="256">
        <v>0</v>
      </c>
    </row>
    <row r="23" spans="1:38" ht="13.95" customHeight="1" x14ac:dyDescent="0.55000000000000004">
      <c r="A23" s="255" t="s">
        <v>55</v>
      </c>
      <c r="B23" s="255" t="s">
        <v>110</v>
      </c>
      <c r="C23" s="255" t="s">
        <v>189</v>
      </c>
      <c r="D23" s="256">
        <f t="shared" si="1"/>
        <v>0</v>
      </c>
      <c r="E23" s="256">
        <f t="shared" si="1"/>
        <v>75819.671879660804</v>
      </c>
      <c r="F23" s="256">
        <f t="shared" si="1"/>
        <v>0</v>
      </c>
      <c r="G23" s="256">
        <f t="shared" si="1"/>
        <v>37963.889717475606</v>
      </c>
      <c r="H23" s="256">
        <f t="shared" si="1"/>
        <v>0</v>
      </c>
      <c r="I23" s="256">
        <f t="shared" si="1"/>
        <v>0</v>
      </c>
      <c r="J23" s="256">
        <f t="shared" si="1"/>
        <v>0</v>
      </c>
      <c r="K23" s="256">
        <f t="shared" si="1"/>
        <v>0</v>
      </c>
      <c r="L23" s="256">
        <f t="shared" si="1"/>
        <v>113783.5615971364</v>
      </c>
      <c r="N23" s="255" t="s">
        <v>55</v>
      </c>
      <c r="O23" s="255" t="s">
        <v>110</v>
      </c>
      <c r="P23" s="255" t="s">
        <v>189</v>
      </c>
      <c r="Q23" s="256">
        <v>0</v>
      </c>
      <c r="R23" s="256">
        <v>72368</v>
      </c>
      <c r="S23" s="256">
        <v>0</v>
      </c>
      <c r="T23" s="256">
        <v>36960</v>
      </c>
      <c r="U23" s="256">
        <v>0</v>
      </c>
      <c r="V23" s="256">
        <v>0</v>
      </c>
      <c r="W23" s="256">
        <v>0</v>
      </c>
      <c r="X23" s="256">
        <v>0</v>
      </c>
      <c r="Y23" s="256">
        <v>109328</v>
      </c>
      <c r="AA23" s="255" t="s">
        <v>55</v>
      </c>
      <c r="AB23" s="255" t="s">
        <v>110</v>
      </c>
      <c r="AC23" s="255" t="s">
        <v>189</v>
      </c>
      <c r="AD23" s="256">
        <v>0</v>
      </c>
      <c r="AE23" s="256">
        <v>3451.6718796607988</v>
      </c>
      <c r="AF23" s="256">
        <v>0</v>
      </c>
      <c r="AG23" s="256">
        <v>1003.8897174756037</v>
      </c>
      <c r="AH23" s="256">
        <v>0</v>
      </c>
      <c r="AI23" s="256">
        <v>0</v>
      </c>
      <c r="AJ23" s="256">
        <v>0</v>
      </c>
      <c r="AK23" s="256">
        <v>0</v>
      </c>
      <c r="AL23" s="256">
        <v>4455.5615971364023</v>
      </c>
    </row>
    <row r="24" spans="1:38" ht="13.95" customHeight="1" x14ac:dyDescent="0.55000000000000004">
      <c r="A24" s="255" t="s">
        <v>55</v>
      </c>
      <c r="B24" s="255" t="s">
        <v>111</v>
      </c>
      <c r="C24" s="255" t="s">
        <v>190</v>
      </c>
      <c r="D24" s="256">
        <f t="shared" si="1"/>
        <v>0</v>
      </c>
      <c r="E24" s="256">
        <f t="shared" si="1"/>
        <v>0</v>
      </c>
      <c r="F24" s="256">
        <f t="shared" si="1"/>
        <v>0</v>
      </c>
      <c r="G24" s="256">
        <f t="shared" si="1"/>
        <v>0</v>
      </c>
      <c r="H24" s="256">
        <f t="shared" si="1"/>
        <v>5113.8654280478968</v>
      </c>
      <c r="I24" s="256">
        <f t="shared" si="1"/>
        <v>0</v>
      </c>
      <c r="J24" s="256">
        <f t="shared" si="1"/>
        <v>0</v>
      </c>
      <c r="K24" s="256">
        <f t="shared" si="1"/>
        <v>0</v>
      </c>
      <c r="L24" s="256">
        <f t="shared" si="1"/>
        <v>5113.8654280478968</v>
      </c>
      <c r="N24" s="255" t="s">
        <v>55</v>
      </c>
      <c r="O24" s="255" t="s">
        <v>111</v>
      </c>
      <c r="P24" s="255" t="s">
        <v>190</v>
      </c>
      <c r="Q24" s="256">
        <v>0</v>
      </c>
      <c r="R24" s="256">
        <v>0</v>
      </c>
      <c r="S24" s="256">
        <v>0</v>
      </c>
      <c r="T24" s="256">
        <v>0</v>
      </c>
      <c r="U24" s="256">
        <v>4896</v>
      </c>
      <c r="V24" s="256">
        <v>0</v>
      </c>
      <c r="W24" s="256">
        <v>0</v>
      </c>
      <c r="X24" s="256">
        <v>0</v>
      </c>
      <c r="Y24" s="256">
        <v>4896</v>
      </c>
      <c r="AA24" s="255" t="s">
        <v>55</v>
      </c>
      <c r="AB24" s="255" t="s">
        <v>111</v>
      </c>
      <c r="AC24" s="255" t="s">
        <v>190</v>
      </c>
      <c r="AD24" s="256">
        <v>0</v>
      </c>
      <c r="AE24" s="256">
        <v>0</v>
      </c>
      <c r="AF24" s="256">
        <v>0</v>
      </c>
      <c r="AG24" s="256">
        <v>0</v>
      </c>
      <c r="AH24" s="256">
        <v>217.86542804789696</v>
      </c>
      <c r="AI24" s="256">
        <v>0</v>
      </c>
      <c r="AJ24" s="256">
        <v>0</v>
      </c>
      <c r="AK24" s="256">
        <v>0</v>
      </c>
      <c r="AL24" s="256">
        <v>217.86542804789696</v>
      </c>
    </row>
    <row r="25" spans="1:38" ht="13.95" customHeight="1" x14ac:dyDescent="0.55000000000000004">
      <c r="A25" s="255" t="s">
        <v>55</v>
      </c>
      <c r="B25" s="255" t="s">
        <v>112</v>
      </c>
      <c r="C25" s="255" t="s">
        <v>191</v>
      </c>
      <c r="D25" s="256">
        <f t="shared" si="1"/>
        <v>0</v>
      </c>
      <c r="E25" s="256">
        <f t="shared" si="1"/>
        <v>0</v>
      </c>
      <c r="F25" s="256">
        <f t="shared" si="1"/>
        <v>0</v>
      </c>
      <c r="G25" s="256">
        <f t="shared" si="1"/>
        <v>0</v>
      </c>
      <c r="H25" s="256">
        <f t="shared" si="1"/>
        <v>26475.138705416117</v>
      </c>
      <c r="I25" s="256">
        <f t="shared" si="1"/>
        <v>0</v>
      </c>
      <c r="J25" s="256">
        <f t="shared" si="1"/>
        <v>13702</v>
      </c>
      <c r="K25" s="256">
        <f t="shared" si="1"/>
        <v>0</v>
      </c>
      <c r="L25" s="256">
        <f t="shared" si="1"/>
        <v>40177.138705416117</v>
      </c>
      <c r="N25" s="255" t="s">
        <v>55</v>
      </c>
      <c r="O25" s="255" t="s">
        <v>112</v>
      </c>
      <c r="P25" s="255" t="s">
        <v>191</v>
      </c>
      <c r="Q25" s="256">
        <v>0</v>
      </c>
      <c r="R25" s="256">
        <v>0</v>
      </c>
      <c r="S25" s="256">
        <v>0</v>
      </c>
      <c r="T25" s="256">
        <v>0</v>
      </c>
      <c r="U25" s="256">
        <v>25504</v>
      </c>
      <c r="V25" s="256">
        <v>0</v>
      </c>
      <c r="W25" s="256">
        <v>13702</v>
      </c>
      <c r="X25" s="256">
        <v>0</v>
      </c>
      <c r="Y25" s="256">
        <v>39206</v>
      </c>
      <c r="AA25" s="255" t="s">
        <v>55</v>
      </c>
      <c r="AB25" s="255" t="s">
        <v>112</v>
      </c>
      <c r="AC25" s="255" t="s">
        <v>191</v>
      </c>
      <c r="AD25" s="256">
        <v>0</v>
      </c>
      <c r="AE25" s="256">
        <v>0</v>
      </c>
      <c r="AF25" s="256">
        <v>0</v>
      </c>
      <c r="AG25" s="256">
        <v>0</v>
      </c>
      <c r="AH25" s="256">
        <v>971.13870541611584</v>
      </c>
      <c r="AI25" s="256">
        <v>0</v>
      </c>
      <c r="AJ25" s="256">
        <v>0</v>
      </c>
      <c r="AK25" s="256">
        <v>0</v>
      </c>
      <c r="AL25" s="256">
        <v>971.13870541611584</v>
      </c>
    </row>
    <row r="26" spans="1:38" ht="13.95" customHeight="1" x14ac:dyDescent="0.55000000000000004">
      <c r="A26" s="255" t="s">
        <v>55</v>
      </c>
      <c r="B26" s="255" t="s">
        <v>113</v>
      </c>
      <c r="C26" s="255" t="s">
        <v>192</v>
      </c>
      <c r="D26" s="256">
        <f t="shared" si="1"/>
        <v>0</v>
      </c>
      <c r="E26" s="256">
        <f t="shared" si="1"/>
        <v>0</v>
      </c>
      <c r="F26" s="256">
        <f t="shared" si="1"/>
        <v>0</v>
      </c>
      <c r="G26" s="256">
        <f t="shared" si="1"/>
        <v>0</v>
      </c>
      <c r="H26" s="256">
        <f t="shared" si="1"/>
        <v>14462.293433331914</v>
      </c>
      <c r="I26" s="256">
        <f t="shared" si="1"/>
        <v>0</v>
      </c>
      <c r="J26" s="256">
        <f t="shared" si="1"/>
        <v>11520</v>
      </c>
      <c r="K26" s="256">
        <f t="shared" si="1"/>
        <v>0</v>
      </c>
      <c r="L26" s="256">
        <f t="shared" si="1"/>
        <v>25982.293433331914</v>
      </c>
      <c r="N26" s="255" t="s">
        <v>55</v>
      </c>
      <c r="O26" s="255" t="s">
        <v>113</v>
      </c>
      <c r="P26" s="255" t="s">
        <v>192</v>
      </c>
      <c r="Q26" s="256">
        <v>0</v>
      </c>
      <c r="R26" s="256">
        <v>0</v>
      </c>
      <c r="S26" s="256">
        <v>0</v>
      </c>
      <c r="T26" s="256">
        <v>0</v>
      </c>
      <c r="U26" s="256">
        <v>14112</v>
      </c>
      <c r="V26" s="256">
        <v>0</v>
      </c>
      <c r="W26" s="256">
        <v>11520</v>
      </c>
      <c r="X26" s="256">
        <v>0</v>
      </c>
      <c r="Y26" s="256">
        <v>25632</v>
      </c>
      <c r="AA26" s="255" t="s">
        <v>55</v>
      </c>
      <c r="AB26" s="255" t="s">
        <v>113</v>
      </c>
      <c r="AC26" s="255" t="s">
        <v>192</v>
      </c>
      <c r="AD26" s="256">
        <v>0</v>
      </c>
      <c r="AE26" s="256">
        <v>0</v>
      </c>
      <c r="AF26" s="256">
        <v>0</v>
      </c>
      <c r="AG26" s="256">
        <v>0</v>
      </c>
      <c r="AH26" s="256">
        <v>350.29343333191275</v>
      </c>
      <c r="AI26" s="256">
        <v>0</v>
      </c>
      <c r="AJ26" s="256">
        <v>0</v>
      </c>
      <c r="AK26" s="256">
        <v>0</v>
      </c>
      <c r="AL26" s="256">
        <v>350.29343333191275</v>
      </c>
    </row>
    <row r="27" spans="1:38" ht="13.95" customHeight="1" x14ac:dyDescent="0.55000000000000004">
      <c r="A27" s="255" t="s">
        <v>55</v>
      </c>
      <c r="B27" s="255" t="s">
        <v>114</v>
      </c>
      <c r="C27" s="255" t="s">
        <v>193</v>
      </c>
      <c r="D27" s="256">
        <f t="shared" si="1"/>
        <v>0</v>
      </c>
      <c r="E27" s="256">
        <f t="shared" si="1"/>
        <v>0</v>
      </c>
      <c r="F27" s="256">
        <f t="shared" si="1"/>
        <v>0</v>
      </c>
      <c r="G27" s="256">
        <f t="shared" si="1"/>
        <v>0</v>
      </c>
      <c r="H27" s="256">
        <f t="shared" si="1"/>
        <v>0</v>
      </c>
      <c r="I27" s="256">
        <f t="shared" si="1"/>
        <v>0</v>
      </c>
      <c r="J27" s="256">
        <f t="shared" si="1"/>
        <v>0</v>
      </c>
      <c r="K27" s="256">
        <f t="shared" si="1"/>
        <v>0</v>
      </c>
      <c r="L27" s="256">
        <f t="shared" si="1"/>
        <v>0</v>
      </c>
      <c r="N27" s="255" t="s">
        <v>55</v>
      </c>
      <c r="O27" s="255" t="s">
        <v>114</v>
      </c>
      <c r="P27" s="255" t="s">
        <v>193</v>
      </c>
      <c r="Q27" s="256">
        <v>0</v>
      </c>
      <c r="R27" s="256">
        <v>0</v>
      </c>
      <c r="S27" s="256">
        <v>0</v>
      </c>
      <c r="T27" s="256">
        <v>0</v>
      </c>
      <c r="U27" s="256">
        <v>0</v>
      </c>
      <c r="V27" s="256">
        <v>0</v>
      </c>
      <c r="W27" s="256">
        <v>0</v>
      </c>
      <c r="X27" s="256">
        <v>0</v>
      </c>
      <c r="Y27" s="256">
        <v>0</v>
      </c>
      <c r="AA27" s="255" t="s">
        <v>55</v>
      </c>
      <c r="AB27" s="255" t="s">
        <v>114</v>
      </c>
      <c r="AC27" s="255" t="s">
        <v>193</v>
      </c>
      <c r="AD27" s="256">
        <v>0</v>
      </c>
      <c r="AE27" s="256">
        <v>0</v>
      </c>
      <c r="AF27" s="256">
        <v>0</v>
      </c>
      <c r="AG27" s="256">
        <v>0</v>
      </c>
      <c r="AH27" s="256">
        <v>0</v>
      </c>
      <c r="AI27" s="256">
        <v>0</v>
      </c>
      <c r="AJ27" s="256">
        <v>0</v>
      </c>
      <c r="AK27" s="256">
        <v>0</v>
      </c>
      <c r="AL27" s="256">
        <v>0</v>
      </c>
    </row>
    <row r="28" spans="1:38" ht="13.95" customHeight="1" x14ac:dyDescent="0.55000000000000004">
      <c r="A28" s="255" t="s">
        <v>55</v>
      </c>
      <c r="B28" s="255" t="s">
        <v>115</v>
      </c>
      <c r="C28" s="255" t="s">
        <v>194</v>
      </c>
      <c r="D28" s="256">
        <f t="shared" si="1"/>
        <v>11845.905825201346</v>
      </c>
      <c r="E28" s="256">
        <f t="shared" si="1"/>
        <v>0</v>
      </c>
      <c r="F28" s="256">
        <f t="shared" si="1"/>
        <v>0</v>
      </c>
      <c r="G28" s="256">
        <f t="shared" si="1"/>
        <v>0</v>
      </c>
      <c r="H28" s="256">
        <f t="shared" si="1"/>
        <v>80969.755315975621</v>
      </c>
      <c r="I28" s="256">
        <f t="shared" si="1"/>
        <v>0</v>
      </c>
      <c r="J28" s="256">
        <f t="shared" si="1"/>
        <v>226845</v>
      </c>
      <c r="K28" s="256">
        <f t="shared" si="1"/>
        <v>0</v>
      </c>
      <c r="L28" s="256">
        <f t="shared" si="1"/>
        <v>319660.661141177</v>
      </c>
      <c r="N28" s="255" t="s">
        <v>55</v>
      </c>
      <c r="O28" s="255" t="s">
        <v>115</v>
      </c>
      <c r="P28" s="255" t="s">
        <v>194</v>
      </c>
      <c r="Q28" s="256">
        <v>11376</v>
      </c>
      <c r="R28" s="256">
        <v>0</v>
      </c>
      <c r="S28" s="256">
        <v>0</v>
      </c>
      <c r="T28" s="256">
        <v>0</v>
      </c>
      <c r="U28" s="256">
        <v>77632</v>
      </c>
      <c r="V28" s="256">
        <v>0</v>
      </c>
      <c r="W28" s="256">
        <v>226845</v>
      </c>
      <c r="X28" s="256">
        <v>0</v>
      </c>
      <c r="Y28" s="256">
        <v>315853</v>
      </c>
      <c r="AA28" s="255" t="s">
        <v>55</v>
      </c>
      <c r="AB28" s="255" t="s">
        <v>115</v>
      </c>
      <c r="AC28" s="255" t="s">
        <v>194</v>
      </c>
      <c r="AD28" s="256">
        <v>469.90582520134637</v>
      </c>
      <c r="AE28" s="256">
        <v>0</v>
      </c>
      <c r="AF28" s="256">
        <v>0</v>
      </c>
      <c r="AG28" s="256">
        <v>0</v>
      </c>
      <c r="AH28" s="256">
        <v>3337.7553159756239</v>
      </c>
      <c r="AI28" s="256">
        <v>0</v>
      </c>
      <c r="AJ28" s="256">
        <v>0</v>
      </c>
      <c r="AK28" s="256">
        <v>0</v>
      </c>
      <c r="AL28" s="256">
        <v>3807.6611411769704</v>
      </c>
    </row>
    <row r="29" spans="1:38" ht="13.95" customHeight="1" x14ac:dyDescent="0.55000000000000004">
      <c r="A29" s="255" t="s">
        <v>55</v>
      </c>
      <c r="B29" s="255" t="s">
        <v>116</v>
      </c>
      <c r="C29" s="255" t="s">
        <v>195</v>
      </c>
      <c r="D29" s="256">
        <f t="shared" si="1"/>
        <v>202743.21728384538</v>
      </c>
      <c r="E29" s="256">
        <f t="shared" si="1"/>
        <v>0</v>
      </c>
      <c r="F29" s="256">
        <f t="shared" si="1"/>
        <v>0</v>
      </c>
      <c r="G29" s="256">
        <f t="shared" si="1"/>
        <v>0</v>
      </c>
      <c r="H29" s="256">
        <f t="shared" si="1"/>
        <v>0</v>
      </c>
      <c r="I29" s="256">
        <f t="shared" si="1"/>
        <v>0</v>
      </c>
      <c r="J29" s="256">
        <f t="shared" si="1"/>
        <v>0</v>
      </c>
      <c r="K29" s="256">
        <f t="shared" si="1"/>
        <v>0</v>
      </c>
      <c r="L29" s="256">
        <f t="shared" si="1"/>
        <v>202743.21728384538</v>
      </c>
      <c r="N29" s="255" t="s">
        <v>55</v>
      </c>
      <c r="O29" s="255" t="s">
        <v>116</v>
      </c>
      <c r="P29" s="255" t="s">
        <v>195</v>
      </c>
      <c r="Q29" s="256">
        <v>195360</v>
      </c>
      <c r="R29" s="256">
        <v>0</v>
      </c>
      <c r="S29" s="256">
        <v>0</v>
      </c>
      <c r="T29" s="256">
        <v>0</v>
      </c>
      <c r="U29" s="256">
        <v>0</v>
      </c>
      <c r="V29" s="256">
        <v>0</v>
      </c>
      <c r="W29" s="256">
        <v>0</v>
      </c>
      <c r="X29" s="256">
        <v>0</v>
      </c>
      <c r="Y29" s="256">
        <v>195360</v>
      </c>
      <c r="AA29" s="255" t="s">
        <v>55</v>
      </c>
      <c r="AB29" s="255" t="s">
        <v>116</v>
      </c>
      <c r="AC29" s="255" t="s">
        <v>195</v>
      </c>
      <c r="AD29" s="256">
        <v>7383.2172838453971</v>
      </c>
      <c r="AE29" s="256">
        <v>0</v>
      </c>
      <c r="AF29" s="256">
        <v>0</v>
      </c>
      <c r="AG29" s="256">
        <v>0</v>
      </c>
      <c r="AH29" s="256">
        <v>0</v>
      </c>
      <c r="AI29" s="256">
        <v>0</v>
      </c>
      <c r="AJ29" s="256">
        <v>0</v>
      </c>
      <c r="AK29" s="256">
        <v>0</v>
      </c>
      <c r="AL29" s="256">
        <v>7383.2172838453971</v>
      </c>
    </row>
    <row r="30" spans="1:38" ht="13.95" customHeight="1" x14ac:dyDescent="0.55000000000000004">
      <c r="A30" s="255" t="s">
        <v>55</v>
      </c>
      <c r="B30" s="255" t="s">
        <v>117</v>
      </c>
      <c r="C30" s="255" t="s">
        <v>196</v>
      </c>
      <c r="D30" s="256">
        <f t="shared" si="1"/>
        <v>66988.441641453959</v>
      </c>
      <c r="E30" s="256">
        <f t="shared" si="1"/>
        <v>0</v>
      </c>
      <c r="F30" s="256">
        <f t="shared" si="1"/>
        <v>0</v>
      </c>
      <c r="G30" s="256">
        <f t="shared" si="1"/>
        <v>0</v>
      </c>
      <c r="H30" s="256">
        <f t="shared" si="1"/>
        <v>22947.424042272127</v>
      </c>
      <c r="I30" s="256">
        <f t="shared" si="1"/>
        <v>0</v>
      </c>
      <c r="J30" s="256">
        <f t="shared" si="1"/>
        <v>0</v>
      </c>
      <c r="K30" s="256">
        <f t="shared" si="1"/>
        <v>0</v>
      </c>
      <c r="L30" s="256">
        <f t="shared" si="1"/>
        <v>89935.865683726079</v>
      </c>
      <c r="N30" s="255" t="s">
        <v>55</v>
      </c>
      <c r="O30" s="255" t="s">
        <v>117</v>
      </c>
      <c r="P30" s="255" t="s">
        <v>196</v>
      </c>
      <c r="Q30" s="256">
        <v>64656</v>
      </c>
      <c r="R30" s="256">
        <v>0</v>
      </c>
      <c r="S30" s="256">
        <v>0</v>
      </c>
      <c r="T30" s="256">
        <v>0</v>
      </c>
      <c r="U30" s="256">
        <v>21888</v>
      </c>
      <c r="V30" s="256">
        <v>0</v>
      </c>
      <c r="W30" s="256">
        <v>0</v>
      </c>
      <c r="X30" s="256">
        <v>0</v>
      </c>
      <c r="Y30" s="256">
        <v>86544</v>
      </c>
      <c r="AA30" s="255" t="s">
        <v>55</v>
      </c>
      <c r="AB30" s="255" t="s">
        <v>117</v>
      </c>
      <c r="AC30" s="255" t="s">
        <v>196</v>
      </c>
      <c r="AD30" s="256">
        <v>2332.4416414539555</v>
      </c>
      <c r="AE30" s="256">
        <v>0</v>
      </c>
      <c r="AF30" s="256">
        <v>0</v>
      </c>
      <c r="AG30" s="256">
        <v>0</v>
      </c>
      <c r="AH30" s="256">
        <v>1059.4240422721264</v>
      </c>
      <c r="AI30" s="256">
        <v>0</v>
      </c>
      <c r="AJ30" s="256">
        <v>0</v>
      </c>
      <c r="AK30" s="256">
        <v>0</v>
      </c>
      <c r="AL30" s="256">
        <v>3391.8656837260819</v>
      </c>
    </row>
    <row r="31" spans="1:38" ht="13.95" customHeight="1" x14ac:dyDescent="0.55000000000000004">
      <c r="A31" s="255" t="s">
        <v>55</v>
      </c>
      <c r="B31" s="255" t="s">
        <v>118</v>
      </c>
      <c r="C31" s="255" t="s">
        <v>197</v>
      </c>
      <c r="D31" s="256">
        <f t="shared" si="1"/>
        <v>0</v>
      </c>
      <c r="E31" s="256">
        <f t="shared" si="1"/>
        <v>0</v>
      </c>
      <c r="F31" s="256">
        <f t="shared" si="1"/>
        <v>0</v>
      </c>
      <c r="G31" s="256">
        <f t="shared" si="1"/>
        <v>0</v>
      </c>
      <c r="H31" s="256">
        <f t="shared" si="1"/>
        <v>0</v>
      </c>
      <c r="I31" s="256">
        <f t="shared" si="1"/>
        <v>0</v>
      </c>
      <c r="J31" s="256">
        <f t="shared" si="1"/>
        <v>0</v>
      </c>
      <c r="K31" s="256">
        <f t="shared" si="1"/>
        <v>0</v>
      </c>
      <c r="L31" s="256">
        <f t="shared" si="1"/>
        <v>0</v>
      </c>
      <c r="N31" s="255" t="s">
        <v>55</v>
      </c>
      <c r="O31" s="255" t="s">
        <v>118</v>
      </c>
      <c r="P31" s="255" t="s">
        <v>197</v>
      </c>
      <c r="Q31" s="256">
        <v>0</v>
      </c>
      <c r="R31" s="256">
        <v>0</v>
      </c>
      <c r="S31" s="256">
        <v>0</v>
      </c>
      <c r="T31" s="256">
        <v>0</v>
      </c>
      <c r="U31" s="256">
        <v>0</v>
      </c>
      <c r="V31" s="256">
        <v>0</v>
      </c>
      <c r="W31" s="256">
        <v>0</v>
      </c>
      <c r="X31" s="256">
        <v>0</v>
      </c>
      <c r="Y31" s="256">
        <v>0</v>
      </c>
      <c r="AA31" s="255" t="s">
        <v>55</v>
      </c>
      <c r="AB31" s="255" t="s">
        <v>118</v>
      </c>
      <c r="AC31" s="255" t="s">
        <v>197</v>
      </c>
      <c r="AD31" s="256">
        <v>0</v>
      </c>
      <c r="AE31" s="256">
        <v>0</v>
      </c>
      <c r="AF31" s="256">
        <v>0</v>
      </c>
      <c r="AG31" s="256">
        <v>0</v>
      </c>
      <c r="AH31" s="256">
        <v>0</v>
      </c>
      <c r="AI31" s="256">
        <v>0</v>
      </c>
      <c r="AJ31" s="256">
        <v>0</v>
      </c>
      <c r="AK31" s="256">
        <v>0</v>
      </c>
      <c r="AL31" s="256">
        <v>0</v>
      </c>
    </row>
    <row r="32" spans="1:38" ht="13.95" customHeight="1" x14ac:dyDescent="0.55000000000000004">
      <c r="A32" s="255" t="s">
        <v>55</v>
      </c>
      <c r="B32" s="255" t="s">
        <v>119</v>
      </c>
      <c r="C32" s="255" t="s">
        <v>198</v>
      </c>
      <c r="D32" s="256">
        <f t="shared" si="1"/>
        <v>528458.70677973318</v>
      </c>
      <c r="E32" s="256">
        <f t="shared" si="1"/>
        <v>313902.93501512764</v>
      </c>
      <c r="F32" s="256">
        <f t="shared" si="1"/>
        <v>26512.546469510376</v>
      </c>
      <c r="G32" s="256">
        <f t="shared" si="1"/>
        <v>37963.889717475606</v>
      </c>
      <c r="H32" s="256">
        <f t="shared" si="1"/>
        <v>588303.26432863169</v>
      </c>
      <c r="I32" s="256">
        <f t="shared" si="1"/>
        <v>542074.50769165205</v>
      </c>
      <c r="J32" s="256">
        <f t="shared" si="1"/>
        <v>268115</v>
      </c>
      <c r="K32" s="256">
        <f t="shared" si="1"/>
        <v>10439</v>
      </c>
      <c r="L32" s="256">
        <f t="shared" si="1"/>
        <v>2315769.8500021305</v>
      </c>
      <c r="N32" s="255" t="s">
        <v>55</v>
      </c>
      <c r="O32" s="255" t="s">
        <v>119</v>
      </c>
      <c r="P32" s="255" t="s">
        <v>198</v>
      </c>
      <c r="Q32" s="256">
        <v>509456</v>
      </c>
      <c r="R32" s="256">
        <v>301936</v>
      </c>
      <c r="S32" s="256">
        <v>26064</v>
      </c>
      <c r="T32" s="256">
        <v>36960</v>
      </c>
      <c r="U32" s="256">
        <v>564976</v>
      </c>
      <c r="V32" s="256">
        <v>521776</v>
      </c>
      <c r="W32" s="256">
        <v>268115</v>
      </c>
      <c r="X32" s="256">
        <v>10439</v>
      </c>
      <c r="Y32" s="256">
        <v>2239722</v>
      </c>
      <c r="AA32" s="255" t="s">
        <v>55</v>
      </c>
      <c r="AB32" s="255" t="s">
        <v>119</v>
      </c>
      <c r="AC32" s="255" t="s">
        <v>198</v>
      </c>
      <c r="AD32" s="256">
        <f>SUM(AD5:AD31)</f>
        <v>19002.706779733235</v>
      </c>
      <c r="AE32" s="256">
        <f t="shared" ref="AE32:AK32" si="2">SUM(AE5:AE31)</f>
        <v>11966.935015127619</v>
      </c>
      <c r="AF32" s="256">
        <f t="shared" si="2"/>
        <v>448.54646951037608</v>
      </c>
      <c r="AG32" s="256">
        <f t="shared" si="2"/>
        <v>1003.8897174756037</v>
      </c>
      <c r="AH32" s="256">
        <f t="shared" si="2"/>
        <v>23327.264328631689</v>
      </c>
      <c r="AI32" s="256">
        <f t="shared" si="2"/>
        <v>20298.507691652096</v>
      </c>
      <c r="AJ32" s="256">
        <f t="shared" si="2"/>
        <v>0</v>
      </c>
      <c r="AK32" s="256">
        <f t="shared" si="2"/>
        <v>0</v>
      </c>
      <c r="AL32" s="256">
        <v>76047.850002130624</v>
      </c>
    </row>
    <row r="33" spans="1:38" ht="13.95" customHeight="1" x14ac:dyDescent="0.55000000000000004">
      <c r="A33" s="255" t="s">
        <v>55</v>
      </c>
      <c r="B33" s="255" t="s">
        <v>199</v>
      </c>
      <c r="C33" s="255" t="s">
        <v>120</v>
      </c>
      <c r="D33" s="256"/>
      <c r="E33" s="256"/>
      <c r="F33" s="256"/>
      <c r="G33" s="256"/>
      <c r="H33" s="256"/>
      <c r="I33" s="256"/>
      <c r="J33" s="256"/>
      <c r="K33" s="256"/>
      <c r="L33" s="256"/>
      <c r="N33" s="255" t="s">
        <v>55</v>
      </c>
      <c r="O33" s="255" t="s">
        <v>199</v>
      </c>
      <c r="P33" s="255" t="s">
        <v>120</v>
      </c>
      <c r="Q33" s="256" t="s">
        <v>200</v>
      </c>
      <c r="R33" s="256" t="s">
        <v>200</v>
      </c>
      <c r="S33" s="256" t="s">
        <v>200</v>
      </c>
      <c r="T33" s="256" t="s">
        <v>200</v>
      </c>
      <c r="U33" s="256" t="s">
        <v>200</v>
      </c>
      <c r="V33" s="256" t="s">
        <v>200</v>
      </c>
      <c r="W33" s="256" t="s">
        <v>200</v>
      </c>
      <c r="X33" s="256" t="s">
        <v>200</v>
      </c>
      <c r="Y33" s="256" t="s">
        <v>200</v>
      </c>
      <c r="AA33" s="255" t="s">
        <v>55</v>
      </c>
      <c r="AB33" s="255" t="s">
        <v>199</v>
      </c>
      <c r="AC33" s="255" t="s">
        <v>120</v>
      </c>
      <c r="AD33" s="256" t="s">
        <v>200</v>
      </c>
      <c r="AE33" s="256" t="s">
        <v>200</v>
      </c>
      <c r="AF33" s="256" t="s">
        <v>200</v>
      </c>
      <c r="AG33" s="256" t="s">
        <v>200</v>
      </c>
      <c r="AH33" s="256" t="s">
        <v>200</v>
      </c>
      <c r="AI33" s="256" t="s">
        <v>200</v>
      </c>
      <c r="AJ33" s="256" t="s">
        <v>200</v>
      </c>
      <c r="AK33" s="256" t="s">
        <v>200</v>
      </c>
      <c r="AL33" s="256" t="s">
        <v>200</v>
      </c>
    </row>
    <row r="34" spans="1:38" ht="13.95" customHeight="1" x14ac:dyDescent="0.55000000000000004">
      <c r="A34" s="255" t="s">
        <v>55</v>
      </c>
      <c r="B34" s="255" t="s">
        <v>121</v>
      </c>
      <c r="C34" s="255" t="s">
        <v>201</v>
      </c>
      <c r="D34" s="256">
        <f t="shared" si="1"/>
        <v>0</v>
      </c>
      <c r="E34" s="256">
        <f t="shared" si="1"/>
        <v>0</v>
      </c>
      <c r="F34" s="256">
        <f t="shared" si="1"/>
        <v>0</v>
      </c>
      <c r="G34" s="256">
        <f t="shared" si="1"/>
        <v>0</v>
      </c>
      <c r="H34" s="256">
        <f t="shared" si="1"/>
        <v>0</v>
      </c>
      <c r="I34" s="256">
        <f t="shared" si="1"/>
        <v>0</v>
      </c>
      <c r="J34" s="256">
        <f t="shared" si="1"/>
        <v>0</v>
      </c>
      <c r="K34" s="256">
        <f t="shared" si="1"/>
        <v>0</v>
      </c>
      <c r="L34" s="256">
        <f t="shared" si="1"/>
        <v>0</v>
      </c>
      <c r="N34" s="255" t="s">
        <v>55</v>
      </c>
      <c r="O34" s="255" t="s">
        <v>121</v>
      </c>
      <c r="P34" s="255" t="s">
        <v>201</v>
      </c>
      <c r="Q34" s="256">
        <v>0</v>
      </c>
      <c r="R34" s="256">
        <v>0</v>
      </c>
      <c r="S34" s="256">
        <v>0</v>
      </c>
      <c r="T34" s="256">
        <v>0</v>
      </c>
      <c r="U34" s="256">
        <v>0</v>
      </c>
      <c r="V34" s="256">
        <v>0</v>
      </c>
      <c r="W34" s="256">
        <v>0</v>
      </c>
      <c r="X34" s="256">
        <v>0</v>
      </c>
      <c r="Y34" s="256">
        <v>0</v>
      </c>
      <c r="AA34" s="255" t="s">
        <v>55</v>
      </c>
      <c r="AB34" s="255" t="s">
        <v>121</v>
      </c>
      <c r="AC34" s="255" t="s">
        <v>201</v>
      </c>
      <c r="AD34" s="256">
        <v>0</v>
      </c>
      <c r="AE34" s="256">
        <v>0</v>
      </c>
      <c r="AF34" s="256">
        <v>0</v>
      </c>
      <c r="AG34" s="256">
        <v>0</v>
      </c>
      <c r="AH34" s="256">
        <v>0</v>
      </c>
      <c r="AI34" s="256">
        <v>0</v>
      </c>
      <c r="AJ34" s="256">
        <v>0</v>
      </c>
      <c r="AK34" s="256">
        <v>0</v>
      </c>
      <c r="AL34" s="256">
        <v>0</v>
      </c>
    </row>
    <row r="35" spans="1:38" ht="13.95" customHeight="1" x14ac:dyDescent="0.55000000000000004">
      <c r="A35" s="255" t="s">
        <v>55</v>
      </c>
      <c r="B35" s="255" t="s">
        <v>122</v>
      </c>
      <c r="C35" s="255" t="s">
        <v>202</v>
      </c>
      <c r="D35" s="256">
        <f t="shared" si="1"/>
        <v>0</v>
      </c>
      <c r="E35" s="256">
        <f t="shared" si="1"/>
        <v>0</v>
      </c>
      <c r="F35" s="256">
        <f t="shared" si="1"/>
        <v>0</v>
      </c>
      <c r="G35" s="256">
        <f t="shared" si="1"/>
        <v>0</v>
      </c>
      <c r="H35" s="256">
        <f t="shared" si="1"/>
        <v>0</v>
      </c>
      <c r="I35" s="256">
        <f t="shared" si="1"/>
        <v>0</v>
      </c>
      <c r="J35" s="256">
        <f t="shared" si="1"/>
        <v>0</v>
      </c>
      <c r="K35" s="256">
        <f t="shared" si="1"/>
        <v>0</v>
      </c>
      <c r="L35" s="256">
        <f t="shared" si="1"/>
        <v>0</v>
      </c>
      <c r="N35" s="255" t="s">
        <v>55</v>
      </c>
      <c r="O35" s="255" t="s">
        <v>122</v>
      </c>
      <c r="P35" s="255" t="s">
        <v>202</v>
      </c>
      <c r="Q35" s="256">
        <v>0</v>
      </c>
      <c r="R35" s="256">
        <v>0</v>
      </c>
      <c r="S35" s="256">
        <v>0</v>
      </c>
      <c r="T35" s="256">
        <v>0</v>
      </c>
      <c r="U35" s="256">
        <v>0</v>
      </c>
      <c r="V35" s="256">
        <v>0</v>
      </c>
      <c r="W35" s="256">
        <v>0</v>
      </c>
      <c r="X35" s="256">
        <v>0</v>
      </c>
      <c r="Y35" s="256">
        <v>0</v>
      </c>
      <c r="AA35" s="255" t="s">
        <v>55</v>
      </c>
      <c r="AB35" s="255" t="s">
        <v>122</v>
      </c>
      <c r="AC35" s="255" t="s">
        <v>202</v>
      </c>
      <c r="AD35" s="256">
        <v>0</v>
      </c>
      <c r="AE35" s="256">
        <v>0</v>
      </c>
      <c r="AF35" s="256">
        <v>0</v>
      </c>
      <c r="AG35" s="256">
        <v>0</v>
      </c>
      <c r="AH35" s="256">
        <v>0</v>
      </c>
      <c r="AI35" s="256">
        <v>0</v>
      </c>
      <c r="AJ35" s="256">
        <v>0</v>
      </c>
      <c r="AK35" s="256">
        <v>0</v>
      </c>
      <c r="AL35" s="256">
        <v>0</v>
      </c>
    </row>
    <row r="36" spans="1:38" ht="13.95" customHeight="1" x14ac:dyDescent="0.55000000000000004">
      <c r="A36" s="255" t="s">
        <v>55</v>
      </c>
      <c r="B36" s="255" t="s">
        <v>203</v>
      </c>
      <c r="C36" s="255" t="s">
        <v>204</v>
      </c>
      <c r="D36" s="256">
        <f t="shared" si="1"/>
        <v>0</v>
      </c>
      <c r="E36" s="256">
        <f t="shared" si="1"/>
        <v>0</v>
      </c>
      <c r="F36" s="256">
        <f t="shared" si="1"/>
        <v>0</v>
      </c>
      <c r="G36" s="256">
        <f t="shared" si="1"/>
        <v>0</v>
      </c>
      <c r="H36" s="256">
        <f t="shared" si="1"/>
        <v>0</v>
      </c>
      <c r="I36" s="256">
        <f t="shared" si="1"/>
        <v>0</v>
      </c>
      <c r="J36" s="256">
        <f t="shared" si="1"/>
        <v>0</v>
      </c>
      <c r="K36" s="256">
        <f t="shared" si="1"/>
        <v>0</v>
      </c>
      <c r="L36" s="256">
        <f t="shared" si="1"/>
        <v>0</v>
      </c>
      <c r="N36" s="255" t="s">
        <v>55</v>
      </c>
      <c r="O36" s="255" t="s">
        <v>203</v>
      </c>
      <c r="P36" s="255" t="s">
        <v>204</v>
      </c>
      <c r="Q36" s="256">
        <v>0</v>
      </c>
      <c r="R36" s="256">
        <v>0</v>
      </c>
      <c r="S36" s="256">
        <v>0</v>
      </c>
      <c r="T36" s="256">
        <v>0</v>
      </c>
      <c r="U36" s="256">
        <v>0</v>
      </c>
      <c r="V36" s="256">
        <v>0</v>
      </c>
      <c r="W36" s="256">
        <v>0</v>
      </c>
      <c r="X36" s="256">
        <v>0</v>
      </c>
      <c r="Y36" s="256">
        <v>0</v>
      </c>
      <c r="AA36" s="255" t="s">
        <v>55</v>
      </c>
      <c r="AB36" s="255" t="s">
        <v>203</v>
      </c>
      <c r="AC36" s="255" t="s">
        <v>204</v>
      </c>
      <c r="AD36" s="256">
        <v>0</v>
      </c>
      <c r="AE36" s="256">
        <v>0</v>
      </c>
      <c r="AF36" s="256">
        <v>0</v>
      </c>
      <c r="AG36" s="256">
        <v>0</v>
      </c>
      <c r="AH36" s="256">
        <v>0</v>
      </c>
      <c r="AI36" s="256">
        <v>0</v>
      </c>
      <c r="AJ36" s="256">
        <v>0</v>
      </c>
      <c r="AK36" s="256">
        <v>0</v>
      </c>
      <c r="AL36" s="256">
        <v>0</v>
      </c>
    </row>
    <row r="37" spans="1:38" ht="13.95" customHeight="1" x14ac:dyDescent="0.55000000000000004">
      <c r="A37" s="255" t="s">
        <v>55</v>
      </c>
      <c r="B37" s="255" t="s">
        <v>123</v>
      </c>
      <c r="C37" s="255" t="s">
        <v>205</v>
      </c>
      <c r="D37" s="256">
        <f t="shared" si="1"/>
        <v>0</v>
      </c>
      <c r="E37" s="256">
        <f t="shared" si="1"/>
        <v>0</v>
      </c>
      <c r="F37" s="256">
        <f t="shared" si="1"/>
        <v>0</v>
      </c>
      <c r="G37" s="256">
        <f t="shared" si="1"/>
        <v>0</v>
      </c>
      <c r="H37" s="256">
        <f t="shared" si="1"/>
        <v>0</v>
      </c>
      <c r="I37" s="256">
        <f t="shared" si="1"/>
        <v>0</v>
      </c>
      <c r="J37" s="256">
        <f t="shared" si="1"/>
        <v>0</v>
      </c>
      <c r="K37" s="256">
        <f t="shared" si="1"/>
        <v>0</v>
      </c>
      <c r="L37" s="256">
        <f t="shared" si="1"/>
        <v>0</v>
      </c>
      <c r="N37" s="255" t="s">
        <v>55</v>
      </c>
      <c r="O37" s="255" t="s">
        <v>123</v>
      </c>
      <c r="P37" s="255" t="s">
        <v>205</v>
      </c>
      <c r="Q37" s="256">
        <v>0</v>
      </c>
      <c r="R37" s="256">
        <v>0</v>
      </c>
      <c r="S37" s="256">
        <v>0</v>
      </c>
      <c r="T37" s="256">
        <v>0</v>
      </c>
      <c r="U37" s="256">
        <v>0</v>
      </c>
      <c r="V37" s="256">
        <v>0</v>
      </c>
      <c r="W37" s="256">
        <v>0</v>
      </c>
      <c r="X37" s="256">
        <v>0</v>
      </c>
      <c r="Y37" s="256">
        <v>0</v>
      </c>
      <c r="AA37" s="255" t="s">
        <v>55</v>
      </c>
      <c r="AB37" s="255" t="s">
        <v>123</v>
      </c>
      <c r="AC37" s="255" t="s">
        <v>205</v>
      </c>
      <c r="AD37" s="256">
        <v>0</v>
      </c>
      <c r="AE37" s="256">
        <v>0</v>
      </c>
      <c r="AF37" s="256">
        <v>0</v>
      </c>
      <c r="AG37" s="256">
        <v>0</v>
      </c>
      <c r="AH37" s="256">
        <v>0</v>
      </c>
      <c r="AI37" s="256">
        <v>0</v>
      </c>
      <c r="AJ37" s="256">
        <v>0</v>
      </c>
      <c r="AK37" s="256">
        <v>0</v>
      </c>
      <c r="AL37" s="256">
        <v>0</v>
      </c>
    </row>
    <row r="38" spans="1:38" ht="13.95" customHeight="1" x14ac:dyDescent="0.55000000000000004">
      <c r="A38" s="255" t="s">
        <v>55</v>
      </c>
      <c r="B38" s="255" t="s">
        <v>124</v>
      </c>
      <c r="C38" s="255" t="s">
        <v>206</v>
      </c>
      <c r="D38" s="256">
        <f t="shared" si="1"/>
        <v>0</v>
      </c>
      <c r="E38" s="256">
        <f t="shared" si="1"/>
        <v>0</v>
      </c>
      <c r="F38" s="256">
        <f t="shared" si="1"/>
        <v>0</v>
      </c>
      <c r="G38" s="256">
        <f t="shared" si="1"/>
        <v>0</v>
      </c>
      <c r="H38" s="256">
        <f t="shared" si="1"/>
        <v>0</v>
      </c>
      <c r="I38" s="256">
        <f t="shared" si="1"/>
        <v>0</v>
      </c>
      <c r="J38" s="256">
        <f t="shared" si="1"/>
        <v>0</v>
      </c>
      <c r="K38" s="256">
        <f t="shared" si="1"/>
        <v>0</v>
      </c>
      <c r="L38" s="256">
        <f t="shared" si="1"/>
        <v>0</v>
      </c>
      <c r="N38" s="255" t="s">
        <v>55</v>
      </c>
      <c r="O38" s="255" t="s">
        <v>124</v>
      </c>
      <c r="P38" s="255" t="s">
        <v>206</v>
      </c>
      <c r="Q38" s="256">
        <v>0</v>
      </c>
      <c r="R38" s="256">
        <v>0</v>
      </c>
      <c r="S38" s="256">
        <v>0</v>
      </c>
      <c r="T38" s="256">
        <v>0</v>
      </c>
      <c r="U38" s="256">
        <v>0</v>
      </c>
      <c r="V38" s="256">
        <v>0</v>
      </c>
      <c r="W38" s="256">
        <v>0</v>
      </c>
      <c r="X38" s="256">
        <v>0</v>
      </c>
      <c r="Y38" s="256">
        <v>0</v>
      </c>
      <c r="AA38" s="255" t="s">
        <v>55</v>
      </c>
      <c r="AB38" s="255" t="s">
        <v>124</v>
      </c>
      <c r="AC38" s="255" t="s">
        <v>206</v>
      </c>
      <c r="AD38" s="256">
        <v>0</v>
      </c>
      <c r="AE38" s="256">
        <v>0</v>
      </c>
      <c r="AF38" s="256">
        <v>0</v>
      </c>
      <c r="AG38" s="256">
        <v>0</v>
      </c>
      <c r="AH38" s="256">
        <v>0</v>
      </c>
      <c r="AI38" s="256">
        <v>0</v>
      </c>
      <c r="AJ38" s="256">
        <v>0</v>
      </c>
      <c r="AK38" s="256">
        <v>0</v>
      </c>
      <c r="AL38" s="256">
        <v>0</v>
      </c>
    </row>
    <row r="39" spans="1:38" ht="13.95" customHeight="1" x14ac:dyDescent="0.55000000000000004">
      <c r="A39" s="255" t="s">
        <v>55</v>
      </c>
      <c r="B39" s="255" t="s">
        <v>135</v>
      </c>
      <c r="C39" s="255" t="s">
        <v>207</v>
      </c>
      <c r="D39" s="256">
        <f t="shared" si="1"/>
        <v>0</v>
      </c>
      <c r="E39" s="256">
        <f t="shared" si="1"/>
        <v>0</v>
      </c>
      <c r="F39" s="256">
        <f t="shared" si="1"/>
        <v>0</v>
      </c>
      <c r="G39" s="256">
        <f t="shared" si="1"/>
        <v>0</v>
      </c>
      <c r="H39" s="256">
        <f t="shared" si="1"/>
        <v>0</v>
      </c>
      <c r="I39" s="256">
        <f t="shared" si="1"/>
        <v>0</v>
      </c>
      <c r="J39" s="256">
        <f t="shared" si="1"/>
        <v>0</v>
      </c>
      <c r="K39" s="256">
        <f t="shared" si="1"/>
        <v>0</v>
      </c>
      <c r="L39" s="256">
        <f t="shared" si="1"/>
        <v>0</v>
      </c>
      <c r="N39" s="255" t="s">
        <v>55</v>
      </c>
      <c r="O39" s="255" t="s">
        <v>135</v>
      </c>
      <c r="P39" s="255" t="s">
        <v>207</v>
      </c>
      <c r="Q39" s="256">
        <v>0</v>
      </c>
      <c r="R39" s="256">
        <v>0</v>
      </c>
      <c r="S39" s="256">
        <v>0</v>
      </c>
      <c r="T39" s="256">
        <v>0</v>
      </c>
      <c r="U39" s="256">
        <v>0</v>
      </c>
      <c r="V39" s="256">
        <v>0</v>
      </c>
      <c r="W39" s="256">
        <v>0</v>
      </c>
      <c r="X39" s="256">
        <v>0</v>
      </c>
      <c r="Y39" s="256">
        <v>0</v>
      </c>
      <c r="AA39" s="255" t="s">
        <v>55</v>
      </c>
      <c r="AB39" s="255" t="s">
        <v>135</v>
      </c>
      <c r="AC39" s="255" t="s">
        <v>207</v>
      </c>
      <c r="AD39" s="256">
        <v>0</v>
      </c>
      <c r="AE39" s="256">
        <v>0</v>
      </c>
      <c r="AF39" s="256">
        <v>0</v>
      </c>
      <c r="AG39" s="256">
        <v>0</v>
      </c>
      <c r="AH39" s="256">
        <v>0</v>
      </c>
      <c r="AI39" s="256">
        <v>0</v>
      </c>
      <c r="AJ39" s="256">
        <v>0</v>
      </c>
      <c r="AK39" s="256">
        <v>0</v>
      </c>
      <c r="AL39" s="256">
        <v>0</v>
      </c>
    </row>
    <row r="40" spans="1:38" ht="13.95" customHeight="1" x14ac:dyDescent="0.55000000000000004">
      <c r="A40" s="255" t="s">
        <v>55</v>
      </c>
      <c r="B40" s="255" t="s">
        <v>208</v>
      </c>
      <c r="C40" s="255" t="s">
        <v>209</v>
      </c>
      <c r="D40" s="256">
        <f t="shared" si="1"/>
        <v>0</v>
      </c>
      <c r="E40" s="256">
        <f t="shared" si="1"/>
        <v>0</v>
      </c>
      <c r="F40" s="256">
        <f t="shared" si="1"/>
        <v>0</v>
      </c>
      <c r="G40" s="256">
        <f t="shared" si="1"/>
        <v>0</v>
      </c>
      <c r="H40" s="256">
        <f t="shared" si="1"/>
        <v>0</v>
      </c>
      <c r="I40" s="256">
        <f t="shared" si="1"/>
        <v>0</v>
      </c>
      <c r="J40" s="256">
        <f t="shared" si="1"/>
        <v>0</v>
      </c>
      <c r="K40" s="256">
        <f t="shared" si="1"/>
        <v>0</v>
      </c>
      <c r="L40" s="256">
        <f t="shared" si="1"/>
        <v>0</v>
      </c>
      <c r="N40" s="255" t="s">
        <v>55</v>
      </c>
      <c r="O40" s="255" t="s">
        <v>208</v>
      </c>
      <c r="P40" s="255" t="s">
        <v>209</v>
      </c>
      <c r="Q40" s="256">
        <v>0</v>
      </c>
      <c r="R40" s="256">
        <v>0</v>
      </c>
      <c r="S40" s="256">
        <v>0</v>
      </c>
      <c r="T40" s="256">
        <v>0</v>
      </c>
      <c r="U40" s="256">
        <v>0</v>
      </c>
      <c r="V40" s="256">
        <v>0</v>
      </c>
      <c r="W40" s="256">
        <v>0</v>
      </c>
      <c r="X40" s="256">
        <v>0</v>
      </c>
      <c r="Y40" s="256">
        <v>0</v>
      </c>
      <c r="AA40" s="255" t="s">
        <v>55</v>
      </c>
      <c r="AB40" s="255" t="s">
        <v>208</v>
      </c>
      <c r="AC40" s="255" t="s">
        <v>209</v>
      </c>
      <c r="AD40" s="256">
        <v>0</v>
      </c>
      <c r="AE40" s="256">
        <v>0</v>
      </c>
      <c r="AF40" s="256">
        <v>0</v>
      </c>
      <c r="AG40" s="256">
        <v>0</v>
      </c>
      <c r="AH40" s="256">
        <v>0</v>
      </c>
      <c r="AI40" s="256">
        <v>0</v>
      </c>
      <c r="AJ40" s="256">
        <v>0</v>
      </c>
      <c r="AK40" s="256">
        <v>0</v>
      </c>
      <c r="AL40" s="256">
        <v>0</v>
      </c>
    </row>
    <row r="41" spans="1:38" ht="13.95" customHeight="1" x14ac:dyDescent="0.55000000000000004">
      <c r="A41" s="255" t="s">
        <v>55</v>
      </c>
      <c r="B41" s="255" t="s">
        <v>210</v>
      </c>
      <c r="C41" s="255" t="s">
        <v>211</v>
      </c>
      <c r="D41" s="256">
        <f t="shared" si="1"/>
        <v>0</v>
      </c>
      <c r="E41" s="256">
        <f t="shared" si="1"/>
        <v>0</v>
      </c>
      <c r="F41" s="256">
        <f t="shared" si="1"/>
        <v>0</v>
      </c>
      <c r="G41" s="256">
        <f t="shared" si="1"/>
        <v>0</v>
      </c>
      <c r="H41" s="256">
        <f t="shared" si="1"/>
        <v>0</v>
      </c>
      <c r="I41" s="256">
        <f t="shared" si="1"/>
        <v>0</v>
      </c>
      <c r="J41" s="256">
        <f t="shared" si="1"/>
        <v>0</v>
      </c>
      <c r="K41" s="256">
        <f t="shared" si="1"/>
        <v>0</v>
      </c>
      <c r="L41" s="256">
        <f t="shared" si="1"/>
        <v>0</v>
      </c>
      <c r="N41" s="255" t="s">
        <v>55</v>
      </c>
      <c r="O41" s="255" t="s">
        <v>210</v>
      </c>
      <c r="P41" s="255" t="s">
        <v>211</v>
      </c>
      <c r="Q41" s="256">
        <v>0</v>
      </c>
      <c r="R41" s="256">
        <v>0</v>
      </c>
      <c r="S41" s="256">
        <v>0</v>
      </c>
      <c r="T41" s="256">
        <v>0</v>
      </c>
      <c r="U41" s="256">
        <v>0</v>
      </c>
      <c r="V41" s="256">
        <v>0</v>
      </c>
      <c r="W41" s="256">
        <v>0</v>
      </c>
      <c r="X41" s="256">
        <v>0</v>
      </c>
      <c r="Y41" s="256">
        <v>0</v>
      </c>
      <c r="AA41" s="255" t="s">
        <v>55</v>
      </c>
      <c r="AB41" s="255" t="s">
        <v>210</v>
      </c>
      <c r="AC41" s="255" t="s">
        <v>211</v>
      </c>
      <c r="AD41" s="256">
        <v>0</v>
      </c>
      <c r="AE41" s="256">
        <v>0</v>
      </c>
      <c r="AF41" s="256">
        <v>0</v>
      </c>
      <c r="AG41" s="256">
        <v>0</v>
      </c>
      <c r="AH41" s="256">
        <v>0</v>
      </c>
      <c r="AI41" s="256">
        <v>0</v>
      </c>
      <c r="AJ41" s="256">
        <v>0</v>
      </c>
      <c r="AK41" s="256">
        <v>0</v>
      </c>
      <c r="AL41" s="256">
        <v>0</v>
      </c>
    </row>
    <row r="42" spans="1:38" ht="12" customHeight="1" x14ac:dyDescent="0.55000000000000004"/>
    <row r="43" spans="1:38" ht="16.2" customHeight="1" x14ac:dyDescent="0.55000000000000004">
      <c r="A43" s="437" t="s">
        <v>160</v>
      </c>
      <c r="B43" s="437"/>
      <c r="C43" s="437"/>
      <c r="D43" s="437"/>
      <c r="E43" s="437"/>
      <c r="F43" s="437"/>
      <c r="G43" s="437"/>
      <c r="H43" s="437"/>
      <c r="I43" s="437"/>
      <c r="J43" s="437"/>
      <c r="K43" s="437"/>
      <c r="L43" s="437"/>
      <c r="N43" s="437" t="s">
        <v>160</v>
      </c>
      <c r="O43" s="437"/>
      <c r="P43" s="437"/>
      <c r="Q43" s="437"/>
      <c r="R43" s="437"/>
      <c r="S43" s="437"/>
      <c r="T43" s="437"/>
      <c r="U43" s="437"/>
      <c r="V43" s="437"/>
      <c r="W43" s="437"/>
      <c r="X43" s="437"/>
      <c r="Y43" s="437"/>
      <c r="AA43" s="257"/>
      <c r="AB43" s="257"/>
      <c r="AC43" s="257"/>
      <c r="AD43" s="257"/>
      <c r="AE43" s="257"/>
      <c r="AF43" s="257"/>
      <c r="AG43" s="257"/>
      <c r="AH43" s="257"/>
      <c r="AI43" s="257"/>
      <c r="AJ43" s="257"/>
      <c r="AK43" s="257"/>
      <c r="AL43" s="257"/>
    </row>
    <row r="44" spans="1:38" ht="16.2" customHeight="1" x14ac:dyDescent="0.55000000000000004">
      <c r="A44" s="437" t="s">
        <v>212</v>
      </c>
      <c r="B44" s="437"/>
      <c r="C44" s="437"/>
      <c r="D44" s="437"/>
      <c r="E44" s="437"/>
      <c r="F44" s="437"/>
      <c r="G44" s="437"/>
      <c r="H44" s="437"/>
      <c r="I44" s="437"/>
      <c r="J44" s="437"/>
      <c r="K44" s="437"/>
      <c r="L44" s="437"/>
      <c r="N44" s="437" t="s">
        <v>212</v>
      </c>
      <c r="O44" s="437"/>
      <c r="P44" s="437"/>
      <c r="Q44" s="437"/>
      <c r="R44" s="437"/>
      <c r="S44" s="437"/>
      <c r="T44" s="437"/>
      <c r="U44" s="437"/>
      <c r="V44" s="437"/>
      <c r="W44" s="437"/>
      <c r="X44" s="437"/>
      <c r="Y44" s="437"/>
      <c r="AA44" s="257"/>
      <c r="AB44" s="257"/>
      <c r="AC44" s="257"/>
      <c r="AD44" s="257"/>
      <c r="AE44" s="257"/>
      <c r="AF44" s="257"/>
      <c r="AG44" s="257"/>
      <c r="AH44" s="257"/>
      <c r="AI44" s="257"/>
      <c r="AJ44" s="257"/>
      <c r="AK44" s="257"/>
      <c r="AL44" s="257"/>
    </row>
    <row r="45" spans="1:38" ht="12" customHeight="1" x14ac:dyDescent="0.55000000000000004">
      <c r="AA45" s="258" t="s">
        <v>276</v>
      </c>
      <c r="AB45" s="253"/>
      <c r="AD45" s="259">
        <v>1.2096159825870647</v>
      </c>
    </row>
    <row r="46" spans="1:38" ht="13.95" customHeight="1" x14ac:dyDescent="0.55000000000000004">
      <c r="A46" s="254" t="s">
        <v>2</v>
      </c>
      <c r="B46" s="254" t="s">
        <v>4</v>
      </c>
      <c r="C46" s="254" t="s">
        <v>162</v>
      </c>
      <c r="D46" s="254" t="s">
        <v>163</v>
      </c>
      <c r="E46" s="254" t="s">
        <v>164</v>
      </c>
      <c r="F46" s="254" t="s">
        <v>165</v>
      </c>
      <c r="G46" s="254" t="s">
        <v>166</v>
      </c>
      <c r="H46" s="254" t="s">
        <v>167</v>
      </c>
      <c r="I46" s="254" t="s">
        <v>168</v>
      </c>
      <c r="J46" s="254" t="s">
        <v>169</v>
      </c>
      <c r="K46" s="254" t="s">
        <v>170</v>
      </c>
      <c r="L46" s="254" t="s">
        <v>1</v>
      </c>
      <c r="N46" s="254" t="s">
        <v>2</v>
      </c>
      <c r="O46" s="254" t="s">
        <v>4</v>
      </c>
      <c r="P46" s="254" t="s">
        <v>162</v>
      </c>
      <c r="Q46" s="254" t="s">
        <v>163</v>
      </c>
      <c r="R46" s="254" t="s">
        <v>164</v>
      </c>
      <c r="S46" s="254" t="s">
        <v>165</v>
      </c>
      <c r="T46" s="254" t="s">
        <v>166</v>
      </c>
      <c r="U46" s="254" t="s">
        <v>167</v>
      </c>
      <c r="V46" s="254" t="s">
        <v>168</v>
      </c>
      <c r="W46" s="254" t="s">
        <v>169</v>
      </c>
      <c r="X46" s="254" t="s">
        <v>170</v>
      </c>
      <c r="Y46" s="254" t="s">
        <v>1</v>
      </c>
      <c r="AA46" s="254" t="s">
        <v>2</v>
      </c>
      <c r="AB46" s="254" t="s">
        <v>4</v>
      </c>
      <c r="AC46" s="254" t="s">
        <v>162</v>
      </c>
      <c r="AD46" s="254" t="s">
        <v>163</v>
      </c>
      <c r="AE46" s="254" t="s">
        <v>164</v>
      </c>
      <c r="AF46" s="254" t="s">
        <v>165</v>
      </c>
      <c r="AG46" s="254" t="s">
        <v>166</v>
      </c>
      <c r="AH46" s="254" t="s">
        <v>167</v>
      </c>
      <c r="AI46" s="254" t="s">
        <v>168</v>
      </c>
      <c r="AJ46" s="254" t="s">
        <v>169</v>
      </c>
      <c r="AK46" s="254" t="s">
        <v>170</v>
      </c>
      <c r="AL46" s="254" t="s">
        <v>1</v>
      </c>
    </row>
    <row r="47" spans="1:38" ht="13.95" customHeight="1" x14ac:dyDescent="0.55000000000000004">
      <c r="A47" s="255" t="s">
        <v>56</v>
      </c>
      <c r="B47" s="255" t="s">
        <v>92</v>
      </c>
      <c r="C47" s="255" t="s">
        <v>171</v>
      </c>
      <c r="D47" s="256">
        <f>Q47+AD47</f>
        <v>0</v>
      </c>
      <c r="E47" s="256">
        <f t="shared" ref="E47:L74" si="3">R47+AE47</f>
        <v>0</v>
      </c>
      <c r="F47" s="256">
        <f t="shared" si="3"/>
        <v>0</v>
      </c>
      <c r="G47" s="256">
        <f t="shared" si="3"/>
        <v>0</v>
      </c>
      <c r="H47" s="256">
        <f t="shared" si="3"/>
        <v>0</v>
      </c>
      <c r="I47" s="256">
        <f t="shared" si="3"/>
        <v>0</v>
      </c>
      <c r="J47" s="256">
        <f t="shared" si="3"/>
        <v>0</v>
      </c>
      <c r="K47" s="256">
        <f t="shared" si="3"/>
        <v>0</v>
      </c>
      <c r="L47" s="256">
        <f t="shared" si="3"/>
        <v>0</v>
      </c>
      <c r="N47" s="255" t="s">
        <v>56</v>
      </c>
      <c r="O47" s="255" t="s">
        <v>92</v>
      </c>
      <c r="P47" s="255" t="s">
        <v>171</v>
      </c>
      <c r="Q47" s="256">
        <v>0</v>
      </c>
      <c r="R47" s="256">
        <v>0</v>
      </c>
      <c r="S47" s="256">
        <v>0</v>
      </c>
      <c r="T47" s="256">
        <v>0</v>
      </c>
      <c r="U47" s="256">
        <v>0</v>
      </c>
      <c r="V47" s="256">
        <v>0</v>
      </c>
      <c r="W47" s="256">
        <v>0</v>
      </c>
      <c r="X47" s="256">
        <v>0</v>
      </c>
      <c r="Y47" s="256">
        <v>0</v>
      </c>
      <c r="AA47" s="255" t="s">
        <v>56</v>
      </c>
      <c r="AB47" s="255" t="s">
        <v>92</v>
      </c>
      <c r="AC47" s="255" t="s">
        <v>171</v>
      </c>
      <c r="AD47" s="256">
        <v>0</v>
      </c>
      <c r="AE47" s="256">
        <v>0</v>
      </c>
      <c r="AF47" s="256">
        <v>0</v>
      </c>
      <c r="AG47" s="256">
        <v>0</v>
      </c>
      <c r="AH47" s="256">
        <v>0</v>
      </c>
      <c r="AI47" s="256">
        <v>0</v>
      </c>
      <c r="AJ47" s="256">
        <v>0</v>
      </c>
      <c r="AK47" s="256">
        <v>0</v>
      </c>
      <c r="AL47" s="256">
        <v>0</v>
      </c>
    </row>
    <row r="48" spans="1:38" ht="13.95" customHeight="1" x14ac:dyDescent="0.55000000000000004">
      <c r="A48" s="255" t="s">
        <v>56</v>
      </c>
      <c r="B48" s="255" t="s">
        <v>93</v>
      </c>
      <c r="C48" s="255" t="s">
        <v>172</v>
      </c>
      <c r="D48" s="256">
        <f t="shared" ref="D48:D74" si="4">Q48+AD48</f>
        <v>0</v>
      </c>
      <c r="E48" s="256">
        <f t="shared" si="3"/>
        <v>0</v>
      </c>
      <c r="F48" s="256">
        <f t="shared" si="3"/>
        <v>0</v>
      </c>
      <c r="G48" s="256">
        <f t="shared" si="3"/>
        <v>0</v>
      </c>
      <c r="H48" s="256">
        <f t="shared" si="3"/>
        <v>67263.095771144275</v>
      </c>
      <c r="I48" s="256">
        <f t="shared" si="3"/>
        <v>0</v>
      </c>
      <c r="J48" s="256">
        <f t="shared" si="3"/>
        <v>2880</v>
      </c>
      <c r="K48" s="256">
        <f t="shared" si="3"/>
        <v>0</v>
      </c>
      <c r="L48" s="256">
        <f t="shared" si="3"/>
        <v>70143.095771144275</v>
      </c>
      <c r="N48" s="255" t="s">
        <v>56</v>
      </c>
      <c r="O48" s="255" t="s">
        <v>93</v>
      </c>
      <c r="P48" s="255" t="s">
        <v>172</v>
      </c>
      <c r="Q48" s="256">
        <v>0</v>
      </c>
      <c r="R48" s="256">
        <v>0</v>
      </c>
      <c r="S48" s="256">
        <v>0</v>
      </c>
      <c r="T48" s="256">
        <v>0</v>
      </c>
      <c r="U48" s="256">
        <v>60656</v>
      </c>
      <c r="V48" s="256">
        <v>0</v>
      </c>
      <c r="W48" s="256">
        <v>2880</v>
      </c>
      <c r="X48" s="256">
        <v>0</v>
      </c>
      <c r="Y48" s="256">
        <v>63536</v>
      </c>
      <c r="AA48" s="255" t="s">
        <v>56</v>
      </c>
      <c r="AB48" s="255" t="s">
        <v>93</v>
      </c>
      <c r="AC48" s="255" t="s">
        <v>172</v>
      </c>
      <c r="AD48" s="256">
        <v>0</v>
      </c>
      <c r="AE48" s="256">
        <v>0</v>
      </c>
      <c r="AF48" s="256">
        <v>0</v>
      </c>
      <c r="AG48" s="256">
        <v>0</v>
      </c>
      <c r="AH48" s="256">
        <v>6607.0957711442798</v>
      </c>
      <c r="AI48" s="256">
        <v>0</v>
      </c>
      <c r="AJ48" s="256">
        <v>0</v>
      </c>
      <c r="AK48" s="256">
        <v>0</v>
      </c>
      <c r="AL48" s="256">
        <v>6607.0957711442798</v>
      </c>
    </row>
    <row r="49" spans="1:38" ht="13.95" customHeight="1" x14ac:dyDescent="0.55000000000000004">
      <c r="A49" s="255" t="s">
        <v>56</v>
      </c>
      <c r="B49" s="255" t="s">
        <v>94</v>
      </c>
      <c r="C49" s="255" t="s">
        <v>173</v>
      </c>
      <c r="D49" s="256">
        <f t="shared" si="4"/>
        <v>0</v>
      </c>
      <c r="E49" s="256">
        <f t="shared" si="3"/>
        <v>108054.82151741293</v>
      </c>
      <c r="F49" s="256">
        <f t="shared" si="3"/>
        <v>0</v>
      </c>
      <c r="G49" s="256">
        <f t="shared" si="3"/>
        <v>0</v>
      </c>
      <c r="H49" s="256">
        <f t="shared" si="3"/>
        <v>78729.16231343284</v>
      </c>
      <c r="I49" s="256">
        <f t="shared" si="3"/>
        <v>8519.8476368159209</v>
      </c>
      <c r="J49" s="256">
        <f t="shared" si="3"/>
        <v>80</v>
      </c>
      <c r="K49" s="256">
        <f t="shared" si="3"/>
        <v>0</v>
      </c>
      <c r="L49" s="256">
        <f t="shared" si="3"/>
        <v>195383.83146766169</v>
      </c>
      <c r="N49" s="255" t="s">
        <v>56</v>
      </c>
      <c r="O49" s="255" t="s">
        <v>94</v>
      </c>
      <c r="P49" s="255" t="s">
        <v>173</v>
      </c>
      <c r="Q49" s="256">
        <v>0</v>
      </c>
      <c r="R49" s="256">
        <v>100512</v>
      </c>
      <c r="S49" s="256">
        <v>0</v>
      </c>
      <c r="T49" s="256">
        <v>0</v>
      </c>
      <c r="U49" s="256">
        <v>70368</v>
      </c>
      <c r="V49" s="256">
        <v>8000</v>
      </c>
      <c r="W49" s="256">
        <v>80</v>
      </c>
      <c r="X49" s="256">
        <v>0</v>
      </c>
      <c r="Y49" s="256">
        <v>178960</v>
      </c>
      <c r="AA49" s="255" t="s">
        <v>56</v>
      </c>
      <c r="AB49" s="255" t="s">
        <v>94</v>
      </c>
      <c r="AC49" s="255" t="s">
        <v>173</v>
      </c>
      <c r="AD49" s="256">
        <v>0</v>
      </c>
      <c r="AE49" s="256">
        <v>7542.8215174129364</v>
      </c>
      <c r="AF49" s="256">
        <v>0</v>
      </c>
      <c r="AG49" s="256">
        <v>0</v>
      </c>
      <c r="AH49" s="256">
        <v>8361.1623134328365</v>
      </c>
      <c r="AI49" s="256">
        <v>519.84763681592051</v>
      </c>
      <c r="AJ49" s="256">
        <v>0</v>
      </c>
      <c r="AK49" s="256">
        <v>0</v>
      </c>
      <c r="AL49" s="256">
        <v>16423.831467661694</v>
      </c>
    </row>
    <row r="50" spans="1:38" ht="13.95" customHeight="1" x14ac:dyDescent="0.55000000000000004">
      <c r="A50" s="255" t="s">
        <v>56</v>
      </c>
      <c r="B50" s="255" t="s">
        <v>95</v>
      </c>
      <c r="C50" s="255" t="s">
        <v>174</v>
      </c>
      <c r="D50" s="256">
        <f t="shared" si="4"/>
        <v>14337.787313432837</v>
      </c>
      <c r="E50" s="256">
        <f t="shared" si="3"/>
        <v>0</v>
      </c>
      <c r="F50" s="256">
        <f t="shared" si="3"/>
        <v>0</v>
      </c>
      <c r="G50" s="256">
        <f t="shared" si="3"/>
        <v>0</v>
      </c>
      <c r="H50" s="256">
        <f t="shared" si="3"/>
        <v>29127.758706467663</v>
      </c>
      <c r="I50" s="256">
        <f t="shared" si="3"/>
        <v>14238.217661691542</v>
      </c>
      <c r="J50" s="256">
        <f t="shared" si="3"/>
        <v>3501</v>
      </c>
      <c r="K50" s="256">
        <f t="shared" si="3"/>
        <v>0</v>
      </c>
      <c r="L50" s="256">
        <f t="shared" si="3"/>
        <v>61204.763681592041</v>
      </c>
      <c r="N50" s="255" t="s">
        <v>56</v>
      </c>
      <c r="O50" s="255" t="s">
        <v>95</v>
      </c>
      <c r="P50" s="255" t="s">
        <v>174</v>
      </c>
      <c r="Q50" s="256">
        <v>13392</v>
      </c>
      <c r="R50" s="256">
        <v>0</v>
      </c>
      <c r="S50" s="256">
        <v>0</v>
      </c>
      <c r="T50" s="256">
        <v>0</v>
      </c>
      <c r="U50" s="256">
        <v>27424</v>
      </c>
      <c r="V50" s="256">
        <v>13440</v>
      </c>
      <c r="W50" s="256">
        <v>3501</v>
      </c>
      <c r="X50" s="256">
        <v>0</v>
      </c>
      <c r="Y50" s="256">
        <v>57757</v>
      </c>
      <c r="AA50" s="255" t="s">
        <v>56</v>
      </c>
      <c r="AB50" s="255" t="s">
        <v>95</v>
      </c>
      <c r="AC50" s="255" t="s">
        <v>174</v>
      </c>
      <c r="AD50" s="256">
        <v>945.78731343283596</v>
      </c>
      <c r="AE50" s="256">
        <v>0</v>
      </c>
      <c r="AF50" s="256">
        <v>0</v>
      </c>
      <c r="AG50" s="256">
        <v>0</v>
      </c>
      <c r="AH50" s="256">
        <v>1703.758706467662</v>
      </c>
      <c r="AI50" s="256">
        <v>798.21766169154239</v>
      </c>
      <c r="AJ50" s="256">
        <v>0</v>
      </c>
      <c r="AK50" s="256">
        <v>0</v>
      </c>
      <c r="AL50" s="256">
        <v>3447.7636815920405</v>
      </c>
    </row>
    <row r="51" spans="1:38" ht="13.95" customHeight="1" x14ac:dyDescent="0.55000000000000004">
      <c r="A51" s="255" t="s">
        <v>56</v>
      </c>
      <c r="B51" s="255" t="s">
        <v>96</v>
      </c>
      <c r="C51" s="255" t="s">
        <v>175</v>
      </c>
      <c r="D51" s="256">
        <f t="shared" si="4"/>
        <v>0</v>
      </c>
      <c r="E51" s="256">
        <f t="shared" si="3"/>
        <v>0</v>
      </c>
      <c r="F51" s="256">
        <f t="shared" si="3"/>
        <v>0</v>
      </c>
      <c r="G51" s="256">
        <f t="shared" si="3"/>
        <v>0</v>
      </c>
      <c r="H51" s="256">
        <f t="shared" si="3"/>
        <v>0</v>
      </c>
      <c r="I51" s="256">
        <f t="shared" si="3"/>
        <v>0</v>
      </c>
      <c r="J51" s="256">
        <f t="shared" si="3"/>
        <v>0</v>
      </c>
      <c r="K51" s="256">
        <f t="shared" si="3"/>
        <v>0</v>
      </c>
      <c r="L51" s="256">
        <f t="shared" si="3"/>
        <v>0</v>
      </c>
      <c r="N51" s="255" t="s">
        <v>56</v>
      </c>
      <c r="O51" s="255" t="s">
        <v>96</v>
      </c>
      <c r="P51" s="255" t="s">
        <v>175</v>
      </c>
      <c r="Q51" s="256">
        <v>0</v>
      </c>
      <c r="R51" s="256">
        <v>0</v>
      </c>
      <c r="S51" s="256">
        <v>0</v>
      </c>
      <c r="T51" s="256">
        <v>0</v>
      </c>
      <c r="U51" s="256">
        <v>0</v>
      </c>
      <c r="V51" s="256">
        <v>0</v>
      </c>
      <c r="W51" s="256">
        <v>0</v>
      </c>
      <c r="X51" s="256">
        <v>0</v>
      </c>
      <c r="Y51" s="256">
        <v>0</v>
      </c>
      <c r="AA51" s="255" t="s">
        <v>56</v>
      </c>
      <c r="AB51" s="255" t="s">
        <v>96</v>
      </c>
      <c r="AC51" s="255" t="s">
        <v>175</v>
      </c>
      <c r="AD51" s="256">
        <v>0</v>
      </c>
      <c r="AE51" s="256">
        <v>0</v>
      </c>
      <c r="AF51" s="256">
        <v>0</v>
      </c>
      <c r="AG51" s="256">
        <v>0</v>
      </c>
      <c r="AH51" s="256">
        <v>0</v>
      </c>
      <c r="AI51" s="256">
        <v>0</v>
      </c>
      <c r="AJ51" s="256">
        <v>0</v>
      </c>
      <c r="AK51" s="256">
        <v>0</v>
      </c>
      <c r="AL51" s="256">
        <v>0</v>
      </c>
    </row>
    <row r="52" spans="1:38" ht="13.95" customHeight="1" x14ac:dyDescent="0.55000000000000004">
      <c r="A52" s="255" t="s">
        <v>56</v>
      </c>
      <c r="B52" s="255" t="s">
        <v>97</v>
      </c>
      <c r="C52" s="255" t="s">
        <v>176</v>
      </c>
      <c r="D52" s="256">
        <f t="shared" si="4"/>
        <v>15220.432835820895</v>
      </c>
      <c r="E52" s="256">
        <f t="shared" si="3"/>
        <v>0</v>
      </c>
      <c r="F52" s="256">
        <f t="shared" si="3"/>
        <v>0</v>
      </c>
      <c r="G52" s="256">
        <f t="shared" si="3"/>
        <v>0</v>
      </c>
      <c r="H52" s="256">
        <f t="shared" si="3"/>
        <v>0</v>
      </c>
      <c r="I52" s="256">
        <f t="shared" si="3"/>
        <v>0</v>
      </c>
      <c r="J52" s="256">
        <f t="shared" si="3"/>
        <v>0</v>
      </c>
      <c r="K52" s="256">
        <f t="shared" si="3"/>
        <v>0</v>
      </c>
      <c r="L52" s="256">
        <f t="shared" si="3"/>
        <v>15220.432835820895</v>
      </c>
      <c r="N52" s="255" t="s">
        <v>56</v>
      </c>
      <c r="O52" s="255" t="s">
        <v>97</v>
      </c>
      <c r="P52" s="255" t="s">
        <v>176</v>
      </c>
      <c r="Q52" s="256">
        <v>14496</v>
      </c>
      <c r="R52" s="256">
        <v>0</v>
      </c>
      <c r="S52" s="256">
        <v>0</v>
      </c>
      <c r="T52" s="256">
        <v>0</v>
      </c>
      <c r="U52" s="256">
        <v>0</v>
      </c>
      <c r="V52" s="256">
        <v>0</v>
      </c>
      <c r="W52" s="256">
        <v>0</v>
      </c>
      <c r="X52" s="256">
        <v>0</v>
      </c>
      <c r="Y52" s="256">
        <v>14496</v>
      </c>
      <c r="AA52" s="255" t="s">
        <v>56</v>
      </c>
      <c r="AB52" s="255" t="s">
        <v>97</v>
      </c>
      <c r="AC52" s="255" t="s">
        <v>176</v>
      </c>
      <c r="AD52" s="256">
        <v>724.43283582089566</v>
      </c>
      <c r="AE52" s="256">
        <v>0</v>
      </c>
      <c r="AF52" s="256">
        <v>0</v>
      </c>
      <c r="AG52" s="256">
        <v>0</v>
      </c>
      <c r="AH52" s="256">
        <v>0</v>
      </c>
      <c r="AI52" s="256">
        <v>0</v>
      </c>
      <c r="AJ52" s="256">
        <v>0</v>
      </c>
      <c r="AK52" s="256">
        <v>0</v>
      </c>
      <c r="AL52" s="256">
        <v>724.43283582089566</v>
      </c>
    </row>
    <row r="53" spans="1:38" ht="13.95" customHeight="1" x14ac:dyDescent="0.55000000000000004">
      <c r="A53" s="255" t="s">
        <v>56</v>
      </c>
      <c r="B53" s="255" t="s">
        <v>98</v>
      </c>
      <c r="C53" s="255" t="s">
        <v>177</v>
      </c>
      <c r="D53" s="256">
        <f t="shared" si="4"/>
        <v>0</v>
      </c>
      <c r="E53" s="256">
        <f t="shared" si="3"/>
        <v>11977.109452736318</v>
      </c>
      <c r="F53" s="256">
        <f t="shared" si="3"/>
        <v>0</v>
      </c>
      <c r="G53" s="256">
        <f t="shared" si="3"/>
        <v>0</v>
      </c>
      <c r="H53" s="256">
        <f t="shared" si="3"/>
        <v>0</v>
      </c>
      <c r="I53" s="256">
        <f t="shared" si="3"/>
        <v>8320.0329601990052</v>
      </c>
      <c r="J53" s="256">
        <f t="shared" si="3"/>
        <v>0</v>
      </c>
      <c r="K53" s="256">
        <f t="shared" si="3"/>
        <v>824</v>
      </c>
      <c r="L53" s="256">
        <f t="shared" si="3"/>
        <v>21121.142412935325</v>
      </c>
      <c r="N53" s="255" t="s">
        <v>56</v>
      </c>
      <c r="O53" s="255" t="s">
        <v>98</v>
      </c>
      <c r="P53" s="255" t="s">
        <v>177</v>
      </c>
      <c r="Q53" s="256">
        <v>0</v>
      </c>
      <c r="R53" s="256">
        <v>11360</v>
      </c>
      <c r="S53" s="256">
        <v>0</v>
      </c>
      <c r="T53" s="256">
        <v>0</v>
      </c>
      <c r="U53" s="256">
        <v>0</v>
      </c>
      <c r="V53" s="256">
        <v>7552</v>
      </c>
      <c r="W53" s="256">
        <v>0</v>
      </c>
      <c r="X53" s="256">
        <v>824</v>
      </c>
      <c r="Y53" s="256">
        <v>19736</v>
      </c>
      <c r="AA53" s="255" t="s">
        <v>56</v>
      </c>
      <c r="AB53" s="255" t="s">
        <v>98</v>
      </c>
      <c r="AC53" s="255" t="s">
        <v>177</v>
      </c>
      <c r="AD53" s="256">
        <v>0</v>
      </c>
      <c r="AE53" s="256">
        <v>617.10945273631853</v>
      </c>
      <c r="AF53" s="256">
        <v>0</v>
      </c>
      <c r="AG53" s="256">
        <v>0</v>
      </c>
      <c r="AH53" s="256">
        <v>0</v>
      </c>
      <c r="AI53" s="256">
        <v>768.03296019900506</v>
      </c>
      <c r="AJ53" s="256">
        <v>0</v>
      </c>
      <c r="AK53" s="256">
        <v>0</v>
      </c>
      <c r="AL53" s="256">
        <v>1385.1424129353236</v>
      </c>
    </row>
    <row r="54" spans="1:38" ht="13.95" customHeight="1" x14ac:dyDescent="0.55000000000000004">
      <c r="A54" s="255" t="s">
        <v>56</v>
      </c>
      <c r="B54" s="255" t="s">
        <v>99</v>
      </c>
      <c r="C54" s="255" t="s">
        <v>178</v>
      </c>
      <c r="D54" s="256">
        <f t="shared" si="4"/>
        <v>0</v>
      </c>
      <c r="E54" s="256">
        <f t="shared" si="3"/>
        <v>0</v>
      </c>
      <c r="F54" s="256">
        <f t="shared" si="3"/>
        <v>0</v>
      </c>
      <c r="G54" s="256">
        <f t="shared" si="3"/>
        <v>0</v>
      </c>
      <c r="H54" s="256">
        <f t="shared" si="3"/>
        <v>800</v>
      </c>
      <c r="I54" s="256">
        <f t="shared" si="3"/>
        <v>0</v>
      </c>
      <c r="J54" s="256">
        <f t="shared" si="3"/>
        <v>48</v>
      </c>
      <c r="K54" s="256">
        <f t="shared" si="3"/>
        <v>0</v>
      </c>
      <c r="L54" s="256">
        <f t="shared" si="3"/>
        <v>848</v>
      </c>
      <c r="N54" s="255" t="s">
        <v>56</v>
      </c>
      <c r="O54" s="255" t="s">
        <v>99</v>
      </c>
      <c r="P54" s="255" t="s">
        <v>178</v>
      </c>
      <c r="Q54" s="256">
        <v>0</v>
      </c>
      <c r="R54" s="256">
        <v>0</v>
      </c>
      <c r="S54" s="256">
        <v>0</v>
      </c>
      <c r="T54" s="256">
        <v>0</v>
      </c>
      <c r="U54" s="256">
        <v>800</v>
      </c>
      <c r="V54" s="256">
        <v>0</v>
      </c>
      <c r="W54" s="256">
        <v>48</v>
      </c>
      <c r="X54" s="256">
        <v>0</v>
      </c>
      <c r="Y54" s="256">
        <v>848</v>
      </c>
      <c r="AA54" s="255" t="s">
        <v>56</v>
      </c>
      <c r="AB54" s="255" t="s">
        <v>99</v>
      </c>
      <c r="AC54" s="255" t="s">
        <v>178</v>
      </c>
      <c r="AD54" s="256">
        <v>0</v>
      </c>
      <c r="AE54" s="256">
        <v>0</v>
      </c>
      <c r="AF54" s="256">
        <v>0</v>
      </c>
      <c r="AG54" s="256">
        <v>0</v>
      </c>
      <c r="AH54" s="256">
        <v>0</v>
      </c>
      <c r="AI54" s="256">
        <v>0</v>
      </c>
      <c r="AJ54" s="256">
        <v>0</v>
      </c>
      <c r="AK54" s="256">
        <v>0</v>
      </c>
      <c r="AL54" s="256">
        <v>0</v>
      </c>
    </row>
    <row r="55" spans="1:38" ht="13.95" customHeight="1" x14ac:dyDescent="0.55000000000000004">
      <c r="A55" s="255" t="s">
        <v>56</v>
      </c>
      <c r="B55" s="255" t="s">
        <v>100</v>
      </c>
      <c r="C55" s="255" t="s">
        <v>179</v>
      </c>
      <c r="D55" s="256">
        <f t="shared" si="4"/>
        <v>12018.279850746268</v>
      </c>
      <c r="E55" s="256">
        <f t="shared" si="3"/>
        <v>5257.2313432835817</v>
      </c>
      <c r="F55" s="256">
        <f t="shared" si="3"/>
        <v>0</v>
      </c>
      <c r="G55" s="256">
        <f t="shared" si="3"/>
        <v>0</v>
      </c>
      <c r="H55" s="256">
        <f t="shared" si="3"/>
        <v>224557.23631840796</v>
      </c>
      <c r="I55" s="256">
        <f t="shared" si="3"/>
        <v>0</v>
      </c>
      <c r="J55" s="256">
        <f t="shared" si="3"/>
        <v>0</v>
      </c>
      <c r="K55" s="256">
        <f t="shared" si="3"/>
        <v>0</v>
      </c>
      <c r="L55" s="256">
        <f t="shared" si="3"/>
        <v>241832.74751243781</v>
      </c>
      <c r="N55" s="255" t="s">
        <v>56</v>
      </c>
      <c r="O55" s="255" t="s">
        <v>100</v>
      </c>
      <c r="P55" s="255" t="s">
        <v>179</v>
      </c>
      <c r="Q55" s="256">
        <v>10992</v>
      </c>
      <c r="R55" s="256">
        <v>5056</v>
      </c>
      <c r="S55" s="256">
        <v>0</v>
      </c>
      <c r="T55" s="256">
        <v>0</v>
      </c>
      <c r="U55" s="256">
        <v>201040</v>
      </c>
      <c r="V55" s="256">
        <v>0</v>
      </c>
      <c r="W55" s="256">
        <v>0</v>
      </c>
      <c r="X55" s="256">
        <v>0</v>
      </c>
      <c r="Y55" s="256">
        <v>217088</v>
      </c>
      <c r="AA55" s="255" t="s">
        <v>56</v>
      </c>
      <c r="AB55" s="255" t="s">
        <v>100</v>
      </c>
      <c r="AC55" s="255" t="s">
        <v>179</v>
      </c>
      <c r="AD55" s="256">
        <v>1026.2798507462687</v>
      </c>
      <c r="AE55" s="256">
        <v>201.23134328358213</v>
      </c>
      <c r="AF55" s="256">
        <v>0</v>
      </c>
      <c r="AG55" s="256">
        <v>0</v>
      </c>
      <c r="AH55" s="256">
        <v>23517.236318407962</v>
      </c>
      <c r="AI55" s="256">
        <v>0</v>
      </c>
      <c r="AJ55" s="256">
        <v>0</v>
      </c>
      <c r="AK55" s="256">
        <v>0</v>
      </c>
      <c r="AL55" s="256">
        <v>24744.747512437814</v>
      </c>
    </row>
    <row r="56" spans="1:38" ht="13.95" customHeight="1" x14ac:dyDescent="0.55000000000000004">
      <c r="A56" s="255" t="s">
        <v>56</v>
      </c>
      <c r="B56" s="255" t="s">
        <v>101</v>
      </c>
      <c r="C56" s="255" t="s">
        <v>180</v>
      </c>
      <c r="D56" s="256">
        <f t="shared" si="4"/>
        <v>0</v>
      </c>
      <c r="E56" s="256">
        <f t="shared" si="3"/>
        <v>0</v>
      </c>
      <c r="F56" s="256">
        <f t="shared" si="3"/>
        <v>0</v>
      </c>
      <c r="G56" s="256">
        <f t="shared" si="3"/>
        <v>0</v>
      </c>
      <c r="H56" s="256">
        <f t="shared" si="3"/>
        <v>0</v>
      </c>
      <c r="I56" s="256">
        <f t="shared" si="3"/>
        <v>0</v>
      </c>
      <c r="J56" s="256">
        <f t="shared" si="3"/>
        <v>0</v>
      </c>
      <c r="K56" s="256">
        <f t="shared" si="3"/>
        <v>0</v>
      </c>
      <c r="L56" s="256">
        <f t="shared" si="3"/>
        <v>0</v>
      </c>
      <c r="N56" s="255" t="s">
        <v>56</v>
      </c>
      <c r="O56" s="255" t="s">
        <v>101</v>
      </c>
      <c r="P56" s="255" t="s">
        <v>180</v>
      </c>
      <c r="Q56" s="256">
        <v>0</v>
      </c>
      <c r="R56" s="256">
        <v>0</v>
      </c>
      <c r="S56" s="256">
        <v>0</v>
      </c>
      <c r="T56" s="256">
        <v>0</v>
      </c>
      <c r="U56" s="256">
        <v>0</v>
      </c>
      <c r="V56" s="256">
        <v>0</v>
      </c>
      <c r="W56" s="256">
        <v>0</v>
      </c>
      <c r="X56" s="256">
        <v>0</v>
      </c>
      <c r="Y56" s="256">
        <v>0</v>
      </c>
      <c r="AA56" s="255" t="s">
        <v>56</v>
      </c>
      <c r="AB56" s="255" t="s">
        <v>101</v>
      </c>
      <c r="AC56" s="255" t="s">
        <v>180</v>
      </c>
      <c r="AD56" s="256">
        <v>0</v>
      </c>
      <c r="AE56" s="256">
        <v>0</v>
      </c>
      <c r="AF56" s="256">
        <v>0</v>
      </c>
      <c r="AG56" s="256">
        <v>0</v>
      </c>
      <c r="AH56" s="256">
        <v>0</v>
      </c>
      <c r="AI56" s="256">
        <v>0</v>
      </c>
      <c r="AJ56" s="256">
        <v>0</v>
      </c>
      <c r="AK56" s="256">
        <v>0</v>
      </c>
      <c r="AL56" s="256">
        <v>0</v>
      </c>
    </row>
    <row r="57" spans="1:38" ht="13.95" customHeight="1" x14ac:dyDescent="0.55000000000000004">
      <c r="A57" s="255" t="s">
        <v>56</v>
      </c>
      <c r="B57" s="255" t="s">
        <v>102</v>
      </c>
      <c r="C57" s="255" t="s">
        <v>181</v>
      </c>
      <c r="D57" s="256">
        <f t="shared" si="4"/>
        <v>0</v>
      </c>
      <c r="E57" s="256">
        <f t="shared" si="3"/>
        <v>0</v>
      </c>
      <c r="F57" s="256">
        <f t="shared" si="3"/>
        <v>0</v>
      </c>
      <c r="G57" s="256">
        <f t="shared" si="3"/>
        <v>0</v>
      </c>
      <c r="H57" s="256">
        <f t="shared" si="3"/>
        <v>0</v>
      </c>
      <c r="I57" s="256">
        <f t="shared" si="3"/>
        <v>68438.572761194024</v>
      </c>
      <c r="J57" s="256">
        <f t="shared" si="3"/>
        <v>0</v>
      </c>
      <c r="K57" s="256">
        <f t="shared" si="3"/>
        <v>616</v>
      </c>
      <c r="L57" s="256">
        <f t="shared" si="3"/>
        <v>69054.572761194024</v>
      </c>
      <c r="N57" s="255" t="s">
        <v>56</v>
      </c>
      <c r="O57" s="255" t="s">
        <v>102</v>
      </c>
      <c r="P57" s="255" t="s">
        <v>181</v>
      </c>
      <c r="Q57" s="256">
        <v>0</v>
      </c>
      <c r="R57" s="256">
        <v>0</v>
      </c>
      <c r="S57" s="256">
        <v>0</v>
      </c>
      <c r="T57" s="256">
        <v>0</v>
      </c>
      <c r="U57" s="256">
        <v>0</v>
      </c>
      <c r="V57" s="256">
        <v>61808</v>
      </c>
      <c r="W57" s="256">
        <v>0</v>
      </c>
      <c r="X57" s="256">
        <v>616</v>
      </c>
      <c r="Y57" s="256">
        <v>62424</v>
      </c>
      <c r="AA57" s="255" t="s">
        <v>56</v>
      </c>
      <c r="AB57" s="255" t="s">
        <v>102</v>
      </c>
      <c r="AC57" s="255" t="s">
        <v>181</v>
      </c>
      <c r="AD57" s="256">
        <v>0</v>
      </c>
      <c r="AE57" s="256">
        <v>0</v>
      </c>
      <c r="AF57" s="256">
        <v>0</v>
      </c>
      <c r="AG57" s="256">
        <v>0</v>
      </c>
      <c r="AH57" s="256">
        <v>0</v>
      </c>
      <c r="AI57" s="256">
        <v>6630.572761194031</v>
      </c>
      <c r="AJ57" s="256">
        <v>0</v>
      </c>
      <c r="AK57" s="256">
        <v>0</v>
      </c>
      <c r="AL57" s="256">
        <v>6630.572761194031</v>
      </c>
    </row>
    <row r="58" spans="1:38" ht="13.95" customHeight="1" x14ac:dyDescent="0.55000000000000004">
      <c r="A58" s="255" t="s">
        <v>56</v>
      </c>
      <c r="B58" s="255" t="s">
        <v>103</v>
      </c>
      <c r="C58" s="255" t="s">
        <v>182</v>
      </c>
      <c r="D58" s="256">
        <f t="shared" si="4"/>
        <v>93907.589552238802</v>
      </c>
      <c r="E58" s="256">
        <f t="shared" si="3"/>
        <v>0</v>
      </c>
      <c r="F58" s="256">
        <f t="shared" si="3"/>
        <v>10881.970149253732</v>
      </c>
      <c r="G58" s="256">
        <f t="shared" si="3"/>
        <v>0</v>
      </c>
      <c r="H58" s="256">
        <f t="shared" si="3"/>
        <v>0</v>
      </c>
      <c r="I58" s="256">
        <f t="shared" si="3"/>
        <v>0</v>
      </c>
      <c r="J58" s="256">
        <f t="shared" si="3"/>
        <v>0</v>
      </c>
      <c r="K58" s="256">
        <f t="shared" si="3"/>
        <v>0</v>
      </c>
      <c r="L58" s="256">
        <f t="shared" si="3"/>
        <v>104789.55970149254</v>
      </c>
      <c r="N58" s="255" t="s">
        <v>56</v>
      </c>
      <c r="O58" s="255" t="s">
        <v>103</v>
      </c>
      <c r="P58" s="255" t="s">
        <v>182</v>
      </c>
      <c r="Q58" s="256">
        <v>86784</v>
      </c>
      <c r="R58" s="256">
        <v>0</v>
      </c>
      <c r="S58" s="256">
        <v>10560</v>
      </c>
      <c r="T58" s="256">
        <v>0</v>
      </c>
      <c r="U58" s="256">
        <v>0</v>
      </c>
      <c r="V58" s="256">
        <v>0</v>
      </c>
      <c r="W58" s="256">
        <v>0</v>
      </c>
      <c r="X58" s="256">
        <v>0</v>
      </c>
      <c r="Y58" s="256">
        <v>97344</v>
      </c>
      <c r="AA58" s="255" t="s">
        <v>56</v>
      </c>
      <c r="AB58" s="255" t="s">
        <v>103</v>
      </c>
      <c r="AC58" s="255" t="s">
        <v>182</v>
      </c>
      <c r="AD58" s="256">
        <v>7123.5895522388073</v>
      </c>
      <c r="AE58" s="256">
        <v>0</v>
      </c>
      <c r="AF58" s="256">
        <v>321.97014925373139</v>
      </c>
      <c r="AG58" s="256">
        <v>0</v>
      </c>
      <c r="AH58" s="256">
        <v>0</v>
      </c>
      <c r="AI58" s="256">
        <v>0</v>
      </c>
      <c r="AJ58" s="256">
        <v>0</v>
      </c>
      <c r="AK58" s="256">
        <v>0</v>
      </c>
      <c r="AL58" s="256">
        <v>7445.5597014925388</v>
      </c>
    </row>
    <row r="59" spans="1:38" ht="13.95" customHeight="1" x14ac:dyDescent="0.55000000000000004">
      <c r="A59" s="255" t="s">
        <v>56</v>
      </c>
      <c r="B59" s="255" t="s">
        <v>104</v>
      </c>
      <c r="C59" s="255" t="s">
        <v>183</v>
      </c>
      <c r="D59" s="256">
        <f t="shared" si="4"/>
        <v>3462.646766169154</v>
      </c>
      <c r="E59" s="256">
        <f t="shared" si="3"/>
        <v>0</v>
      </c>
      <c r="F59" s="256">
        <f t="shared" si="3"/>
        <v>0</v>
      </c>
      <c r="G59" s="256">
        <f t="shared" si="3"/>
        <v>0</v>
      </c>
      <c r="H59" s="256">
        <f t="shared" si="3"/>
        <v>0</v>
      </c>
      <c r="I59" s="256">
        <f t="shared" si="3"/>
        <v>0</v>
      </c>
      <c r="J59" s="256">
        <f t="shared" si="3"/>
        <v>0</v>
      </c>
      <c r="K59" s="256">
        <f t="shared" si="3"/>
        <v>0</v>
      </c>
      <c r="L59" s="256">
        <f t="shared" si="3"/>
        <v>3462.646766169154</v>
      </c>
      <c r="N59" s="255" t="s">
        <v>56</v>
      </c>
      <c r="O59" s="255" t="s">
        <v>104</v>
      </c>
      <c r="P59" s="255" t="s">
        <v>183</v>
      </c>
      <c r="Q59" s="256">
        <v>3248</v>
      </c>
      <c r="R59" s="256">
        <v>0</v>
      </c>
      <c r="S59" s="256">
        <v>0</v>
      </c>
      <c r="T59" s="256">
        <v>0</v>
      </c>
      <c r="U59" s="256">
        <v>0</v>
      </c>
      <c r="V59" s="256">
        <v>0</v>
      </c>
      <c r="W59" s="256">
        <v>0</v>
      </c>
      <c r="X59" s="256">
        <v>0</v>
      </c>
      <c r="Y59" s="256">
        <v>3248</v>
      </c>
      <c r="AA59" s="255" t="s">
        <v>56</v>
      </c>
      <c r="AB59" s="255" t="s">
        <v>104</v>
      </c>
      <c r="AC59" s="255" t="s">
        <v>183</v>
      </c>
      <c r="AD59" s="256">
        <v>214.64676616915426</v>
      </c>
      <c r="AE59" s="256">
        <v>0</v>
      </c>
      <c r="AF59" s="256">
        <v>0</v>
      </c>
      <c r="AG59" s="256">
        <v>0</v>
      </c>
      <c r="AH59" s="256">
        <v>0</v>
      </c>
      <c r="AI59" s="256">
        <v>0</v>
      </c>
      <c r="AJ59" s="256">
        <v>0</v>
      </c>
      <c r="AK59" s="256">
        <v>0</v>
      </c>
      <c r="AL59" s="256">
        <v>214.64676616915426</v>
      </c>
    </row>
    <row r="60" spans="1:38" ht="13.95" customHeight="1" x14ac:dyDescent="0.55000000000000004">
      <c r="A60" s="255" t="s">
        <v>56</v>
      </c>
      <c r="B60" s="255" t="s">
        <v>105</v>
      </c>
      <c r="C60" s="255" t="s">
        <v>184</v>
      </c>
      <c r="D60" s="256">
        <f t="shared" si="4"/>
        <v>0</v>
      </c>
      <c r="E60" s="256">
        <f t="shared" si="3"/>
        <v>0</v>
      </c>
      <c r="F60" s="256">
        <f t="shared" si="3"/>
        <v>0</v>
      </c>
      <c r="G60" s="256">
        <f t="shared" si="3"/>
        <v>0</v>
      </c>
      <c r="H60" s="256">
        <f t="shared" si="3"/>
        <v>0</v>
      </c>
      <c r="I60" s="256">
        <f t="shared" si="3"/>
        <v>110833.0708955224</v>
      </c>
      <c r="J60" s="256">
        <f t="shared" si="3"/>
        <v>0</v>
      </c>
      <c r="K60" s="256">
        <f t="shared" si="3"/>
        <v>2784</v>
      </c>
      <c r="L60" s="256">
        <f t="shared" si="3"/>
        <v>113617.0708955224</v>
      </c>
      <c r="N60" s="255" t="s">
        <v>56</v>
      </c>
      <c r="O60" s="255" t="s">
        <v>105</v>
      </c>
      <c r="P60" s="255" t="s">
        <v>184</v>
      </c>
      <c r="Q60" s="256">
        <v>0</v>
      </c>
      <c r="R60" s="256">
        <v>0</v>
      </c>
      <c r="S60" s="256">
        <v>0</v>
      </c>
      <c r="T60" s="256">
        <v>0</v>
      </c>
      <c r="U60" s="256">
        <v>0</v>
      </c>
      <c r="V60" s="256">
        <v>102160</v>
      </c>
      <c r="W60" s="256">
        <v>0</v>
      </c>
      <c r="X60" s="256">
        <v>2784</v>
      </c>
      <c r="Y60" s="256">
        <v>104944</v>
      </c>
      <c r="AA60" s="255" t="s">
        <v>56</v>
      </c>
      <c r="AB60" s="255" t="s">
        <v>105</v>
      </c>
      <c r="AC60" s="255" t="s">
        <v>184</v>
      </c>
      <c r="AD60" s="256">
        <v>0</v>
      </c>
      <c r="AE60" s="256">
        <v>0</v>
      </c>
      <c r="AF60" s="256">
        <v>0</v>
      </c>
      <c r="AG60" s="256">
        <v>0</v>
      </c>
      <c r="AH60" s="256">
        <v>0</v>
      </c>
      <c r="AI60" s="256">
        <v>8673.070895522389</v>
      </c>
      <c r="AJ60" s="256">
        <v>0</v>
      </c>
      <c r="AK60" s="256">
        <v>0</v>
      </c>
      <c r="AL60" s="256">
        <v>8673.070895522389</v>
      </c>
    </row>
    <row r="61" spans="1:38" ht="13.95" customHeight="1" x14ac:dyDescent="0.55000000000000004">
      <c r="A61" s="255" t="s">
        <v>56</v>
      </c>
      <c r="B61" s="255" t="s">
        <v>106</v>
      </c>
      <c r="C61" s="255" t="s">
        <v>185</v>
      </c>
      <c r="D61" s="256">
        <f t="shared" si="4"/>
        <v>0</v>
      </c>
      <c r="E61" s="256">
        <f t="shared" si="3"/>
        <v>0</v>
      </c>
      <c r="F61" s="256">
        <f t="shared" si="3"/>
        <v>0</v>
      </c>
      <c r="G61" s="256">
        <f t="shared" si="3"/>
        <v>0</v>
      </c>
      <c r="H61" s="256">
        <f t="shared" si="3"/>
        <v>0</v>
      </c>
      <c r="I61" s="256">
        <f t="shared" si="3"/>
        <v>0</v>
      </c>
      <c r="J61" s="256">
        <f t="shared" si="3"/>
        <v>0</v>
      </c>
      <c r="K61" s="256">
        <f t="shared" si="3"/>
        <v>0</v>
      </c>
      <c r="L61" s="256">
        <f t="shared" si="3"/>
        <v>0</v>
      </c>
      <c r="N61" s="255" t="s">
        <v>56</v>
      </c>
      <c r="O61" s="255" t="s">
        <v>106</v>
      </c>
      <c r="P61" s="255" t="s">
        <v>185</v>
      </c>
      <c r="Q61" s="256">
        <v>0</v>
      </c>
      <c r="R61" s="256">
        <v>0</v>
      </c>
      <c r="S61" s="256">
        <v>0</v>
      </c>
      <c r="T61" s="256">
        <v>0</v>
      </c>
      <c r="U61" s="256">
        <v>0</v>
      </c>
      <c r="V61" s="256">
        <v>0</v>
      </c>
      <c r="W61" s="256">
        <v>0</v>
      </c>
      <c r="X61" s="256">
        <v>0</v>
      </c>
      <c r="Y61" s="256">
        <v>0</v>
      </c>
      <c r="AA61" s="255" t="s">
        <v>56</v>
      </c>
      <c r="AB61" s="255" t="s">
        <v>106</v>
      </c>
      <c r="AC61" s="255" t="s">
        <v>185</v>
      </c>
      <c r="AD61" s="256">
        <v>0</v>
      </c>
      <c r="AE61" s="256">
        <v>0</v>
      </c>
      <c r="AF61" s="256">
        <v>0</v>
      </c>
      <c r="AG61" s="256">
        <v>0</v>
      </c>
      <c r="AH61" s="256">
        <v>0</v>
      </c>
      <c r="AI61" s="256">
        <v>0</v>
      </c>
      <c r="AJ61" s="256">
        <v>0</v>
      </c>
      <c r="AK61" s="256">
        <v>0</v>
      </c>
      <c r="AL61" s="256">
        <v>0</v>
      </c>
    </row>
    <row r="62" spans="1:38" ht="13.95" customHeight="1" x14ac:dyDescent="0.55000000000000004">
      <c r="A62" s="255" t="s">
        <v>56</v>
      </c>
      <c r="B62" s="255" t="s">
        <v>107</v>
      </c>
      <c r="C62" s="255" t="s">
        <v>186</v>
      </c>
      <c r="D62" s="256">
        <f t="shared" si="4"/>
        <v>0</v>
      </c>
      <c r="E62" s="256">
        <f t="shared" si="3"/>
        <v>0</v>
      </c>
      <c r="F62" s="256">
        <f t="shared" si="3"/>
        <v>0</v>
      </c>
      <c r="G62" s="256">
        <f t="shared" si="3"/>
        <v>0</v>
      </c>
      <c r="H62" s="256">
        <f t="shared" si="3"/>
        <v>2766.4004975124381</v>
      </c>
      <c r="I62" s="256">
        <f t="shared" si="3"/>
        <v>43660.932835820895</v>
      </c>
      <c r="J62" s="256">
        <f t="shared" si="3"/>
        <v>0</v>
      </c>
      <c r="K62" s="256">
        <f t="shared" si="3"/>
        <v>5459</v>
      </c>
      <c r="L62" s="256">
        <f t="shared" si="3"/>
        <v>51886.333333333336</v>
      </c>
      <c r="N62" s="255" t="s">
        <v>56</v>
      </c>
      <c r="O62" s="255" t="s">
        <v>107</v>
      </c>
      <c r="P62" s="255" t="s">
        <v>186</v>
      </c>
      <c r="Q62" s="256">
        <v>0</v>
      </c>
      <c r="R62" s="256">
        <v>0</v>
      </c>
      <c r="S62" s="256">
        <v>0</v>
      </c>
      <c r="T62" s="256">
        <v>0</v>
      </c>
      <c r="U62" s="256">
        <v>2592</v>
      </c>
      <c r="V62" s="256">
        <v>40240</v>
      </c>
      <c r="W62" s="256">
        <v>0</v>
      </c>
      <c r="X62" s="256">
        <v>5459</v>
      </c>
      <c r="Y62" s="256">
        <v>48291</v>
      </c>
      <c r="AA62" s="255" t="s">
        <v>56</v>
      </c>
      <c r="AB62" s="255" t="s">
        <v>107</v>
      </c>
      <c r="AC62" s="255" t="s">
        <v>186</v>
      </c>
      <c r="AD62" s="256">
        <v>0</v>
      </c>
      <c r="AE62" s="256">
        <v>0</v>
      </c>
      <c r="AF62" s="256">
        <v>0</v>
      </c>
      <c r="AG62" s="256">
        <v>0</v>
      </c>
      <c r="AH62" s="256">
        <v>174.40049751243782</v>
      </c>
      <c r="AI62" s="256">
        <v>3420.9328358208959</v>
      </c>
      <c r="AJ62" s="256">
        <v>0</v>
      </c>
      <c r="AK62" s="256">
        <v>0</v>
      </c>
      <c r="AL62" s="256">
        <v>3595.3333333333339</v>
      </c>
    </row>
    <row r="63" spans="1:38" ht="13.95" customHeight="1" x14ac:dyDescent="0.55000000000000004">
      <c r="A63" s="255" t="s">
        <v>56</v>
      </c>
      <c r="B63" s="255" t="s">
        <v>108</v>
      </c>
      <c r="C63" s="255" t="s">
        <v>187</v>
      </c>
      <c r="D63" s="256">
        <f t="shared" si="4"/>
        <v>0</v>
      </c>
      <c r="E63" s="256">
        <f t="shared" si="3"/>
        <v>0</v>
      </c>
      <c r="F63" s="256">
        <f t="shared" si="3"/>
        <v>0</v>
      </c>
      <c r="G63" s="256">
        <f t="shared" si="3"/>
        <v>0</v>
      </c>
      <c r="H63" s="256">
        <f t="shared" si="3"/>
        <v>0</v>
      </c>
      <c r="I63" s="256">
        <f t="shared" si="3"/>
        <v>0</v>
      </c>
      <c r="J63" s="256">
        <f t="shared" si="3"/>
        <v>0</v>
      </c>
      <c r="K63" s="256">
        <f t="shared" si="3"/>
        <v>0</v>
      </c>
      <c r="L63" s="256">
        <f t="shared" si="3"/>
        <v>0</v>
      </c>
      <c r="N63" s="255" t="s">
        <v>56</v>
      </c>
      <c r="O63" s="255" t="s">
        <v>108</v>
      </c>
      <c r="P63" s="255" t="s">
        <v>187</v>
      </c>
      <c r="Q63" s="256">
        <v>0</v>
      </c>
      <c r="R63" s="256">
        <v>0</v>
      </c>
      <c r="S63" s="256">
        <v>0</v>
      </c>
      <c r="T63" s="256">
        <v>0</v>
      </c>
      <c r="U63" s="256">
        <v>0</v>
      </c>
      <c r="V63" s="256">
        <v>0</v>
      </c>
      <c r="W63" s="256">
        <v>0</v>
      </c>
      <c r="X63" s="256">
        <v>0</v>
      </c>
      <c r="Y63" s="256">
        <v>0</v>
      </c>
      <c r="AA63" s="255" t="s">
        <v>56</v>
      </c>
      <c r="AB63" s="255" t="s">
        <v>108</v>
      </c>
      <c r="AC63" s="255" t="s">
        <v>187</v>
      </c>
      <c r="AD63" s="256">
        <v>0</v>
      </c>
      <c r="AE63" s="256">
        <v>0</v>
      </c>
      <c r="AF63" s="256">
        <v>0</v>
      </c>
      <c r="AG63" s="256">
        <v>0</v>
      </c>
      <c r="AH63" s="256">
        <v>0</v>
      </c>
      <c r="AI63" s="256">
        <v>0</v>
      </c>
      <c r="AJ63" s="256">
        <v>0</v>
      </c>
      <c r="AK63" s="256">
        <v>0</v>
      </c>
      <c r="AL63" s="256">
        <v>0</v>
      </c>
    </row>
    <row r="64" spans="1:38" ht="13.95" customHeight="1" x14ac:dyDescent="0.55000000000000004">
      <c r="A64" s="255" t="s">
        <v>56</v>
      </c>
      <c r="B64" s="255" t="s">
        <v>109</v>
      </c>
      <c r="C64" s="255" t="s">
        <v>188</v>
      </c>
      <c r="D64" s="256">
        <f t="shared" si="4"/>
        <v>0</v>
      </c>
      <c r="E64" s="256">
        <f t="shared" si="3"/>
        <v>0</v>
      </c>
      <c r="F64" s="256">
        <f t="shared" si="3"/>
        <v>0</v>
      </c>
      <c r="G64" s="256">
        <f t="shared" si="3"/>
        <v>0</v>
      </c>
      <c r="H64" s="256">
        <f t="shared" si="3"/>
        <v>0</v>
      </c>
      <c r="I64" s="256">
        <f t="shared" si="3"/>
        <v>147087.47139303482</v>
      </c>
      <c r="J64" s="256">
        <f t="shared" si="3"/>
        <v>0</v>
      </c>
      <c r="K64" s="256">
        <f t="shared" si="3"/>
        <v>423</v>
      </c>
      <c r="L64" s="256">
        <f t="shared" si="3"/>
        <v>147510.47139303482</v>
      </c>
      <c r="N64" s="255" t="s">
        <v>56</v>
      </c>
      <c r="O64" s="255" t="s">
        <v>109</v>
      </c>
      <c r="P64" s="255" t="s">
        <v>188</v>
      </c>
      <c r="Q64" s="256">
        <v>0</v>
      </c>
      <c r="R64" s="256">
        <v>0</v>
      </c>
      <c r="S64" s="256">
        <v>0</v>
      </c>
      <c r="T64" s="256">
        <v>0</v>
      </c>
      <c r="U64" s="256">
        <v>0</v>
      </c>
      <c r="V64" s="256">
        <v>138240</v>
      </c>
      <c r="W64" s="256">
        <v>0</v>
      </c>
      <c r="X64" s="256">
        <v>423</v>
      </c>
      <c r="Y64" s="256">
        <v>138663</v>
      </c>
      <c r="AA64" s="255" t="s">
        <v>56</v>
      </c>
      <c r="AB64" s="255" t="s">
        <v>109</v>
      </c>
      <c r="AC64" s="255" t="s">
        <v>188</v>
      </c>
      <c r="AD64" s="256">
        <v>0</v>
      </c>
      <c r="AE64" s="256">
        <v>0</v>
      </c>
      <c r="AF64" s="256">
        <v>0</v>
      </c>
      <c r="AG64" s="256">
        <v>0</v>
      </c>
      <c r="AH64" s="256">
        <v>0</v>
      </c>
      <c r="AI64" s="256">
        <v>8847.471393034828</v>
      </c>
      <c r="AJ64" s="256">
        <v>0</v>
      </c>
      <c r="AK64" s="256">
        <v>0</v>
      </c>
      <c r="AL64" s="256">
        <v>8847.471393034828</v>
      </c>
    </row>
    <row r="65" spans="1:38" ht="13.95" customHeight="1" x14ac:dyDescent="0.55000000000000004">
      <c r="A65" s="255" t="s">
        <v>56</v>
      </c>
      <c r="B65" s="255" t="s">
        <v>110</v>
      </c>
      <c r="C65" s="255" t="s">
        <v>189</v>
      </c>
      <c r="D65" s="256">
        <f t="shared" si="4"/>
        <v>0</v>
      </c>
      <c r="E65" s="256">
        <f t="shared" si="3"/>
        <v>44043.610074626864</v>
      </c>
      <c r="F65" s="256">
        <f t="shared" si="3"/>
        <v>0</v>
      </c>
      <c r="G65" s="256">
        <f t="shared" si="3"/>
        <v>12945.970149253732</v>
      </c>
      <c r="H65" s="256">
        <f t="shared" si="3"/>
        <v>0</v>
      </c>
      <c r="I65" s="256">
        <f t="shared" si="3"/>
        <v>0</v>
      </c>
      <c r="J65" s="256">
        <f t="shared" si="3"/>
        <v>0</v>
      </c>
      <c r="K65" s="256">
        <f t="shared" si="3"/>
        <v>0</v>
      </c>
      <c r="L65" s="256">
        <f t="shared" si="3"/>
        <v>56989.580223880599</v>
      </c>
      <c r="N65" s="255" t="s">
        <v>56</v>
      </c>
      <c r="O65" s="255" t="s">
        <v>110</v>
      </c>
      <c r="P65" s="255" t="s">
        <v>189</v>
      </c>
      <c r="Q65" s="256">
        <v>0</v>
      </c>
      <c r="R65" s="256">
        <v>40512</v>
      </c>
      <c r="S65" s="256">
        <v>0</v>
      </c>
      <c r="T65" s="256">
        <v>12624</v>
      </c>
      <c r="U65" s="256">
        <v>0</v>
      </c>
      <c r="V65" s="256">
        <v>0</v>
      </c>
      <c r="W65" s="256">
        <v>0</v>
      </c>
      <c r="X65" s="256">
        <v>0</v>
      </c>
      <c r="Y65" s="256">
        <v>53136</v>
      </c>
      <c r="AA65" s="255" t="s">
        <v>56</v>
      </c>
      <c r="AB65" s="255" t="s">
        <v>110</v>
      </c>
      <c r="AC65" s="255" t="s">
        <v>189</v>
      </c>
      <c r="AD65" s="256">
        <v>0</v>
      </c>
      <c r="AE65" s="256">
        <v>3531.6100746268662</v>
      </c>
      <c r="AF65" s="256">
        <v>0</v>
      </c>
      <c r="AG65" s="256">
        <v>321.97014925373139</v>
      </c>
      <c r="AH65" s="256">
        <v>0</v>
      </c>
      <c r="AI65" s="256">
        <v>0</v>
      </c>
      <c r="AJ65" s="256">
        <v>0</v>
      </c>
      <c r="AK65" s="256">
        <v>0</v>
      </c>
      <c r="AL65" s="256">
        <v>3853.5802238805977</v>
      </c>
    </row>
    <row r="66" spans="1:38" ht="13.95" customHeight="1" x14ac:dyDescent="0.55000000000000004">
      <c r="A66" s="255" t="s">
        <v>56</v>
      </c>
      <c r="B66" s="255" t="s">
        <v>111</v>
      </c>
      <c r="C66" s="255" t="s">
        <v>190</v>
      </c>
      <c r="D66" s="256">
        <f t="shared" si="4"/>
        <v>0</v>
      </c>
      <c r="E66" s="256">
        <f t="shared" si="3"/>
        <v>0</v>
      </c>
      <c r="F66" s="256">
        <f t="shared" si="3"/>
        <v>0</v>
      </c>
      <c r="G66" s="256">
        <f t="shared" si="3"/>
        <v>0</v>
      </c>
      <c r="H66" s="256">
        <f t="shared" si="3"/>
        <v>2589.8470149253731</v>
      </c>
      <c r="I66" s="256">
        <f t="shared" si="3"/>
        <v>0</v>
      </c>
      <c r="J66" s="256">
        <f t="shared" si="3"/>
        <v>256</v>
      </c>
      <c r="K66" s="256">
        <f t="shared" si="3"/>
        <v>0</v>
      </c>
      <c r="L66" s="256">
        <f t="shared" si="3"/>
        <v>2845.8470149253731</v>
      </c>
      <c r="N66" s="255" t="s">
        <v>56</v>
      </c>
      <c r="O66" s="255" t="s">
        <v>111</v>
      </c>
      <c r="P66" s="255" t="s">
        <v>190</v>
      </c>
      <c r="Q66" s="256">
        <v>0</v>
      </c>
      <c r="R66" s="256">
        <v>0</v>
      </c>
      <c r="S66" s="256">
        <v>0</v>
      </c>
      <c r="T66" s="256">
        <v>0</v>
      </c>
      <c r="U66" s="256">
        <v>2288</v>
      </c>
      <c r="V66" s="256">
        <v>0</v>
      </c>
      <c r="W66" s="256">
        <v>256</v>
      </c>
      <c r="X66" s="256">
        <v>0</v>
      </c>
      <c r="Y66" s="256">
        <v>2544</v>
      </c>
      <c r="AA66" s="255" t="s">
        <v>56</v>
      </c>
      <c r="AB66" s="255" t="s">
        <v>111</v>
      </c>
      <c r="AC66" s="255" t="s">
        <v>190</v>
      </c>
      <c r="AD66" s="256">
        <v>0</v>
      </c>
      <c r="AE66" s="256">
        <v>0</v>
      </c>
      <c r="AF66" s="256">
        <v>0</v>
      </c>
      <c r="AG66" s="256">
        <v>0</v>
      </c>
      <c r="AH66" s="256">
        <v>301.84701492537317</v>
      </c>
      <c r="AI66" s="256">
        <v>0</v>
      </c>
      <c r="AJ66" s="256">
        <v>0</v>
      </c>
      <c r="AK66" s="256">
        <v>0</v>
      </c>
      <c r="AL66" s="256">
        <v>301.84701492537317</v>
      </c>
    </row>
    <row r="67" spans="1:38" ht="13.95" customHeight="1" x14ac:dyDescent="0.55000000000000004">
      <c r="A67" s="255" t="s">
        <v>56</v>
      </c>
      <c r="B67" s="255" t="s">
        <v>112</v>
      </c>
      <c r="C67" s="255" t="s">
        <v>191</v>
      </c>
      <c r="D67" s="256">
        <f t="shared" si="4"/>
        <v>0</v>
      </c>
      <c r="E67" s="256">
        <f t="shared" si="3"/>
        <v>0</v>
      </c>
      <c r="F67" s="256">
        <f t="shared" si="3"/>
        <v>0</v>
      </c>
      <c r="G67" s="256">
        <f t="shared" si="3"/>
        <v>0</v>
      </c>
      <c r="H67" s="256">
        <f t="shared" si="3"/>
        <v>5775.8781094527367</v>
      </c>
      <c r="I67" s="256">
        <f t="shared" si="3"/>
        <v>0</v>
      </c>
      <c r="J67" s="256">
        <f t="shared" si="3"/>
        <v>12906</v>
      </c>
      <c r="K67" s="256">
        <f t="shared" si="3"/>
        <v>0</v>
      </c>
      <c r="L67" s="256">
        <f t="shared" si="3"/>
        <v>18681.878109452737</v>
      </c>
      <c r="N67" s="255" t="s">
        <v>56</v>
      </c>
      <c r="O67" s="255" t="s">
        <v>112</v>
      </c>
      <c r="P67" s="255" t="s">
        <v>191</v>
      </c>
      <c r="Q67" s="256">
        <v>0</v>
      </c>
      <c r="R67" s="256">
        <v>0</v>
      </c>
      <c r="S67" s="256">
        <v>0</v>
      </c>
      <c r="T67" s="256">
        <v>0</v>
      </c>
      <c r="U67" s="256">
        <v>5360</v>
      </c>
      <c r="V67" s="256">
        <v>0</v>
      </c>
      <c r="W67" s="256">
        <v>12906</v>
      </c>
      <c r="X67" s="256">
        <v>0</v>
      </c>
      <c r="Y67" s="256">
        <v>18266</v>
      </c>
      <c r="AA67" s="255" t="s">
        <v>56</v>
      </c>
      <c r="AB67" s="255" t="s">
        <v>112</v>
      </c>
      <c r="AC67" s="255" t="s">
        <v>191</v>
      </c>
      <c r="AD67" s="256">
        <v>0</v>
      </c>
      <c r="AE67" s="256">
        <v>0</v>
      </c>
      <c r="AF67" s="256">
        <v>0</v>
      </c>
      <c r="AG67" s="256">
        <v>0</v>
      </c>
      <c r="AH67" s="256">
        <v>415.8781094527364</v>
      </c>
      <c r="AI67" s="256">
        <v>0</v>
      </c>
      <c r="AJ67" s="256">
        <v>0</v>
      </c>
      <c r="AK67" s="256">
        <v>0</v>
      </c>
      <c r="AL67" s="256">
        <v>415.8781094527364</v>
      </c>
    </row>
    <row r="68" spans="1:38" ht="13.95" customHeight="1" x14ac:dyDescent="0.55000000000000004">
      <c r="A68" s="255" t="s">
        <v>56</v>
      </c>
      <c r="B68" s="255" t="s">
        <v>113</v>
      </c>
      <c r="C68" s="255" t="s">
        <v>192</v>
      </c>
      <c r="D68" s="256">
        <f t="shared" si="4"/>
        <v>0</v>
      </c>
      <c r="E68" s="256">
        <f t="shared" si="3"/>
        <v>0</v>
      </c>
      <c r="F68" s="256">
        <f t="shared" si="3"/>
        <v>0</v>
      </c>
      <c r="G68" s="256">
        <f t="shared" si="3"/>
        <v>0</v>
      </c>
      <c r="H68" s="256">
        <f t="shared" si="3"/>
        <v>3568</v>
      </c>
      <c r="I68" s="256">
        <f t="shared" si="3"/>
        <v>0</v>
      </c>
      <c r="J68" s="256">
        <f t="shared" si="3"/>
        <v>0</v>
      </c>
      <c r="K68" s="256">
        <f t="shared" si="3"/>
        <v>0</v>
      </c>
      <c r="L68" s="256">
        <f t="shared" si="3"/>
        <v>3568</v>
      </c>
      <c r="N68" s="255" t="s">
        <v>56</v>
      </c>
      <c r="O68" s="255" t="s">
        <v>113</v>
      </c>
      <c r="P68" s="255" t="s">
        <v>192</v>
      </c>
      <c r="Q68" s="256">
        <v>0</v>
      </c>
      <c r="R68" s="256">
        <v>0</v>
      </c>
      <c r="S68" s="256">
        <v>0</v>
      </c>
      <c r="T68" s="256">
        <v>0</v>
      </c>
      <c r="U68" s="256">
        <v>3568</v>
      </c>
      <c r="V68" s="256">
        <v>0</v>
      </c>
      <c r="W68" s="256">
        <v>0</v>
      </c>
      <c r="X68" s="256">
        <v>0</v>
      </c>
      <c r="Y68" s="256">
        <v>3568</v>
      </c>
      <c r="AA68" s="255" t="s">
        <v>56</v>
      </c>
      <c r="AB68" s="255" t="s">
        <v>113</v>
      </c>
      <c r="AC68" s="255" t="s">
        <v>192</v>
      </c>
      <c r="AD68" s="256">
        <v>0</v>
      </c>
      <c r="AE68" s="256">
        <v>0</v>
      </c>
      <c r="AF68" s="256">
        <v>0</v>
      </c>
      <c r="AG68" s="256">
        <v>0</v>
      </c>
      <c r="AH68" s="256">
        <v>0</v>
      </c>
      <c r="AI68" s="256">
        <v>0</v>
      </c>
      <c r="AJ68" s="256">
        <v>0</v>
      </c>
      <c r="AK68" s="256">
        <v>0</v>
      </c>
      <c r="AL68" s="256">
        <v>0</v>
      </c>
    </row>
    <row r="69" spans="1:38" ht="13.95" customHeight="1" x14ac:dyDescent="0.55000000000000004">
      <c r="A69" s="255" t="s">
        <v>56</v>
      </c>
      <c r="B69" s="255" t="s">
        <v>114</v>
      </c>
      <c r="C69" s="255" t="s">
        <v>193</v>
      </c>
      <c r="D69" s="256">
        <f t="shared" si="4"/>
        <v>0</v>
      </c>
      <c r="E69" s="256">
        <f t="shared" si="3"/>
        <v>0</v>
      </c>
      <c r="F69" s="256">
        <f t="shared" si="3"/>
        <v>0</v>
      </c>
      <c r="G69" s="256">
        <f t="shared" si="3"/>
        <v>0</v>
      </c>
      <c r="H69" s="256">
        <f t="shared" si="3"/>
        <v>0</v>
      </c>
      <c r="I69" s="256">
        <f t="shared" si="3"/>
        <v>0</v>
      </c>
      <c r="J69" s="256">
        <f t="shared" si="3"/>
        <v>0</v>
      </c>
      <c r="K69" s="256">
        <f t="shared" si="3"/>
        <v>0</v>
      </c>
      <c r="L69" s="256">
        <f t="shared" si="3"/>
        <v>0</v>
      </c>
      <c r="N69" s="255" t="s">
        <v>56</v>
      </c>
      <c r="O69" s="255" t="s">
        <v>114</v>
      </c>
      <c r="P69" s="255" t="s">
        <v>193</v>
      </c>
      <c r="Q69" s="256">
        <v>0</v>
      </c>
      <c r="R69" s="256">
        <v>0</v>
      </c>
      <c r="S69" s="256">
        <v>0</v>
      </c>
      <c r="T69" s="256">
        <v>0</v>
      </c>
      <c r="U69" s="256">
        <v>0</v>
      </c>
      <c r="V69" s="256">
        <v>0</v>
      </c>
      <c r="W69" s="256">
        <v>0</v>
      </c>
      <c r="X69" s="256">
        <v>0</v>
      </c>
      <c r="Y69" s="256">
        <v>0</v>
      </c>
      <c r="AA69" s="255" t="s">
        <v>56</v>
      </c>
      <c r="AB69" s="255" t="s">
        <v>114</v>
      </c>
      <c r="AC69" s="255" t="s">
        <v>193</v>
      </c>
      <c r="AD69" s="256">
        <v>0</v>
      </c>
      <c r="AE69" s="256">
        <v>0</v>
      </c>
      <c r="AF69" s="256">
        <v>0</v>
      </c>
      <c r="AG69" s="256">
        <v>0</v>
      </c>
      <c r="AH69" s="256">
        <v>0</v>
      </c>
      <c r="AI69" s="256">
        <v>0</v>
      </c>
      <c r="AJ69" s="256">
        <v>0</v>
      </c>
      <c r="AK69" s="256">
        <v>0</v>
      </c>
      <c r="AL69" s="256">
        <v>0</v>
      </c>
    </row>
    <row r="70" spans="1:38" ht="13.95" customHeight="1" x14ac:dyDescent="0.55000000000000004">
      <c r="A70" s="255" t="s">
        <v>56</v>
      </c>
      <c r="B70" s="255" t="s">
        <v>115</v>
      </c>
      <c r="C70" s="255" t="s">
        <v>194</v>
      </c>
      <c r="D70" s="256">
        <f t="shared" si="4"/>
        <v>7448.4011194029854</v>
      </c>
      <c r="E70" s="256">
        <f t="shared" si="3"/>
        <v>0</v>
      </c>
      <c r="F70" s="256">
        <f t="shared" si="3"/>
        <v>0</v>
      </c>
      <c r="G70" s="256">
        <f t="shared" si="3"/>
        <v>0</v>
      </c>
      <c r="H70" s="256">
        <f t="shared" si="3"/>
        <v>20442.835820895521</v>
      </c>
      <c r="I70" s="256">
        <f t="shared" si="3"/>
        <v>0</v>
      </c>
      <c r="J70" s="256">
        <f t="shared" si="3"/>
        <v>5073</v>
      </c>
      <c r="K70" s="256">
        <f t="shared" si="3"/>
        <v>0</v>
      </c>
      <c r="L70" s="256">
        <f t="shared" si="3"/>
        <v>32964.236940298506</v>
      </c>
      <c r="N70" s="255" t="s">
        <v>56</v>
      </c>
      <c r="O70" s="255" t="s">
        <v>115</v>
      </c>
      <c r="P70" s="255" t="s">
        <v>194</v>
      </c>
      <c r="Q70" s="256">
        <v>7056</v>
      </c>
      <c r="R70" s="256">
        <v>0</v>
      </c>
      <c r="S70" s="256">
        <v>0</v>
      </c>
      <c r="T70" s="256">
        <v>0</v>
      </c>
      <c r="U70" s="256">
        <v>18672</v>
      </c>
      <c r="V70" s="256">
        <v>0</v>
      </c>
      <c r="W70" s="256">
        <v>5073</v>
      </c>
      <c r="X70" s="256">
        <v>0</v>
      </c>
      <c r="Y70" s="256">
        <v>30801</v>
      </c>
      <c r="AA70" s="255" t="s">
        <v>56</v>
      </c>
      <c r="AB70" s="255" t="s">
        <v>115</v>
      </c>
      <c r="AC70" s="255" t="s">
        <v>194</v>
      </c>
      <c r="AD70" s="256">
        <v>392.40111940298516</v>
      </c>
      <c r="AE70" s="256">
        <v>0</v>
      </c>
      <c r="AF70" s="256">
        <v>0</v>
      </c>
      <c r="AG70" s="256">
        <v>0</v>
      </c>
      <c r="AH70" s="256">
        <v>1770.8358208955226</v>
      </c>
      <c r="AI70" s="256">
        <v>0</v>
      </c>
      <c r="AJ70" s="256">
        <v>0</v>
      </c>
      <c r="AK70" s="256">
        <v>0</v>
      </c>
      <c r="AL70" s="256">
        <v>2163.2369402985078</v>
      </c>
    </row>
    <row r="71" spans="1:38" ht="13.95" customHeight="1" x14ac:dyDescent="0.55000000000000004">
      <c r="A71" s="255" t="s">
        <v>56</v>
      </c>
      <c r="B71" s="255" t="s">
        <v>116</v>
      </c>
      <c r="C71" s="255" t="s">
        <v>195</v>
      </c>
      <c r="D71" s="256">
        <f t="shared" si="4"/>
        <v>171417.72574626867</v>
      </c>
      <c r="E71" s="256">
        <f t="shared" si="3"/>
        <v>0</v>
      </c>
      <c r="F71" s="256">
        <f t="shared" si="3"/>
        <v>0</v>
      </c>
      <c r="G71" s="256">
        <f t="shared" si="3"/>
        <v>0</v>
      </c>
      <c r="H71" s="256">
        <f t="shared" si="3"/>
        <v>0</v>
      </c>
      <c r="I71" s="256">
        <f t="shared" si="3"/>
        <v>0</v>
      </c>
      <c r="J71" s="256">
        <f t="shared" si="3"/>
        <v>0</v>
      </c>
      <c r="K71" s="256">
        <f t="shared" si="3"/>
        <v>0</v>
      </c>
      <c r="L71" s="256">
        <f t="shared" si="3"/>
        <v>171417.72574626867</v>
      </c>
      <c r="N71" s="255" t="s">
        <v>56</v>
      </c>
      <c r="O71" s="255" t="s">
        <v>116</v>
      </c>
      <c r="P71" s="255" t="s">
        <v>195</v>
      </c>
      <c r="Q71" s="256">
        <v>159696</v>
      </c>
      <c r="R71" s="256">
        <v>0</v>
      </c>
      <c r="S71" s="256">
        <v>0</v>
      </c>
      <c r="T71" s="256">
        <v>0</v>
      </c>
      <c r="U71" s="256">
        <v>0</v>
      </c>
      <c r="V71" s="256">
        <v>0</v>
      </c>
      <c r="W71" s="256">
        <v>0</v>
      </c>
      <c r="X71" s="256">
        <v>0</v>
      </c>
      <c r="Y71" s="256">
        <v>159696</v>
      </c>
      <c r="AA71" s="255" t="s">
        <v>56</v>
      </c>
      <c r="AB71" s="255" t="s">
        <v>116</v>
      </c>
      <c r="AC71" s="255" t="s">
        <v>195</v>
      </c>
      <c r="AD71" s="256">
        <v>11721.725746268659</v>
      </c>
      <c r="AE71" s="256">
        <v>0</v>
      </c>
      <c r="AF71" s="256">
        <v>0</v>
      </c>
      <c r="AG71" s="256">
        <v>0</v>
      </c>
      <c r="AH71" s="256">
        <v>0</v>
      </c>
      <c r="AI71" s="256">
        <v>0</v>
      </c>
      <c r="AJ71" s="256">
        <v>0</v>
      </c>
      <c r="AK71" s="256">
        <v>0</v>
      </c>
      <c r="AL71" s="256">
        <v>11721.725746268659</v>
      </c>
    </row>
    <row r="72" spans="1:38" ht="13.95" customHeight="1" x14ac:dyDescent="0.55000000000000004">
      <c r="A72" s="255" t="s">
        <v>56</v>
      </c>
      <c r="B72" s="255" t="s">
        <v>117</v>
      </c>
      <c r="C72" s="255" t="s">
        <v>196</v>
      </c>
      <c r="D72" s="256">
        <f t="shared" si="4"/>
        <v>32765.453358208957</v>
      </c>
      <c r="E72" s="256">
        <f t="shared" si="3"/>
        <v>0</v>
      </c>
      <c r="F72" s="256">
        <f t="shared" si="3"/>
        <v>0</v>
      </c>
      <c r="G72" s="256">
        <f t="shared" si="3"/>
        <v>0</v>
      </c>
      <c r="H72" s="256">
        <f t="shared" si="3"/>
        <v>0</v>
      </c>
      <c r="I72" s="256">
        <f t="shared" si="3"/>
        <v>0</v>
      </c>
      <c r="J72" s="256">
        <f t="shared" si="3"/>
        <v>0</v>
      </c>
      <c r="K72" s="256">
        <f t="shared" si="3"/>
        <v>0</v>
      </c>
      <c r="L72" s="256">
        <f t="shared" si="3"/>
        <v>32765.453358208957</v>
      </c>
      <c r="N72" s="255" t="s">
        <v>56</v>
      </c>
      <c r="O72" s="255" t="s">
        <v>117</v>
      </c>
      <c r="P72" s="255" t="s">
        <v>196</v>
      </c>
      <c r="Q72" s="256">
        <v>30240</v>
      </c>
      <c r="R72" s="256">
        <v>0</v>
      </c>
      <c r="S72" s="256">
        <v>0</v>
      </c>
      <c r="T72" s="256">
        <v>0</v>
      </c>
      <c r="U72" s="256">
        <v>0</v>
      </c>
      <c r="V72" s="256">
        <v>0</v>
      </c>
      <c r="W72" s="256">
        <v>0</v>
      </c>
      <c r="X72" s="256">
        <v>0</v>
      </c>
      <c r="Y72" s="256">
        <v>30240</v>
      </c>
      <c r="AA72" s="255" t="s">
        <v>56</v>
      </c>
      <c r="AB72" s="255" t="s">
        <v>117</v>
      </c>
      <c r="AC72" s="255" t="s">
        <v>196</v>
      </c>
      <c r="AD72" s="256">
        <v>2525.4533582089557</v>
      </c>
      <c r="AE72" s="256">
        <v>0</v>
      </c>
      <c r="AF72" s="256">
        <v>0</v>
      </c>
      <c r="AG72" s="256">
        <v>0</v>
      </c>
      <c r="AH72" s="256">
        <v>0</v>
      </c>
      <c r="AI72" s="256">
        <v>0</v>
      </c>
      <c r="AJ72" s="256">
        <v>0</v>
      </c>
      <c r="AK72" s="256">
        <v>0</v>
      </c>
      <c r="AL72" s="256">
        <v>2525.4533582089557</v>
      </c>
    </row>
    <row r="73" spans="1:38" ht="13.95" customHeight="1" x14ac:dyDescent="0.55000000000000004">
      <c r="A73" s="255" t="s">
        <v>56</v>
      </c>
      <c r="B73" s="255" t="s">
        <v>118</v>
      </c>
      <c r="C73" s="255" t="s">
        <v>197</v>
      </c>
      <c r="D73" s="256">
        <f t="shared" si="4"/>
        <v>0</v>
      </c>
      <c r="E73" s="256">
        <f t="shared" si="3"/>
        <v>0</v>
      </c>
      <c r="F73" s="256">
        <f t="shared" si="3"/>
        <v>0</v>
      </c>
      <c r="G73" s="256">
        <f t="shared" si="3"/>
        <v>0</v>
      </c>
      <c r="H73" s="256">
        <f t="shared" si="3"/>
        <v>0</v>
      </c>
      <c r="I73" s="256">
        <f t="shared" si="3"/>
        <v>0</v>
      </c>
      <c r="J73" s="256">
        <f t="shared" si="3"/>
        <v>0</v>
      </c>
      <c r="K73" s="256">
        <f t="shared" si="3"/>
        <v>0</v>
      </c>
      <c r="L73" s="256">
        <f t="shared" si="3"/>
        <v>0</v>
      </c>
      <c r="N73" s="255" t="s">
        <v>56</v>
      </c>
      <c r="O73" s="255" t="s">
        <v>118</v>
      </c>
      <c r="P73" s="255" t="s">
        <v>197</v>
      </c>
      <c r="Q73" s="256">
        <v>0</v>
      </c>
      <c r="R73" s="256">
        <v>0</v>
      </c>
      <c r="S73" s="256">
        <v>0</v>
      </c>
      <c r="T73" s="256">
        <v>0</v>
      </c>
      <c r="U73" s="256">
        <v>0</v>
      </c>
      <c r="V73" s="256">
        <v>0</v>
      </c>
      <c r="W73" s="256">
        <v>0</v>
      </c>
      <c r="X73" s="256">
        <v>0</v>
      </c>
      <c r="Y73" s="256">
        <v>0</v>
      </c>
      <c r="AA73" s="255" t="s">
        <v>56</v>
      </c>
      <c r="AB73" s="255" t="s">
        <v>118</v>
      </c>
      <c r="AC73" s="255" t="s">
        <v>197</v>
      </c>
      <c r="AD73" s="256">
        <v>0</v>
      </c>
      <c r="AE73" s="256">
        <v>0</v>
      </c>
      <c r="AF73" s="256">
        <v>0</v>
      </c>
      <c r="AG73" s="256">
        <v>0</v>
      </c>
      <c r="AH73" s="256">
        <v>0</v>
      </c>
      <c r="AI73" s="256">
        <v>0</v>
      </c>
      <c r="AJ73" s="256">
        <v>0</v>
      </c>
      <c r="AK73" s="256">
        <v>0</v>
      </c>
      <c r="AL73" s="256">
        <v>0</v>
      </c>
    </row>
    <row r="74" spans="1:38" ht="13.95" customHeight="1" x14ac:dyDescent="0.55000000000000004">
      <c r="A74" s="255" t="s">
        <v>56</v>
      </c>
      <c r="B74" s="255" t="s">
        <v>119</v>
      </c>
      <c r="C74" s="255" t="s">
        <v>198</v>
      </c>
      <c r="D74" s="256">
        <f t="shared" si="4"/>
        <v>350578.31654228858</v>
      </c>
      <c r="E74" s="256">
        <f t="shared" si="3"/>
        <v>169332.7723880597</v>
      </c>
      <c r="F74" s="256">
        <f t="shared" si="3"/>
        <v>10881.970149253732</v>
      </c>
      <c r="G74" s="256">
        <f t="shared" si="3"/>
        <v>12945.970149253732</v>
      </c>
      <c r="H74" s="256">
        <f t="shared" si="3"/>
        <v>435620.21455223882</v>
      </c>
      <c r="I74" s="256">
        <f t="shared" si="3"/>
        <v>401098.14614427864</v>
      </c>
      <c r="J74" s="256">
        <f t="shared" si="3"/>
        <v>24744</v>
      </c>
      <c r="K74" s="256">
        <f t="shared" si="3"/>
        <v>10106</v>
      </c>
      <c r="L74" s="256">
        <f t="shared" si="3"/>
        <v>1415307.3899253733</v>
      </c>
      <c r="N74" s="255" t="s">
        <v>56</v>
      </c>
      <c r="O74" s="255" t="s">
        <v>119</v>
      </c>
      <c r="P74" s="255" t="s">
        <v>198</v>
      </c>
      <c r="Q74" s="256">
        <v>325904</v>
      </c>
      <c r="R74" s="256">
        <v>157440</v>
      </c>
      <c r="S74" s="256">
        <v>10560</v>
      </c>
      <c r="T74" s="256">
        <v>12624</v>
      </c>
      <c r="U74" s="256">
        <v>392768</v>
      </c>
      <c r="V74" s="256">
        <v>371440</v>
      </c>
      <c r="W74" s="256">
        <v>24744</v>
      </c>
      <c r="X74" s="256">
        <v>10106</v>
      </c>
      <c r="Y74" s="256">
        <v>1305586</v>
      </c>
      <c r="AA74" s="255" t="s">
        <v>56</v>
      </c>
      <c r="AB74" s="255" t="s">
        <v>119</v>
      </c>
      <c r="AC74" s="255" t="s">
        <v>198</v>
      </c>
      <c r="AD74" s="256">
        <v>24674.316542288561</v>
      </c>
      <c r="AE74" s="256">
        <v>11892.772388059704</v>
      </c>
      <c r="AF74" s="256">
        <v>321.97014925373139</v>
      </c>
      <c r="AG74" s="256">
        <v>321.97014925373139</v>
      </c>
      <c r="AH74" s="256">
        <v>42852.214552238809</v>
      </c>
      <c r="AI74" s="256">
        <v>29658.146144278613</v>
      </c>
      <c r="AJ74" s="256">
        <v>0</v>
      </c>
      <c r="AK74" s="256">
        <v>0</v>
      </c>
      <c r="AL74" s="256">
        <v>109721.38992537315</v>
      </c>
    </row>
    <row r="75" spans="1:38" ht="13.95" customHeight="1" x14ac:dyDescent="0.55000000000000004">
      <c r="A75" s="255" t="s">
        <v>56</v>
      </c>
      <c r="B75" s="255" t="s">
        <v>199</v>
      </c>
      <c r="C75" s="255" t="s">
        <v>120</v>
      </c>
      <c r="D75" s="256" t="s">
        <v>200</v>
      </c>
      <c r="E75" s="256" t="s">
        <v>200</v>
      </c>
      <c r="F75" s="256" t="s">
        <v>200</v>
      </c>
      <c r="G75" s="256" t="s">
        <v>200</v>
      </c>
      <c r="H75" s="256" t="s">
        <v>200</v>
      </c>
      <c r="I75" s="256" t="s">
        <v>200</v>
      </c>
      <c r="J75" s="256" t="s">
        <v>200</v>
      </c>
      <c r="K75" s="256" t="s">
        <v>200</v>
      </c>
      <c r="L75" s="256" t="s">
        <v>200</v>
      </c>
      <c r="N75" s="255" t="s">
        <v>56</v>
      </c>
      <c r="O75" s="255" t="s">
        <v>199</v>
      </c>
      <c r="P75" s="255" t="s">
        <v>120</v>
      </c>
      <c r="Q75" s="256" t="s">
        <v>200</v>
      </c>
      <c r="R75" s="256" t="s">
        <v>200</v>
      </c>
      <c r="S75" s="256" t="s">
        <v>200</v>
      </c>
      <c r="T75" s="256" t="s">
        <v>200</v>
      </c>
      <c r="U75" s="256" t="s">
        <v>200</v>
      </c>
      <c r="V75" s="256" t="s">
        <v>200</v>
      </c>
      <c r="W75" s="256" t="s">
        <v>200</v>
      </c>
      <c r="X75" s="256" t="s">
        <v>200</v>
      </c>
      <c r="Y75" s="256" t="s">
        <v>200</v>
      </c>
      <c r="AA75" s="255" t="s">
        <v>56</v>
      </c>
      <c r="AB75" s="255" t="s">
        <v>199</v>
      </c>
      <c r="AC75" s="255" t="s">
        <v>120</v>
      </c>
      <c r="AD75" s="256" t="s">
        <v>200</v>
      </c>
      <c r="AE75" s="256" t="s">
        <v>200</v>
      </c>
      <c r="AF75" s="256" t="s">
        <v>200</v>
      </c>
      <c r="AG75" s="256" t="s">
        <v>200</v>
      </c>
      <c r="AH75" s="256" t="s">
        <v>200</v>
      </c>
      <c r="AI75" s="256" t="s">
        <v>200</v>
      </c>
      <c r="AJ75" s="256" t="s">
        <v>200</v>
      </c>
      <c r="AK75" s="256" t="s">
        <v>200</v>
      </c>
      <c r="AL75" s="256" t="s">
        <v>200</v>
      </c>
    </row>
    <row r="76" spans="1:38" ht="13.95" customHeight="1" x14ac:dyDescent="0.55000000000000004">
      <c r="A76" s="255" t="s">
        <v>56</v>
      </c>
      <c r="B76" s="255" t="s">
        <v>121</v>
      </c>
      <c r="C76" s="255" t="s">
        <v>201</v>
      </c>
      <c r="D76" s="256">
        <v>0</v>
      </c>
      <c r="E76" s="256">
        <v>0</v>
      </c>
      <c r="F76" s="256">
        <v>0</v>
      </c>
      <c r="G76" s="256">
        <v>0</v>
      </c>
      <c r="H76" s="256">
        <v>0</v>
      </c>
      <c r="I76" s="256">
        <v>0</v>
      </c>
      <c r="J76" s="256">
        <v>0</v>
      </c>
      <c r="K76" s="256">
        <v>0</v>
      </c>
      <c r="L76" s="256">
        <v>0</v>
      </c>
      <c r="N76" s="255" t="s">
        <v>56</v>
      </c>
      <c r="O76" s="255" t="s">
        <v>121</v>
      </c>
      <c r="P76" s="255" t="s">
        <v>201</v>
      </c>
      <c r="Q76" s="256">
        <v>0</v>
      </c>
      <c r="R76" s="256">
        <v>0</v>
      </c>
      <c r="S76" s="256">
        <v>0</v>
      </c>
      <c r="T76" s="256">
        <v>0</v>
      </c>
      <c r="U76" s="256">
        <v>0</v>
      </c>
      <c r="V76" s="256">
        <v>0</v>
      </c>
      <c r="W76" s="256">
        <v>0</v>
      </c>
      <c r="X76" s="256">
        <v>0</v>
      </c>
      <c r="Y76" s="256">
        <v>0</v>
      </c>
      <c r="AA76" s="255" t="s">
        <v>56</v>
      </c>
      <c r="AB76" s="255" t="s">
        <v>121</v>
      </c>
      <c r="AC76" s="255" t="s">
        <v>201</v>
      </c>
      <c r="AD76" s="256">
        <v>0</v>
      </c>
      <c r="AE76" s="256">
        <v>0</v>
      </c>
      <c r="AF76" s="256">
        <v>0</v>
      </c>
      <c r="AG76" s="256">
        <v>0</v>
      </c>
      <c r="AH76" s="256">
        <v>0</v>
      </c>
      <c r="AI76" s="256">
        <v>0</v>
      </c>
      <c r="AJ76" s="256">
        <v>0</v>
      </c>
      <c r="AK76" s="256">
        <v>0</v>
      </c>
      <c r="AL76" s="256">
        <v>0</v>
      </c>
    </row>
    <row r="77" spans="1:38" ht="13.95" customHeight="1" x14ac:dyDescent="0.55000000000000004">
      <c r="A77" s="255" t="s">
        <v>56</v>
      </c>
      <c r="B77" s="255" t="s">
        <v>122</v>
      </c>
      <c r="C77" s="255" t="s">
        <v>202</v>
      </c>
      <c r="D77" s="256">
        <v>0</v>
      </c>
      <c r="E77" s="256">
        <v>0</v>
      </c>
      <c r="F77" s="256">
        <v>0</v>
      </c>
      <c r="G77" s="256">
        <v>0</v>
      </c>
      <c r="H77" s="256">
        <v>0</v>
      </c>
      <c r="I77" s="256">
        <v>0</v>
      </c>
      <c r="J77" s="256">
        <v>0</v>
      </c>
      <c r="K77" s="256">
        <v>0</v>
      </c>
      <c r="L77" s="256">
        <v>0</v>
      </c>
      <c r="N77" s="255" t="s">
        <v>56</v>
      </c>
      <c r="O77" s="255" t="s">
        <v>122</v>
      </c>
      <c r="P77" s="255" t="s">
        <v>202</v>
      </c>
      <c r="Q77" s="256">
        <v>0</v>
      </c>
      <c r="R77" s="256">
        <v>0</v>
      </c>
      <c r="S77" s="256">
        <v>0</v>
      </c>
      <c r="T77" s="256">
        <v>0</v>
      </c>
      <c r="U77" s="256">
        <v>0</v>
      </c>
      <c r="V77" s="256">
        <v>0</v>
      </c>
      <c r="W77" s="256">
        <v>0</v>
      </c>
      <c r="X77" s="256">
        <v>0</v>
      </c>
      <c r="Y77" s="256">
        <v>0</v>
      </c>
      <c r="AA77" s="255" t="s">
        <v>56</v>
      </c>
      <c r="AB77" s="255" t="s">
        <v>122</v>
      </c>
      <c r="AC77" s="255" t="s">
        <v>202</v>
      </c>
      <c r="AD77" s="256">
        <v>0</v>
      </c>
      <c r="AE77" s="256">
        <v>0</v>
      </c>
      <c r="AF77" s="256">
        <v>0</v>
      </c>
      <c r="AG77" s="256">
        <v>0</v>
      </c>
      <c r="AH77" s="256">
        <v>0</v>
      </c>
      <c r="AI77" s="256">
        <v>0</v>
      </c>
      <c r="AJ77" s="256">
        <v>0</v>
      </c>
      <c r="AK77" s="256">
        <v>0</v>
      </c>
      <c r="AL77" s="256">
        <v>0</v>
      </c>
    </row>
    <row r="78" spans="1:38" ht="13.95" customHeight="1" x14ac:dyDescent="0.55000000000000004">
      <c r="A78" s="255" t="s">
        <v>56</v>
      </c>
      <c r="B78" s="255" t="s">
        <v>203</v>
      </c>
      <c r="C78" s="255" t="s">
        <v>204</v>
      </c>
      <c r="D78" s="256">
        <v>0</v>
      </c>
      <c r="E78" s="256">
        <v>0</v>
      </c>
      <c r="F78" s="256">
        <v>0</v>
      </c>
      <c r="G78" s="256">
        <v>0</v>
      </c>
      <c r="H78" s="256">
        <v>0</v>
      </c>
      <c r="I78" s="256">
        <v>0</v>
      </c>
      <c r="J78" s="256">
        <v>0</v>
      </c>
      <c r="K78" s="256">
        <v>0</v>
      </c>
      <c r="L78" s="256">
        <v>0</v>
      </c>
      <c r="N78" s="255" t="s">
        <v>56</v>
      </c>
      <c r="O78" s="255" t="s">
        <v>203</v>
      </c>
      <c r="P78" s="255" t="s">
        <v>204</v>
      </c>
      <c r="Q78" s="256">
        <v>0</v>
      </c>
      <c r="R78" s="256">
        <v>0</v>
      </c>
      <c r="S78" s="256">
        <v>0</v>
      </c>
      <c r="T78" s="256">
        <v>0</v>
      </c>
      <c r="U78" s="256">
        <v>0</v>
      </c>
      <c r="V78" s="256">
        <v>0</v>
      </c>
      <c r="W78" s="256">
        <v>0</v>
      </c>
      <c r="X78" s="256">
        <v>0</v>
      </c>
      <c r="Y78" s="256">
        <v>0</v>
      </c>
      <c r="AA78" s="255" t="s">
        <v>56</v>
      </c>
      <c r="AB78" s="255" t="s">
        <v>203</v>
      </c>
      <c r="AC78" s="255" t="s">
        <v>204</v>
      </c>
      <c r="AD78" s="256">
        <v>0</v>
      </c>
      <c r="AE78" s="256">
        <v>0</v>
      </c>
      <c r="AF78" s="256">
        <v>0</v>
      </c>
      <c r="AG78" s="256">
        <v>0</v>
      </c>
      <c r="AH78" s="256">
        <v>0</v>
      </c>
      <c r="AI78" s="256">
        <v>0</v>
      </c>
      <c r="AJ78" s="256">
        <v>0</v>
      </c>
      <c r="AK78" s="256">
        <v>0</v>
      </c>
      <c r="AL78" s="256">
        <v>0</v>
      </c>
    </row>
    <row r="79" spans="1:38" ht="13.95" customHeight="1" x14ac:dyDescent="0.55000000000000004">
      <c r="A79" s="255" t="s">
        <v>56</v>
      </c>
      <c r="B79" s="255" t="s">
        <v>123</v>
      </c>
      <c r="C79" s="255" t="s">
        <v>205</v>
      </c>
      <c r="D79" s="256">
        <v>0</v>
      </c>
      <c r="E79" s="256">
        <v>0</v>
      </c>
      <c r="F79" s="256">
        <v>0</v>
      </c>
      <c r="G79" s="256">
        <v>0</v>
      </c>
      <c r="H79" s="256">
        <v>0</v>
      </c>
      <c r="I79" s="256">
        <v>0</v>
      </c>
      <c r="J79" s="256">
        <v>0</v>
      </c>
      <c r="K79" s="256">
        <v>0</v>
      </c>
      <c r="L79" s="256">
        <v>0</v>
      </c>
      <c r="N79" s="255" t="s">
        <v>56</v>
      </c>
      <c r="O79" s="255" t="s">
        <v>123</v>
      </c>
      <c r="P79" s="255" t="s">
        <v>205</v>
      </c>
      <c r="Q79" s="256">
        <v>0</v>
      </c>
      <c r="R79" s="256">
        <v>0</v>
      </c>
      <c r="S79" s="256">
        <v>0</v>
      </c>
      <c r="T79" s="256">
        <v>0</v>
      </c>
      <c r="U79" s="256">
        <v>0</v>
      </c>
      <c r="V79" s="256">
        <v>0</v>
      </c>
      <c r="W79" s="256">
        <v>0</v>
      </c>
      <c r="X79" s="256">
        <v>0</v>
      </c>
      <c r="Y79" s="256">
        <v>0</v>
      </c>
      <c r="AA79" s="255" t="s">
        <v>56</v>
      </c>
      <c r="AB79" s="255" t="s">
        <v>123</v>
      </c>
      <c r="AC79" s="255" t="s">
        <v>205</v>
      </c>
      <c r="AD79" s="256">
        <v>0</v>
      </c>
      <c r="AE79" s="256">
        <v>0</v>
      </c>
      <c r="AF79" s="256">
        <v>0</v>
      </c>
      <c r="AG79" s="256">
        <v>0</v>
      </c>
      <c r="AH79" s="256">
        <v>0</v>
      </c>
      <c r="AI79" s="256">
        <v>0</v>
      </c>
      <c r="AJ79" s="256">
        <v>0</v>
      </c>
      <c r="AK79" s="256">
        <v>0</v>
      </c>
      <c r="AL79" s="256">
        <v>0</v>
      </c>
    </row>
    <row r="80" spans="1:38" ht="13.95" customHeight="1" x14ac:dyDescent="0.55000000000000004">
      <c r="A80" s="255" t="s">
        <v>56</v>
      </c>
      <c r="B80" s="255" t="s">
        <v>124</v>
      </c>
      <c r="C80" s="255" t="s">
        <v>206</v>
      </c>
      <c r="D80" s="256">
        <v>0</v>
      </c>
      <c r="E80" s="256">
        <v>0</v>
      </c>
      <c r="F80" s="256">
        <v>0</v>
      </c>
      <c r="G80" s="256">
        <v>0</v>
      </c>
      <c r="H80" s="256">
        <v>0</v>
      </c>
      <c r="I80" s="256">
        <v>0</v>
      </c>
      <c r="J80" s="256">
        <v>0</v>
      </c>
      <c r="K80" s="256">
        <v>0</v>
      </c>
      <c r="L80" s="256">
        <v>0</v>
      </c>
      <c r="N80" s="255" t="s">
        <v>56</v>
      </c>
      <c r="O80" s="255" t="s">
        <v>124</v>
      </c>
      <c r="P80" s="255" t="s">
        <v>206</v>
      </c>
      <c r="Q80" s="256">
        <v>0</v>
      </c>
      <c r="R80" s="256">
        <v>0</v>
      </c>
      <c r="S80" s="256">
        <v>0</v>
      </c>
      <c r="T80" s="256">
        <v>0</v>
      </c>
      <c r="U80" s="256">
        <v>0</v>
      </c>
      <c r="V80" s="256">
        <v>0</v>
      </c>
      <c r="W80" s="256">
        <v>0</v>
      </c>
      <c r="X80" s="256">
        <v>0</v>
      </c>
      <c r="Y80" s="256">
        <v>0</v>
      </c>
      <c r="AA80" s="255" t="s">
        <v>56</v>
      </c>
      <c r="AB80" s="255" t="s">
        <v>124</v>
      </c>
      <c r="AC80" s="255" t="s">
        <v>206</v>
      </c>
      <c r="AD80" s="256">
        <v>0</v>
      </c>
      <c r="AE80" s="256">
        <v>0</v>
      </c>
      <c r="AF80" s="256">
        <v>0</v>
      </c>
      <c r="AG80" s="256">
        <v>0</v>
      </c>
      <c r="AH80" s="256">
        <v>0</v>
      </c>
      <c r="AI80" s="256">
        <v>0</v>
      </c>
      <c r="AJ80" s="256">
        <v>0</v>
      </c>
      <c r="AK80" s="256">
        <v>0</v>
      </c>
      <c r="AL80" s="256">
        <v>0</v>
      </c>
    </row>
    <row r="81" spans="1:38" ht="13.95" customHeight="1" x14ac:dyDescent="0.55000000000000004">
      <c r="A81" s="255" t="s">
        <v>56</v>
      </c>
      <c r="B81" s="255" t="s">
        <v>135</v>
      </c>
      <c r="C81" s="255" t="s">
        <v>207</v>
      </c>
      <c r="D81" s="256">
        <v>0</v>
      </c>
      <c r="E81" s="256">
        <v>0</v>
      </c>
      <c r="F81" s="256">
        <v>0</v>
      </c>
      <c r="G81" s="256">
        <v>0</v>
      </c>
      <c r="H81" s="256">
        <v>0</v>
      </c>
      <c r="I81" s="256">
        <v>0</v>
      </c>
      <c r="J81" s="256">
        <v>0</v>
      </c>
      <c r="K81" s="256">
        <v>0</v>
      </c>
      <c r="L81" s="256">
        <v>0</v>
      </c>
      <c r="N81" s="255" t="s">
        <v>56</v>
      </c>
      <c r="O81" s="255" t="s">
        <v>135</v>
      </c>
      <c r="P81" s="255" t="s">
        <v>207</v>
      </c>
      <c r="Q81" s="256">
        <v>0</v>
      </c>
      <c r="R81" s="256">
        <v>0</v>
      </c>
      <c r="S81" s="256">
        <v>0</v>
      </c>
      <c r="T81" s="256">
        <v>0</v>
      </c>
      <c r="U81" s="256">
        <v>0</v>
      </c>
      <c r="V81" s="256">
        <v>0</v>
      </c>
      <c r="W81" s="256">
        <v>0</v>
      </c>
      <c r="X81" s="256">
        <v>0</v>
      </c>
      <c r="Y81" s="256">
        <v>0</v>
      </c>
      <c r="AA81" s="255" t="s">
        <v>56</v>
      </c>
      <c r="AB81" s="255" t="s">
        <v>135</v>
      </c>
      <c r="AC81" s="255" t="s">
        <v>207</v>
      </c>
      <c r="AD81" s="256">
        <v>0</v>
      </c>
      <c r="AE81" s="256">
        <v>0</v>
      </c>
      <c r="AF81" s="256">
        <v>0</v>
      </c>
      <c r="AG81" s="256">
        <v>0</v>
      </c>
      <c r="AH81" s="256">
        <v>0</v>
      </c>
      <c r="AI81" s="256">
        <v>0</v>
      </c>
      <c r="AJ81" s="256">
        <v>0</v>
      </c>
      <c r="AK81" s="256">
        <v>0</v>
      </c>
      <c r="AL81" s="256">
        <v>0</v>
      </c>
    </row>
    <row r="82" spans="1:38" ht="13.95" customHeight="1" x14ac:dyDescent="0.55000000000000004">
      <c r="A82" s="255" t="s">
        <v>56</v>
      </c>
      <c r="B82" s="255" t="s">
        <v>208</v>
      </c>
      <c r="C82" s="255" t="s">
        <v>209</v>
      </c>
      <c r="D82" s="256">
        <v>0</v>
      </c>
      <c r="E82" s="256">
        <v>0</v>
      </c>
      <c r="F82" s="256">
        <v>0</v>
      </c>
      <c r="G82" s="256">
        <v>0</v>
      </c>
      <c r="H82" s="256">
        <v>0</v>
      </c>
      <c r="I82" s="256">
        <v>0</v>
      </c>
      <c r="J82" s="256">
        <v>0</v>
      </c>
      <c r="K82" s="256">
        <v>0</v>
      </c>
      <c r="L82" s="256">
        <v>0</v>
      </c>
      <c r="N82" s="255" t="s">
        <v>56</v>
      </c>
      <c r="O82" s="255" t="s">
        <v>208</v>
      </c>
      <c r="P82" s="255" t="s">
        <v>209</v>
      </c>
      <c r="Q82" s="256">
        <v>0</v>
      </c>
      <c r="R82" s="256">
        <v>0</v>
      </c>
      <c r="S82" s="256">
        <v>0</v>
      </c>
      <c r="T82" s="256">
        <v>0</v>
      </c>
      <c r="U82" s="256">
        <v>0</v>
      </c>
      <c r="V82" s="256">
        <v>0</v>
      </c>
      <c r="W82" s="256">
        <v>0</v>
      </c>
      <c r="X82" s="256">
        <v>0</v>
      </c>
      <c r="Y82" s="256">
        <v>0</v>
      </c>
      <c r="AA82" s="255" t="s">
        <v>56</v>
      </c>
      <c r="AB82" s="255" t="s">
        <v>208</v>
      </c>
      <c r="AC82" s="255" t="s">
        <v>209</v>
      </c>
      <c r="AD82" s="256">
        <v>0</v>
      </c>
      <c r="AE82" s="256">
        <v>0</v>
      </c>
      <c r="AF82" s="256">
        <v>0</v>
      </c>
      <c r="AG82" s="256">
        <v>0</v>
      </c>
      <c r="AH82" s="256">
        <v>0</v>
      </c>
      <c r="AI82" s="256">
        <v>0</v>
      </c>
      <c r="AJ82" s="256">
        <v>0</v>
      </c>
      <c r="AK82" s="256">
        <v>0</v>
      </c>
      <c r="AL82" s="256">
        <v>0</v>
      </c>
    </row>
    <row r="83" spans="1:38" ht="13.95" customHeight="1" x14ac:dyDescent="0.55000000000000004">
      <c r="A83" s="255" t="s">
        <v>56</v>
      </c>
      <c r="B83" s="255" t="s">
        <v>210</v>
      </c>
      <c r="C83" s="255" t="s">
        <v>211</v>
      </c>
      <c r="D83" s="256">
        <v>0</v>
      </c>
      <c r="E83" s="256">
        <v>0</v>
      </c>
      <c r="F83" s="256">
        <v>0</v>
      </c>
      <c r="G83" s="256">
        <v>0</v>
      </c>
      <c r="H83" s="256">
        <v>0</v>
      </c>
      <c r="I83" s="256">
        <v>0</v>
      </c>
      <c r="J83" s="256">
        <v>0</v>
      </c>
      <c r="K83" s="256">
        <v>0</v>
      </c>
      <c r="L83" s="256">
        <v>0</v>
      </c>
      <c r="N83" s="255" t="s">
        <v>56</v>
      </c>
      <c r="O83" s="255" t="s">
        <v>210</v>
      </c>
      <c r="P83" s="255" t="s">
        <v>211</v>
      </c>
      <c r="Q83" s="256">
        <v>0</v>
      </c>
      <c r="R83" s="256">
        <v>0</v>
      </c>
      <c r="S83" s="256">
        <v>0</v>
      </c>
      <c r="T83" s="256">
        <v>0</v>
      </c>
      <c r="U83" s="256">
        <v>0</v>
      </c>
      <c r="V83" s="256">
        <v>0</v>
      </c>
      <c r="W83" s="256">
        <v>0</v>
      </c>
      <c r="X83" s="256">
        <v>0</v>
      </c>
      <c r="Y83" s="256">
        <v>0</v>
      </c>
      <c r="AA83" s="255" t="s">
        <v>56</v>
      </c>
      <c r="AB83" s="255" t="s">
        <v>210</v>
      </c>
      <c r="AC83" s="255" t="s">
        <v>211</v>
      </c>
      <c r="AD83" s="256">
        <v>0</v>
      </c>
      <c r="AE83" s="256">
        <v>0</v>
      </c>
      <c r="AF83" s="256">
        <v>0</v>
      </c>
      <c r="AG83" s="256">
        <v>0</v>
      </c>
      <c r="AH83" s="256">
        <v>0</v>
      </c>
      <c r="AI83" s="256">
        <v>0</v>
      </c>
      <c r="AJ83" s="256">
        <v>0</v>
      </c>
      <c r="AK83" s="256">
        <v>0</v>
      </c>
      <c r="AL83" s="256">
        <v>0</v>
      </c>
    </row>
    <row r="84" spans="1:38" ht="12" customHeight="1" x14ac:dyDescent="0.55000000000000004"/>
    <row r="85" spans="1:38" ht="16.2" customHeight="1" x14ac:dyDescent="0.55000000000000004">
      <c r="A85" s="437" t="s">
        <v>160</v>
      </c>
      <c r="B85" s="437"/>
      <c r="C85" s="437"/>
      <c r="D85" s="437"/>
      <c r="E85" s="437"/>
      <c r="F85" s="437"/>
      <c r="G85" s="437"/>
      <c r="H85" s="437"/>
      <c r="I85" s="437"/>
      <c r="J85" s="437"/>
      <c r="K85" s="437"/>
      <c r="L85" s="437"/>
      <c r="N85" s="437" t="s">
        <v>269</v>
      </c>
      <c r="O85" s="437"/>
      <c r="P85" s="437"/>
      <c r="Q85" s="437"/>
      <c r="R85" s="437"/>
      <c r="S85" s="437"/>
      <c r="T85" s="437"/>
      <c r="U85" s="437"/>
      <c r="V85" s="437"/>
      <c r="W85" s="437"/>
      <c r="X85" s="437"/>
      <c r="Y85" s="437"/>
      <c r="AA85" s="437" t="s">
        <v>277</v>
      </c>
      <c r="AB85" s="437"/>
      <c r="AC85" s="437"/>
      <c r="AD85" s="437"/>
      <c r="AE85" s="437"/>
      <c r="AF85" s="437"/>
      <c r="AG85" s="437"/>
      <c r="AH85" s="437"/>
      <c r="AI85" s="437"/>
      <c r="AJ85" s="437"/>
      <c r="AK85" s="437"/>
      <c r="AL85" s="437"/>
    </row>
    <row r="86" spans="1:38" ht="16.2" customHeight="1" x14ac:dyDescent="0.55000000000000004">
      <c r="A86" s="437" t="s">
        <v>213</v>
      </c>
      <c r="B86" s="437"/>
      <c r="C86" s="437"/>
      <c r="D86" s="437"/>
      <c r="E86" s="437"/>
      <c r="F86" s="437"/>
      <c r="G86" s="437"/>
      <c r="H86" s="437"/>
      <c r="I86" s="437"/>
      <c r="J86" s="437"/>
      <c r="K86" s="437"/>
      <c r="L86" s="437"/>
      <c r="N86" s="437" t="s">
        <v>213</v>
      </c>
      <c r="O86" s="437"/>
      <c r="P86" s="437"/>
      <c r="Q86" s="437"/>
      <c r="R86" s="437"/>
      <c r="S86" s="437"/>
      <c r="T86" s="437"/>
      <c r="U86" s="437"/>
      <c r="V86" s="437"/>
      <c r="W86" s="437"/>
      <c r="X86" s="437"/>
      <c r="Y86" s="437"/>
      <c r="AA86" s="437" t="s">
        <v>213</v>
      </c>
      <c r="AB86" s="437"/>
      <c r="AC86" s="437"/>
      <c r="AD86" s="437"/>
      <c r="AE86" s="437"/>
      <c r="AF86" s="437"/>
      <c r="AG86" s="437"/>
      <c r="AH86" s="437"/>
      <c r="AI86" s="437"/>
      <c r="AJ86" s="437"/>
      <c r="AK86" s="437"/>
      <c r="AL86" s="437"/>
    </row>
    <row r="87" spans="1:38" ht="12" customHeight="1" x14ac:dyDescent="0.55000000000000004">
      <c r="AA87" s="258" t="s">
        <v>275</v>
      </c>
      <c r="AB87" s="253"/>
      <c r="AD87" s="259">
        <v>1.0425040060945177</v>
      </c>
    </row>
    <row r="88" spans="1:38" ht="13.95" customHeight="1" x14ac:dyDescent="0.55000000000000004">
      <c r="A88" s="254" t="s">
        <v>2</v>
      </c>
      <c r="B88" s="254" t="s">
        <v>4</v>
      </c>
      <c r="C88" s="254" t="s">
        <v>162</v>
      </c>
      <c r="D88" s="254" t="s">
        <v>163</v>
      </c>
      <c r="E88" s="254" t="s">
        <v>164</v>
      </c>
      <c r="F88" s="254" t="s">
        <v>165</v>
      </c>
      <c r="G88" s="254" t="s">
        <v>166</v>
      </c>
      <c r="H88" s="254" t="s">
        <v>167</v>
      </c>
      <c r="I88" s="254" t="s">
        <v>168</v>
      </c>
      <c r="J88" s="254" t="s">
        <v>169</v>
      </c>
      <c r="K88" s="254" t="s">
        <v>170</v>
      </c>
      <c r="L88" s="254" t="s">
        <v>1</v>
      </c>
      <c r="N88" s="254" t="s">
        <v>2</v>
      </c>
      <c r="O88" s="254" t="s">
        <v>4</v>
      </c>
      <c r="P88" s="254" t="s">
        <v>162</v>
      </c>
      <c r="Q88" s="254" t="s">
        <v>163</v>
      </c>
      <c r="R88" s="254" t="s">
        <v>164</v>
      </c>
      <c r="S88" s="254" t="s">
        <v>165</v>
      </c>
      <c r="T88" s="254" t="s">
        <v>166</v>
      </c>
      <c r="U88" s="254" t="s">
        <v>167</v>
      </c>
      <c r="V88" s="254" t="s">
        <v>168</v>
      </c>
      <c r="W88" s="254" t="s">
        <v>169</v>
      </c>
      <c r="X88" s="254" t="s">
        <v>170</v>
      </c>
      <c r="Y88" s="254" t="s">
        <v>1</v>
      </c>
      <c r="AA88" s="260" t="s">
        <v>2</v>
      </c>
      <c r="AB88" s="260" t="s">
        <v>4</v>
      </c>
      <c r="AC88" s="261" t="s">
        <v>162</v>
      </c>
      <c r="AD88" s="261" t="s">
        <v>163</v>
      </c>
      <c r="AE88" s="261" t="s">
        <v>164</v>
      </c>
      <c r="AF88" s="261" t="s">
        <v>165</v>
      </c>
      <c r="AG88" s="261" t="s">
        <v>166</v>
      </c>
      <c r="AH88" s="261" t="s">
        <v>167</v>
      </c>
      <c r="AI88" s="261" t="s">
        <v>168</v>
      </c>
      <c r="AJ88" s="261" t="s">
        <v>169</v>
      </c>
      <c r="AK88" s="261" t="s">
        <v>170</v>
      </c>
      <c r="AL88" s="261" t="s">
        <v>1</v>
      </c>
    </row>
    <row r="89" spans="1:38" ht="13.95" customHeight="1" x14ac:dyDescent="0.55000000000000004">
      <c r="A89" s="255" t="s">
        <v>57</v>
      </c>
      <c r="B89" s="255" t="s">
        <v>92</v>
      </c>
      <c r="C89" s="255" t="s">
        <v>171</v>
      </c>
      <c r="D89" s="256">
        <f>Q89+AD89</f>
        <v>0</v>
      </c>
      <c r="E89" s="256">
        <f t="shared" ref="E89:L116" si="5">R89+AE89</f>
        <v>0</v>
      </c>
      <c r="F89" s="256">
        <f t="shared" si="5"/>
        <v>0</v>
      </c>
      <c r="G89" s="256">
        <f t="shared" si="5"/>
        <v>0</v>
      </c>
      <c r="H89" s="256">
        <f t="shared" si="5"/>
        <v>0</v>
      </c>
      <c r="I89" s="256">
        <f t="shared" si="5"/>
        <v>0</v>
      </c>
      <c r="J89" s="256">
        <f t="shared" si="5"/>
        <v>0</v>
      </c>
      <c r="K89" s="256">
        <f t="shared" si="5"/>
        <v>0</v>
      </c>
      <c r="L89" s="256">
        <f t="shared" si="5"/>
        <v>0</v>
      </c>
      <c r="N89" s="255" t="s">
        <v>57</v>
      </c>
      <c r="O89" s="255" t="s">
        <v>92</v>
      </c>
      <c r="P89" s="255" t="s">
        <v>171</v>
      </c>
      <c r="Q89" s="256">
        <v>0</v>
      </c>
      <c r="R89" s="256">
        <v>0</v>
      </c>
      <c r="S89" s="256">
        <v>0</v>
      </c>
      <c r="T89" s="256">
        <v>0</v>
      </c>
      <c r="U89" s="256">
        <v>0</v>
      </c>
      <c r="V89" s="256">
        <v>0</v>
      </c>
      <c r="W89" s="256">
        <v>0</v>
      </c>
      <c r="X89" s="256">
        <v>0</v>
      </c>
      <c r="Y89" s="256">
        <v>0</v>
      </c>
      <c r="AA89" s="262" t="s">
        <v>57</v>
      </c>
      <c r="AB89" s="262" t="s">
        <v>92</v>
      </c>
      <c r="AC89" s="263" t="s">
        <v>171</v>
      </c>
      <c r="AD89" s="264">
        <v>0</v>
      </c>
      <c r="AE89" s="264">
        <v>0</v>
      </c>
      <c r="AF89" s="264">
        <v>0</v>
      </c>
      <c r="AG89" s="264">
        <v>0</v>
      </c>
      <c r="AH89" s="264">
        <v>0</v>
      </c>
      <c r="AI89" s="264">
        <v>0</v>
      </c>
      <c r="AJ89" s="264">
        <v>0</v>
      </c>
      <c r="AK89" s="264">
        <v>0</v>
      </c>
      <c r="AL89" s="264">
        <v>0</v>
      </c>
    </row>
    <row r="90" spans="1:38" ht="13.95" customHeight="1" x14ac:dyDescent="0.55000000000000004">
      <c r="A90" s="255" t="s">
        <v>57</v>
      </c>
      <c r="B90" s="255" t="s">
        <v>93</v>
      </c>
      <c r="C90" s="255" t="s">
        <v>172</v>
      </c>
      <c r="D90" s="256">
        <f t="shared" ref="D90:D116" si="6">Q90+AD90</f>
        <v>0</v>
      </c>
      <c r="E90" s="256">
        <f t="shared" si="5"/>
        <v>0</v>
      </c>
      <c r="F90" s="256">
        <f t="shared" si="5"/>
        <v>0</v>
      </c>
      <c r="G90" s="256">
        <f t="shared" si="5"/>
        <v>0</v>
      </c>
      <c r="H90" s="256">
        <f t="shared" si="5"/>
        <v>64379.071847006599</v>
      </c>
      <c r="I90" s="256">
        <f t="shared" si="5"/>
        <v>0</v>
      </c>
      <c r="J90" s="256">
        <f t="shared" si="5"/>
        <v>7840</v>
      </c>
      <c r="K90" s="256">
        <f t="shared" si="5"/>
        <v>0</v>
      </c>
      <c r="L90" s="256">
        <f t="shared" si="5"/>
        <v>72219.071847006591</v>
      </c>
      <c r="N90" s="255" t="s">
        <v>57</v>
      </c>
      <c r="O90" s="255" t="s">
        <v>93</v>
      </c>
      <c r="P90" s="255" t="s">
        <v>172</v>
      </c>
      <c r="Q90" s="256">
        <v>0</v>
      </c>
      <c r="R90" s="256">
        <v>0</v>
      </c>
      <c r="S90" s="256">
        <v>0</v>
      </c>
      <c r="T90" s="256">
        <v>0</v>
      </c>
      <c r="U90" s="256">
        <v>62768</v>
      </c>
      <c r="V90" s="256">
        <v>0</v>
      </c>
      <c r="W90" s="256">
        <v>7840</v>
      </c>
      <c r="X90" s="256">
        <v>0</v>
      </c>
      <c r="Y90" s="256">
        <v>70608</v>
      </c>
      <c r="AA90" s="262" t="s">
        <v>57</v>
      </c>
      <c r="AB90" s="262" t="s">
        <v>93</v>
      </c>
      <c r="AC90" s="263" t="s">
        <v>172</v>
      </c>
      <c r="AD90" s="264">
        <v>0</v>
      </c>
      <c r="AE90" s="264">
        <v>0</v>
      </c>
      <c r="AF90" s="264">
        <v>0</v>
      </c>
      <c r="AG90" s="264">
        <v>0</v>
      </c>
      <c r="AH90" s="264">
        <v>1611.0718470065972</v>
      </c>
      <c r="AI90" s="264">
        <v>0</v>
      </c>
      <c r="AJ90" s="264">
        <v>0</v>
      </c>
      <c r="AK90" s="264">
        <v>0</v>
      </c>
      <c r="AL90" s="264">
        <v>1611.0718470065972</v>
      </c>
    </row>
    <row r="91" spans="1:38" ht="13.95" customHeight="1" x14ac:dyDescent="0.55000000000000004">
      <c r="A91" s="255" t="s">
        <v>57</v>
      </c>
      <c r="B91" s="255" t="s">
        <v>94</v>
      </c>
      <c r="C91" s="255" t="s">
        <v>173</v>
      </c>
      <c r="D91" s="256">
        <f t="shared" si="6"/>
        <v>0</v>
      </c>
      <c r="E91" s="256">
        <f t="shared" si="5"/>
        <v>102401.68755089711</v>
      </c>
      <c r="F91" s="256">
        <f t="shared" si="5"/>
        <v>0</v>
      </c>
      <c r="G91" s="256">
        <f t="shared" si="5"/>
        <v>0</v>
      </c>
      <c r="H91" s="256">
        <f t="shared" si="5"/>
        <v>46554.809992907241</v>
      </c>
      <c r="I91" s="256">
        <f t="shared" si="5"/>
        <v>7237.2185882785616</v>
      </c>
      <c r="J91" s="256">
        <f t="shared" si="5"/>
        <v>11270</v>
      </c>
      <c r="K91" s="256">
        <f t="shared" si="5"/>
        <v>0</v>
      </c>
      <c r="L91" s="256">
        <f t="shared" si="5"/>
        <v>167463.71613208292</v>
      </c>
      <c r="N91" s="255" t="s">
        <v>57</v>
      </c>
      <c r="O91" s="255" t="s">
        <v>94</v>
      </c>
      <c r="P91" s="255" t="s">
        <v>173</v>
      </c>
      <c r="Q91" s="256">
        <v>0</v>
      </c>
      <c r="R91" s="256">
        <v>100624</v>
      </c>
      <c r="S91" s="256">
        <v>0</v>
      </c>
      <c r="T91" s="256">
        <v>0</v>
      </c>
      <c r="U91" s="256">
        <v>45600</v>
      </c>
      <c r="V91" s="256">
        <v>7040</v>
      </c>
      <c r="W91" s="256">
        <v>11270</v>
      </c>
      <c r="X91" s="256">
        <v>0</v>
      </c>
      <c r="Y91" s="256">
        <v>164534</v>
      </c>
      <c r="AA91" s="262" t="s">
        <v>57</v>
      </c>
      <c r="AB91" s="262" t="s">
        <v>94</v>
      </c>
      <c r="AC91" s="263" t="s">
        <v>173</v>
      </c>
      <c r="AD91" s="264">
        <v>0</v>
      </c>
      <c r="AE91" s="264">
        <v>1777.6875508971063</v>
      </c>
      <c r="AF91" s="264">
        <v>0</v>
      </c>
      <c r="AG91" s="264">
        <v>0</v>
      </c>
      <c r="AH91" s="264">
        <v>954.80999290724458</v>
      </c>
      <c r="AI91" s="264">
        <v>197.21858827856192</v>
      </c>
      <c r="AJ91" s="264">
        <v>0</v>
      </c>
      <c r="AK91" s="264">
        <v>0</v>
      </c>
      <c r="AL91" s="264">
        <v>2929.7161320829127</v>
      </c>
    </row>
    <row r="92" spans="1:38" ht="13.95" customHeight="1" x14ac:dyDescent="0.55000000000000004">
      <c r="A92" s="255" t="s">
        <v>57</v>
      </c>
      <c r="B92" s="255" t="s">
        <v>95</v>
      </c>
      <c r="C92" s="255" t="s">
        <v>174</v>
      </c>
      <c r="D92" s="256">
        <f t="shared" si="6"/>
        <v>8826.7330758925054</v>
      </c>
      <c r="E92" s="256">
        <f t="shared" si="5"/>
        <v>35074.919484067563</v>
      </c>
      <c r="F92" s="256">
        <f t="shared" si="5"/>
        <v>0</v>
      </c>
      <c r="G92" s="256">
        <f t="shared" si="5"/>
        <v>0</v>
      </c>
      <c r="H92" s="256">
        <f t="shared" si="5"/>
        <v>39411.019097906326</v>
      </c>
      <c r="I92" s="256">
        <f t="shared" si="5"/>
        <v>14342.393779388973</v>
      </c>
      <c r="J92" s="256">
        <f t="shared" si="5"/>
        <v>10296</v>
      </c>
      <c r="K92" s="256">
        <f t="shared" si="5"/>
        <v>0</v>
      </c>
      <c r="L92" s="256">
        <f t="shared" si="5"/>
        <v>107951.06543725537</v>
      </c>
      <c r="N92" s="255" t="s">
        <v>57</v>
      </c>
      <c r="O92" s="255" t="s">
        <v>95</v>
      </c>
      <c r="P92" s="255" t="s">
        <v>174</v>
      </c>
      <c r="Q92" s="256">
        <v>8688</v>
      </c>
      <c r="R92" s="256">
        <v>34656</v>
      </c>
      <c r="S92" s="256">
        <v>0</v>
      </c>
      <c r="T92" s="256">
        <v>0</v>
      </c>
      <c r="U92" s="256">
        <v>38784</v>
      </c>
      <c r="V92" s="256">
        <v>13984</v>
      </c>
      <c r="W92" s="256">
        <v>10296</v>
      </c>
      <c r="X92" s="256">
        <v>0</v>
      </c>
      <c r="Y92" s="256">
        <v>106408</v>
      </c>
      <c r="AA92" s="262" t="s">
        <v>57</v>
      </c>
      <c r="AB92" s="262" t="s">
        <v>95</v>
      </c>
      <c r="AC92" s="263" t="s">
        <v>174</v>
      </c>
      <c r="AD92" s="264">
        <v>138.73307589250561</v>
      </c>
      <c r="AE92" s="264">
        <v>418.91948406756603</v>
      </c>
      <c r="AF92" s="264">
        <v>0</v>
      </c>
      <c r="AG92" s="264">
        <v>0</v>
      </c>
      <c r="AH92" s="264">
        <v>627.01909790632442</v>
      </c>
      <c r="AI92" s="264">
        <v>358.39377938897286</v>
      </c>
      <c r="AJ92" s="264">
        <v>0</v>
      </c>
      <c r="AK92" s="264">
        <v>0</v>
      </c>
      <c r="AL92" s="264">
        <v>1543.065437255369</v>
      </c>
    </row>
    <row r="93" spans="1:38" ht="13.95" customHeight="1" x14ac:dyDescent="0.55000000000000004">
      <c r="A93" s="255" t="s">
        <v>57</v>
      </c>
      <c r="B93" s="255" t="s">
        <v>96</v>
      </c>
      <c r="C93" s="255" t="s">
        <v>175</v>
      </c>
      <c r="D93" s="256">
        <f t="shared" si="6"/>
        <v>0</v>
      </c>
      <c r="E93" s="256">
        <f t="shared" si="5"/>
        <v>0</v>
      </c>
      <c r="F93" s="256">
        <f t="shared" si="5"/>
        <v>0</v>
      </c>
      <c r="G93" s="256">
        <f t="shared" si="5"/>
        <v>0</v>
      </c>
      <c r="H93" s="256">
        <f t="shared" si="5"/>
        <v>0</v>
      </c>
      <c r="I93" s="256">
        <f t="shared" si="5"/>
        <v>0</v>
      </c>
      <c r="J93" s="256">
        <f t="shared" si="5"/>
        <v>0</v>
      </c>
      <c r="K93" s="256">
        <f t="shared" si="5"/>
        <v>0</v>
      </c>
      <c r="L93" s="256">
        <f t="shared" si="5"/>
        <v>0</v>
      </c>
      <c r="N93" s="255" t="s">
        <v>57</v>
      </c>
      <c r="O93" s="255" t="s">
        <v>96</v>
      </c>
      <c r="P93" s="255" t="s">
        <v>175</v>
      </c>
      <c r="Q93" s="256">
        <v>0</v>
      </c>
      <c r="R93" s="256">
        <v>0</v>
      </c>
      <c r="S93" s="256">
        <v>0</v>
      </c>
      <c r="T93" s="256">
        <v>0</v>
      </c>
      <c r="U93" s="256">
        <v>0</v>
      </c>
      <c r="V93" s="256">
        <v>0</v>
      </c>
      <c r="W93" s="256">
        <v>0</v>
      </c>
      <c r="X93" s="256">
        <v>0</v>
      </c>
      <c r="Y93" s="256">
        <v>0</v>
      </c>
      <c r="AA93" s="262" t="s">
        <v>57</v>
      </c>
      <c r="AB93" s="262" t="s">
        <v>96</v>
      </c>
      <c r="AC93" s="263" t="s">
        <v>175</v>
      </c>
      <c r="AD93" s="264">
        <v>0</v>
      </c>
      <c r="AE93" s="264">
        <v>0</v>
      </c>
      <c r="AF93" s="264">
        <v>0</v>
      </c>
      <c r="AG93" s="264">
        <v>0</v>
      </c>
      <c r="AH93" s="264">
        <v>0</v>
      </c>
      <c r="AI93" s="264">
        <v>0</v>
      </c>
      <c r="AJ93" s="264">
        <v>0</v>
      </c>
      <c r="AK93" s="264">
        <v>0</v>
      </c>
      <c r="AL93" s="264">
        <v>0</v>
      </c>
    </row>
    <row r="94" spans="1:38" ht="13.95" customHeight="1" x14ac:dyDescent="0.55000000000000004">
      <c r="A94" s="255" t="s">
        <v>57</v>
      </c>
      <c r="B94" s="255" t="s">
        <v>97</v>
      </c>
      <c r="C94" s="255" t="s">
        <v>176</v>
      </c>
      <c r="D94" s="256">
        <f t="shared" si="6"/>
        <v>38088.78114902672</v>
      </c>
      <c r="E94" s="256">
        <f t="shared" si="5"/>
        <v>0</v>
      </c>
      <c r="F94" s="256">
        <f t="shared" si="5"/>
        <v>0</v>
      </c>
      <c r="G94" s="256">
        <f t="shared" si="5"/>
        <v>0</v>
      </c>
      <c r="H94" s="256">
        <f t="shared" si="5"/>
        <v>14882.06583129745</v>
      </c>
      <c r="I94" s="256">
        <f t="shared" si="5"/>
        <v>0</v>
      </c>
      <c r="J94" s="256">
        <f t="shared" si="5"/>
        <v>0</v>
      </c>
      <c r="K94" s="256">
        <f t="shared" si="5"/>
        <v>0</v>
      </c>
      <c r="L94" s="256">
        <f t="shared" si="5"/>
        <v>52970.846980324168</v>
      </c>
      <c r="N94" s="255" t="s">
        <v>57</v>
      </c>
      <c r="O94" s="255" t="s">
        <v>97</v>
      </c>
      <c r="P94" s="255" t="s">
        <v>176</v>
      </c>
      <c r="Q94" s="256">
        <v>37440</v>
      </c>
      <c r="R94" s="256">
        <v>0</v>
      </c>
      <c r="S94" s="256">
        <v>0</v>
      </c>
      <c r="T94" s="256">
        <v>0</v>
      </c>
      <c r="U94" s="256">
        <v>14608</v>
      </c>
      <c r="V94" s="256">
        <v>0</v>
      </c>
      <c r="W94" s="256">
        <v>0</v>
      </c>
      <c r="X94" s="256">
        <v>0</v>
      </c>
      <c r="Y94" s="256">
        <v>52048</v>
      </c>
      <c r="AA94" s="262" t="s">
        <v>57</v>
      </c>
      <c r="AB94" s="262" t="s">
        <v>97</v>
      </c>
      <c r="AC94" s="263" t="s">
        <v>176</v>
      </c>
      <c r="AD94" s="264">
        <v>648.78114902671746</v>
      </c>
      <c r="AE94" s="264">
        <v>0</v>
      </c>
      <c r="AF94" s="264">
        <v>0</v>
      </c>
      <c r="AG94" s="264">
        <v>0</v>
      </c>
      <c r="AH94" s="264">
        <v>274.06583129744985</v>
      </c>
      <c r="AI94" s="264">
        <v>0</v>
      </c>
      <c r="AJ94" s="264">
        <v>0</v>
      </c>
      <c r="AK94" s="264">
        <v>0</v>
      </c>
      <c r="AL94" s="264">
        <v>922.84698032416736</v>
      </c>
    </row>
    <row r="95" spans="1:38" ht="13.95" customHeight="1" x14ac:dyDescent="0.55000000000000004">
      <c r="A95" s="255" t="s">
        <v>57</v>
      </c>
      <c r="B95" s="255" t="s">
        <v>98</v>
      </c>
      <c r="C95" s="255" t="s">
        <v>177</v>
      </c>
      <c r="D95" s="256">
        <f t="shared" si="6"/>
        <v>0</v>
      </c>
      <c r="E95" s="256">
        <f t="shared" si="5"/>
        <v>0</v>
      </c>
      <c r="F95" s="256">
        <f t="shared" si="5"/>
        <v>0</v>
      </c>
      <c r="G95" s="256">
        <f t="shared" si="5"/>
        <v>0</v>
      </c>
      <c r="H95" s="256">
        <f t="shared" si="5"/>
        <v>0</v>
      </c>
      <c r="I95" s="256">
        <f t="shared" si="5"/>
        <v>225723.23450757875</v>
      </c>
      <c r="J95" s="256">
        <f t="shared" si="5"/>
        <v>0</v>
      </c>
      <c r="K95" s="256">
        <f t="shared" si="5"/>
        <v>0</v>
      </c>
      <c r="L95" s="256">
        <f t="shared" si="5"/>
        <v>225723.23450757875</v>
      </c>
      <c r="N95" s="255" t="s">
        <v>57</v>
      </c>
      <c r="O95" s="255" t="s">
        <v>98</v>
      </c>
      <c r="P95" s="255" t="s">
        <v>177</v>
      </c>
      <c r="Q95" s="256">
        <v>0</v>
      </c>
      <c r="R95" s="256">
        <v>0</v>
      </c>
      <c r="S95" s="256">
        <v>0</v>
      </c>
      <c r="T95" s="256">
        <v>0</v>
      </c>
      <c r="U95" s="256">
        <v>0</v>
      </c>
      <c r="V95" s="256">
        <v>219840</v>
      </c>
      <c r="W95" s="256">
        <v>0</v>
      </c>
      <c r="X95" s="256">
        <v>0</v>
      </c>
      <c r="Y95" s="256">
        <v>219840</v>
      </c>
      <c r="AA95" s="262" t="s">
        <v>57</v>
      </c>
      <c r="AB95" s="262" t="s">
        <v>98</v>
      </c>
      <c r="AC95" s="263" t="s">
        <v>177</v>
      </c>
      <c r="AD95" s="264">
        <v>0</v>
      </c>
      <c r="AE95" s="264">
        <v>0</v>
      </c>
      <c r="AF95" s="264">
        <v>0</v>
      </c>
      <c r="AG95" s="264">
        <v>0</v>
      </c>
      <c r="AH95" s="264">
        <v>0</v>
      </c>
      <c r="AI95" s="264">
        <v>5883.2345075787553</v>
      </c>
      <c r="AJ95" s="264">
        <v>0</v>
      </c>
      <c r="AK95" s="264">
        <v>0</v>
      </c>
      <c r="AL95" s="264">
        <v>5883.2345075787553</v>
      </c>
    </row>
    <row r="96" spans="1:38" ht="13.95" customHeight="1" x14ac:dyDescent="0.55000000000000004">
      <c r="A96" s="255" t="s">
        <v>57</v>
      </c>
      <c r="B96" s="255" t="s">
        <v>99</v>
      </c>
      <c r="C96" s="255" t="s">
        <v>178</v>
      </c>
      <c r="D96" s="256">
        <f t="shared" si="6"/>
        <v>0</v>
      </c>
      <c r="E96" s="256">
        <f t="shared" si="5"/>
        <v>0</v>
      </c>
      <c r="F96" s="256">
        <f t="shared" si="5"/>
        <v>0</v>
      </c>
      <c r="G96" s="256">
        <f t="shared" si="5"/>
        <v>0</v>
      </c>
      <c r="H96" s="256">
        <f t="shared" si="5"/>
        <v>0</v>
      </c>
      <c r="I96" s="256">
        <f t="shared" si="5"/>
        <v>0</v>
      </c>
      <c r="J96" s="256">
        <f t="shared" si="5"/>
        <v>30960</v>
      </c>
      <c r="K96" s="256">
        <f t="shared" si="5"/>
        <v>0</v>
      </c>
      <c r="L96" s="256">
        <f t="shared" si="5"/>
        <v>30960</v>
      </c>
      <c r="N96" s="255" t="s">
        <v>57</v>
      </c>
      <c r="O96" s="255" t="s">
        <v>99</v>
      </c>
      <c r="P96" s="255" t="s">
        <v>178</v>
      </c>
      <c r="Q96" s="256">
        <v>0</v>
      </c>
      <c r="R96" s="256">
        <v>0</v>
      </c>
      <c r="S96" s="256">
        <v>0</v>
      </c>
      <c r="T96" s="256">
        <v>0</v>
      </c>
      <c r="U96" s="256">
        <v>0</v>
      </c>
      <c r="V96" s="256">
        <v>0</v>
      </c>
      <c r="W96" s="256">
        <v>30960</v>
      </c>
      <c r="X96" s="256">
        <v>0</v>
      </c>
      <c r="Y96" s="256">
        <v>30960</v>
      </c>
      <c r="AA96" s="262" t="s">
        <v>57</v>
      </c>
      <c r="AB96" s="262" t="s">
        <v>99</v>
      </c>
      <c r="AC96" s="263" t="s">
        <v>178</v>
      </c>
      <c r="AD96" s="264">
        <v>0</v>
      </c>
      <c r="AE96" s="264">
        <v>0</v>
      </c>
      <c r="AF96" s="264">
        <v>0</v>
      </c>
      <c r="AG96" s="264">
        <v>0</v>
      </c>
      <c r="AH96" s="264">
        <v>0</v>
      </c>
      <c r="AI96" s="264">
        <v>0</v>
      </c>
      <c r="AJ96" s="264">
        <v>0</v>
      </c>
      <c r="AK96" s="264">
        <v>0</v>
      </c>
      <c r="AL96" s="264">
        <v>0</v>
      </c>
    </row>
    <row r="97" spans="1:38" ht="13.95" customHeight="1" x14ac:dyDescent="0.55000000000000004">
      <c r="A97" s="255" t="s">
        <v>57</v>
      </c>
      <c r="B97" s="255" t="s">
        <v>100</v>
      </c>
      <c r="C97" s="255" t="s">
        <v>179</v>
      </c>
      <c r="D97" s="256">
        <f t="shared" si="6"/>
        <v>23480.68153518796</v>
      </c>
      <c r="E97" s="256">
        <f t="shared" si="5"/>
        <v>3652.0064097512281</v>
      </c>
      <c r="F97" s="256">
        <f t="shared" si="5"/>
        <v>0</v>
      </c>
      <c r="G97" s="256">
        <f t="shared" si="5"/>
        <v>0</v>
      </c>
      <c r="H97" s="256">
        <f t="shared" si="5"/>
        <v>212806.33745764047</v>
      </c>
      <c r="I97" s="256">
        <f t="shared" si="5"/>
        <v>0</v>
      </c>
      <c r="J97" s="256">
        <f t="shared" si="5"/>
        <v>9000</v>
      </c>
      <c r="K97" s="256">
        <f t="shared" si="5"/>
        <v>0</v>
      </c>
      <c r="L97" s="256">
        <f t="shared" si="5"/>
        <v>248939.02540257969</v>
      </c>
      <c r="N97" s="255" t="s">
        <v>57</v>
      </c>
      <c r="O97" s="255" t="s">
        <v>100</v>
      </c>
      <c r="P97" s="255" t="s">
        <v>179</v>
      </c>
      <c r="Q97" s="256">
        <v>23040</v>
      </c>
      <c r="R97" s="256">
        <v>3584</v>
      </c>
      <c r="S97" s="256">
        <v>0</v>
      </c>
      <c r="T97" s="256">
        <v>0</v>
      </c>
      <c r="U97" s="256">
        <v>207104</v>
      </c>
      <c r="V97" s="256">
        <v>0</v>
      </c>
      <c r="W97" s="256">
        <v>9000</v>
      </c>
      <c r="X97" s="256">
        <v>0</v>
      </c>
      <c r="Y97" s="256">
        <v>242728</v>
      </c>
      <c r="AA97" s="262" t="s">
        <v>57</v>
      </c>
      <c r="AB97" s="262" t="s">
        <v>100</v>
      </c>
      <c r="AC97" s="263" t="s">
        <v>179</v>
      </c>
      <c r="AD97" s="264">
        <v>440.68153518795907</v>
      </c>
      <c r="AE97" s="264">
        <v>68.006409751228247</v>
      </c>
      <c r="AF97" s="264">
        <v>0</v>
      </c>
      <c r="AG97" s="264">
        <v>0</v>
      </c>
      <c r="AH97" s="264">
        <v>5702.3374576404885</v>
      </c>
      <c r="AI97" s="264">
        <v>0</v>
      </c>
      <c r="AJ97" s="264">
        <v>0</v>
      </c>
      <c r="AK97" s="264">
        <v>0</v>
      </c>
      <c r="AL97" s="264">
        <v>6211.0254025796758</v>
      </c>
    </row>
    <row r="98" spans="1:38" ht="13.95" customHeight="1" x14ac:dyDescent="0.55000000000000004">
      <c r="A98" s="255" t="s">
        <v>57</v>
      </c>
      <c r="B98" s="255" t="s">
        <v>101</v>
      </c>
      <c r="C98" s="255" t="s">
        <v>180</v>
      </c>
      <c r="D98" s="256">
        <f t="shared" si="6"/>
        <v>0</v>
      </c>
      <c r="E98" s="256">
        <f t="shared" si="5"/>
        <v>0</v>
      </c>
      <c r="F98" s="256">
        <f t="shared" si="5"/>
        <v>0</v>
      </c>
      <c r="G98" s="256">
        <f t="shared" si="5"/>
        <v>0</v>
      </c>
      <c r="H98" s="256">
        <f t="shared" si="5"/>
        <v>0</v>
      </c>
      <c r="I98" s="256">
        <f t="shared" si="5"/>
        <v>0</v>
      </c>
      <c r="J98" s="256">
        <f t="shared" si="5"/>
        <v>0</v>
      </c>
      <c r="K98" s="256">
        <f t="shared" si="5"/>
        <v>0</v>
      </c>
      <c r="L98" s="256">
        <f t="shared" si="5"/>
        <v>0</v>
      </c>
      <c r="N98" s="255" t="s">
        <v>57</v>
      </c>
      <c r="O98" s="255" t="s">
        <v>101</v>
      </c>
      <c r="P98" s="255" t="s">
        <v>180</v>
      </c>
      <c r="Q98" s="256">
        <v>0</v>
      </c>
      <c r="R98" s="256">
        <v>0</v>
      </c>
      <c r="S98" s="256">
        <v>0</v>
      </c>
      <c r="T98" s="256">
        <v>0</v>
      </c>
      <c r="U98" s="256">
        <v>0</v>
      </c>
      <c r="V98" s="256">
        <v>0</v>
      </c>
      <c r="W98" s="256">
        <v>0</v>
      </c>
      <c r="X98" s="256">
        <v>0</v>
      </c>
      <c r="Y98" s="256">
        <v>0</v>
      </c>
      <c r="AA98" s="262" t="s">
        <v>57</v>
      </c>
      <c r="AB98" s="262" t="s">
        <v>101</v>
      </c>
      <c r="AC98" s="263" t="s">
        <v>180</v>
      </c>
      <c r="AD98" s="264">
        <v>0</v>
      </c>
      <c r="AE98" s="264">
        <v>0</v>
      </c>
      <c r="AF98" s="264">
        <v>0</v>
      </c>
      <c r="AG98" s="264">
        <v>0</v>
      </c>
      <c r="AH98" s="264">
        <v>0</v>
      </c>
      <c r="AI98" s="264">
        <v>0</v>
      </c>
      <c r="AJ98" s="264">
        <v>0</v>
      </c>
      <c r="AK98" s="264">
        <v>0</v>
      </c>
      <c r="AL98" s="264">
        <v>0</v>
      </c>
    </row>
    <row r="99" spans="1:38" ht="13.95" customHeight="1" x14ac:dyDescent="0.55000000000000004">
      <c r="A99" s="255" t="s">
        <v>57</v>
      </c>
      <c r="B99" s="255" t="s">
        <v>102</v>
      </c>
      <c r="C99" s="255" t="s">
        <v>181</v>
      </c>
      <c r="D99" s="256">
        <f t="shared" si="6"/>
        <v>0</v>
      </c>
      <c r="E99" s="256">
        <f t="shared" si="5"/>
        <v>0</v>
      </c>
      <c r="F99" s="256">
        <f t="shared" si="5"/>
        <v>0</v>
      </c>
      <c r="G99" s="256">
        <f t="shared" si="5"/>
        <v>0</v>
      </c>
      <c r="H99" s="256">
        <f t="shared" si="5"/>
        <v>0</v>
      </c>
      <c r="I99" s="256">
        <f t="shared" si="5"/>
        <v>85578.602358998614</v>
      </c>
      <c r="J99" s="256">
        <f t="shared" si="5"/>
        <v>0</v>
      </c>
      <c r="K99" s="256">
        <f t="shared" si="5"/>
        <v>69916</v>
      </c>
      <c r="L99" s="256">
        <f t="shared" si="5"/>
        <v>155494.60235899861</v>
      </c>
      <c r="N99" s="255" t="s">
        <v>57</v>
      </c>
      <c r="O99" s="255" t="s">
        <v>102</v>
      </c>
      <c r="P99" s="255" t="s">
        <v>181</v>
      </c>
      <c r="Q99" s="256">
        <v>0</v>
      </c>
      <c r="R99" s="256">
        <v>0</v>
      </c>
      <c r="S99" s="256">
        <v>0</v>
      </c>
      <c r="T99" s="256">
        <v>0</v>
      </c>
      <c r="U99" s="256">
        <v>0</v>
      </c>
      <c r="V99" s="256">
        <v>83856</v>
      </c>
      <c r="W99" s="256">
        <v>0</v>
      </c>
      <c r="X99" s="256">
        <v>69916</v>
      </c>
      <c r="Y99" s="256">
        <v>153772</v>
      </c>
      <c r="AA99" s="262" t="s">
        <v>57</v>
      </c>
      <c r="AB99" s="262" t="s">
        <v>102</v>
      </c>
      <c r="AC99" s="263" t="s">
        <v>181</v>
      </c>
      <c r="AD99" s="264">
        <v>0</v>
      </c>
      <c r="AE99" s="264">
        <v>0</v>
      </c>
      <c r="AF99" s="264">
        <v>0</v>
      </c>
      <c r="AG99" s="264">
        <v>0</v>
      </c>
      <c r="AH99" s="264">
        <v>0</v>
      </c>
      <c r="AI99" s="264">
        <v>1722.6023589986114</v>
      </c>
      <c r="AJ99" s="264">
        <v>0</v>
      </c>
      <c r="AK99" s="264">
        <v>0</v>
      </c>
      <c r="AL99" s="264">
        <v>1722.6023589986114</v>
      </c>
    </row>
    <row r="100" spans="1:38" ht="13.95" customHeight="1" x14ac:dyDescent="0.55000000000000004">
      <c r="A100" s="255" t="s">
        <v>57</v>
      </c>
      <c r="B100" s="255" t="s">
        <v>103</v>
      </c>
      <c r="C100" s="255" t="s">
        <v>182</v>
      </c>
      <c r="D100" s="256">
        <f t="shared" si="6"/>
        <v>95208.414217038386</v>
      </c>
      <c r="E100" s="256">
        <f t="shared" si="5"/>
        <v>0</v>
      </c>
      <c r="F100" s="256">
        <f t="shared" si="5"/>
        <v>8550.083589460688</v>
      </c>
      <c r="G100" s="256">
        <f t="shared" si="5"/>
        <v>0</v>
      </c>
      <c r="H100" s="256">
        <f t="shared" si="5"/>
        <v>0</v>
      </c>
      <c r="I100" s="256">
        <f t="shared" si="5"/>
        <v>0</v>
      </c>
      <c r="J100" s="256">
        <f t="shared" si="5"/>
        <v>0</v>
      </c>
      <c r="K100" s="256">
        <f t="shared" si="5"/>
        <v>0</v>
      </c>
      <c r="L100" s="256">
        <f t="shared" si="5"/>
        <v>103758.49780649907</v>
      </c>
      <c r="N100" s="255" t="s">
        <v>57</v>
      </c>
      <c r="O100" s="255" t="s">
        <v>103</v>
      </c>
      <c r="P100" s="255" t="s">
        <v>182</v>
      </c>
      <c r="Q100" s="256">
        <v>93360</v>
      </c>
      <c r="R100" s="256">
        <v>0</v>
      </c>
      <c r="S100" s="256">
        <v>8512</v>
      </c>
      <c r="T100" s="256">
        <v>0</v>
      </c>
      <c r="U100" s="256">
        <v>0</v>
      </c>
      <c r="V100" s="256">
        <v>0</v>
      </c>
      <c r="W100" s="256">
        <v>0</v>
      </c>
      <c r="X100" s="256">
        <v>0</v>
      </c>
      <c r="Y100" s="256">
        <v>101872</v>
      </c>
      <c r="AA100" s="262" t="s">
        <v>57</v>
      </c>
      <c r="AB100" s="262" t="s">
        <v>103</v>
      </c>
      <c r="AC100" s="263" t="s">
        <v>182</v>
      </c>
      <c r="AD100" s="264">
        <v>1848.4142170383839</v>
      </c>
      <c r="AE100" s="264">
        <v>0</v>
      </c>
      <c r="AF100" s="264">
        <v>38.083589460687818</v>
      </c>
      <c r="AG100" s="264">
        <v>0</v>
      </c>
      <c r="AH100" s="264">
        <v>0</v>
      </c>
      <c r="AI100" s="264">
        <v>0</v>
      </c>
      <c r="AJ100" s="264">
        <v>0</v>
      </c>
      <c r="AK100" s="264">
        <v>0</v>
      </c>
      <c r="AL100" s="264">
        <v>1886.4978064990717</v>
      </c>
    </row>
    <row r="101" spans="1:38" ht="13.95" customHeight="1" x14ac:dyDescent="0.55000000000000004">
      <c r="A101" s="255" t="s">
        <v>57</v>
      </c>
      <c r="B101" s="255" t="s">
        <v>104</v>
      </c>
      <c r="C101" s="255" t="s">
        <v>183</v>
      </c>
      <c r="D101" s="256">
        <f t="shared" si="6"/>
        <v>672</v>
      </c>
      <c r="E101" s="256">
        <f t="shared" si="5"/>
        <v>0</v>
      </c>
      <c r="F101" s="256">
        <f t="shared" si="5"/>
        <v>0</v>
      </c>
      <c r="G101" s="256">
        <f t="shared" si="5"/>
        <v>0</v>
      </c>
      <c r="H101" s="256">
        <f t="shared" si="5"/>
        <v>0</v>
      </c>
      <c r="I101" s="256">
        <f t="shared" si="5"/>
        <v>0</v>
      </c>
      <c r="J101" s="256">
        <f t="shared" si="5"/>
        <v>0</v>
      </c>
      <c r="K101" s="256">
        <f t="shared" si="5"/>
        <v>0</v>
      </c>
      <c r="L101" s="256">
        <f t="shared" si="5"/>
        <v>672</v>
      </c>
      <c r="N101" s="255" t="s">
        <v>57</v>
      </c>
      <c r="O101" s="255" t="s">
        <v>104</v>
      </c>
      <c r="P101" s="255" t="s">
        <v>183</v>
      </c>
      <c r="Q101" s="256">
        <v>672</v>
      </c>
      <c r="R101" s="256">
        <v>0</v>
      </c>
      <c r="S101" s="256">
        <v>0</v>
      </c>
      <c r="T101" s="256">
        <v>0</v>
      </c>
      <c r="U101" s="256">
        <v>0</v>
      </c>
      <c r="V101" s="256">
        <v>0</v>
      </c>
      <c r="W101" s="256">
        <v>0</v>
      </c>
      <c r="X101" s="256">
        <v>0</v>
      </c>
      <c r="Y101" s="256">
        <v>672</v>
      </c>
      <c r="AA101" s="262" t="s">
        <v>57</v>
      </c>
      <c r="AB101" s="262" t="s">
        <v>104</v>
      </c>
      <c r="AC101" s="263" t="s">
        <v>183</v>
      </c>
      <c r="AD101" s="264">
        <v>0</v>
      </c>
      <c r="AE101" s="264">
        <v>0</v>
      </c>
      <c r="AF101" s="264">
        <v>0</v>
      </c>
      <c r="AG101" s="264">
        <v>0</v>
      </c>
      <c r="AH101" s="264">
        <v>0</v>
      </c>
      <c r="AI101" s="264">
        <v>0</v>
      </c>
      <c r="AJ101" s="264">
        <v>0</v>
      </c>
      <c r="AK101" s="264">
        <v>0</v>
      </c>
      <c r="AL101" s="264">
        <v>0</v>
      </c>
    </row>
    <row r="102" spans="1:38" ht="13.95" customHeight="1" x14ac:dyDescent="0.55000000000000004">
      <c r="A102" s="255" t="s">
        <v>57</v>
      </c>
      <c r="B102" s="255" t="s">
        <v>105</v>
      </c>
      <c r="C102" s="255" t="s">
        <v>184</v>
      </c>
      <c r="D102" s="256">
        <f t="shared" si="6"/>
        <v>0</v>
      </c>
      <c r="E102" s="256">
        <f t="shared" si="5"/>
        <v>0</v>
      </c>
      <c r="F102" s="256">
        <f t="shared" si="5"/>
        <v>0</v>
      </c>
      <c r="G102" s="256">
        <f t="shared" si="5"/>
        <v>0</v>
      </c>
      <c r="H102" s="256">
        <f t="shared" si="5"/>
        <v>0</v>
      </c>
      <c r="I102" s="256">
        <f t="shared" si="5"/>
        <v>65514.09294139281</v>
      </c>
      <c r="J102" s="256">
        <f t="shared" si="5"/>
        <v>0</v>
      </c>
      <c r="K102" s="256">
        <f t="shared" si="5"/>
        <v>0</v>
      </c>
      <c r="L102" s="256">
        <f t="shared" si="5"/>
        <v>65514.09294139281</v>
      </c>
      <c r="N102" s="255" t="s">
        <v>57</v>
      </c>
      <c r="O102" s="255" t="s">
        <v>105</v>
      </c>
      <c r="P102" s="255" t="s">
        <v>184</v>
      </c>
      <c r="Q102" s="256">
        <v>0</v>
      </c>
      <c r="R102" s="256">
        <v>0</v>
      </c>
      <c r="S102" s="256">
        <v>0</v>
      </c>
      <c r="T102" s="256">
        <v>0</v>
      </c>
      <c r="U102" s="256">
        <v>0</v>
      </c>
      <c r="V102" s="256">
        <v>64528</v>
      </c>
      <c r="W102" s="256">
        <v>0</v>
      </c>
      <c r="X102" s="256">
        <v>0</v>
      </c>
      <c r="Y102" s="256">
        <v>64528</v>
      </c>
      <c r="AA102" s="262" t="s">
        <v>57</v>
      </c>
      <c r="AB102" s="262" t="s">
        <v>105</v>
      </c>
      <c r="AC102" s="263" t="s">
        <v>184</v>
      </c>
      <c r="AD102" s="264">
        <v>0</v>
      </c>
      <c r="AE102" s="264">
        <v>0</v>
      </c>
      <c r="AF102" s="264">
        <v>0</v>
      </c>
      <c r="AG102" s="264">
        <v>0</v>
      </c>
      <c r="AH102" s="264">
        <v>0</v>
      </c>
      <c r="AI102" s="264">
        <v>986.09294139280962</v>
      </c>
      <c r="AJ102" s="264">
        <v>0</v>
      </c>
      <c r="AK102" s="264">
        <v>0</v>
      </c>
      <c r="AL102" s="264">
        <v>986.09294139280962</v>
      </c>
    </row>
    <row r="103" spans="1:38" ht="13.95" customHeight="1" x14ac:dyDescent="0.55000000000000004">
      <c r="A103" s="255" t="s">
        <v>57</v>
      </c>
      <c r="B103" s="255" t="s">
        <v>106</v>
      </c>
      <c r="C103" s="255" t="s">
        <v>185</v>
      </c>
      <c r="D103" s="256">
        <f t="shared" si="6"/>
        <v>0</v>
      </c>
      <c r="E103" s="256">
        <f t="shared" si="5"/>
        <v>0</v>
      </c>
      <c r="F103" s="256">
        <f t="shared" si="5"/>
        <v>0</v>
      </c>
      <c r="G103" s="256">
        <f t="shared" si="5"/>
        <v>0</v>
      </c>
      <c r="H103" s="256">
        <f t="shared" si="5"/>
        <v>0</v>
      </c>
      <c r="I103" s="256">
        <f t="shared" si="5"/>
        <v>0</v>
      </c>
      <c r="J103" s="256">
        <f t="shared" si="5"/>
        <v>0</v>
      </c>
      <c r="K103" s="256">
        <f t="shared" si="5"/>
        <v>0</v>
      </c>
      <c r="L103" s="256">
        <f t="shared" si="5"/>
        <v>0</v>
      </c>
      <c r="N103" s="255" t="s">
        <v>57</v>
      </c>
      <c r="O103" s="255" t="s">
        <v>106</v>
      </c>
      <c r="P103" s="255" t="s">
        <v>185</v>
      </c>
      <c r="Q103" s="256">
        <v>0</v>
      </c>
      <c r="R103" s="256">
        <v>0</v>
      </c>
      <c r="S103" s="256">
        <v>0</v>
      </c>
      <c r="T103" s="256">
        <v>0</v>
      </c>
      <c r="U103" s="256">
        <v>0</v>
      </c>
      <c r="V103" s="256">
        <v>0</v>
      </c>
      <c r="W103" s="256">
        <v>0</v>
      </c>
      <c r="X103" s="256">
        <v>0</v>
      </c>
      <c r="Y103" s="256">
        <v>0</v>
      </c>
      <c r="AA103" s="262" t="s">
        <v>57</v>
      </c>
      <c r="AB103" s="262" t="s">
        <v>106</v>
      </c>
      <c r="AC103" s="263" t="s">
        <v>185</v>
      </c>
      <c r="AD103" s="264">
        <v>0</v>
      </c>
      <c r="AE103" s="264">
        <v>0</v>
      </c>
      <c r="AF103" s="264">
        <v>0</v>
      </c>
      <c r="AG103" s="264">
        <v>0</v>
      </c>
      <c r="AH103" s="264">
        <v>0</v>
      </c>
      <c r="AI103" s="264">
        <v>0</v>
      </c>
      <c r="AJ103" s="264">
        <v>0</v>
      </c>
      <c r="AK103" s="264">
        <v>0</v>
      </c>
      <c r="AL103" s="264">
        <v>0</v>
      </c>
    </row>
    <row r="104" spans="1:38" ht="13.95" customHeight="1" x14ac:dyDescent="0.55000000000000004">
      <c r="A104" s="255" t="s">
        <v>57</v>
      </c>
      <c r="B104" s="255" t="s">
        <v>107</v>
      </c>
      <c r="C104" s="255" t="s">
        <v>186</v>
      </c>
      <c r="D104" s="256">
        <f t="shared" si="6"/>
        <v>1728</v>
      </c>
      <c r="E104" s="256">
        <f t="shared" si="5"/>
        <v>0</v>
      </c>
      <c r="F104" s="256">
        <f t="shared" si="5"/>
        <v>0</v>
      </c>
      <c r="G104" s="256">
        <f t="shared" si="5"/>
        <v>0</v>
      </c>
      <c r="H104" s="256">
        <f t="shared" si="5"/>
        <v>0</v>
      </c>
      <c r="I104" s="256">
        <f t="shared" si="5"/>
        <v>70434.131399900172</v>
      </c>
      <c r="J104" s="256">
        <f t="shared" si="5"/>
        <v>0</v>
      </c>
      <c r="K104" s="256">
        <f t="shared" si="5"/>
        <v>2325</v>
      </c>
      <c r="L104" s="256">
        <f t="shared" si="5"/>
        <v>74487.131399900172</v>
      </c>
      <c r="N104" s="255" t="s">
        <v>57</v>
      </c>
      <c r="O104" s="255" t="s">
        <v>107</v>
      </c>
      <c r="P104" s="255" t="s">
        <v>186</v>
      </c>
      <c r="Q104" s="256">
        <v>1728</v>
      </c>
      <c r="R104" s="256">
        <v>0</v>
      </c>
      <c r="S104" s="256">
        <v>0</v>
      </c>
      <c r="T104" s="256">
        <v>0</v>
      </c>
      <c r="U104" s="256">
        <v>0</v>
      </c>
      <c r="V104" s="256">
        <v>69040</v>
      </c>
      <c r="W104" s="256">
        <v>0</v>
      </c>
      <c r="X104" s="256">
        <v>2325</v>
      </c>
      <c r="Y104" s="256">
        <v>73093</v>
      </c>
      <c r="AA104" s="262" t="s">
        <v>57</v>
      </c>
      <c r="AB104" s="262" t="s">
        <v>107</v>
      </c>
      <c r="AC104" s="263" t="s">
        <v>186</v>
      </c>
      <c r="AD104" s="264">
        <v>0</v>
      </c>
      <c r="AE104" s="264">
        <v>0</v>
      </c>
      <c r="AF104" s="264">
        <v>0</v>
      </c>
      <c r="AG104" s="264">
        <v>0</v>
      </c>
      <c r="AH104" s="264">
        <v>0</v>
      </c>
      <c r="AI104" s="264">
        <v>1394.1313999001791</v>
      </c>
      <c r="AJ104" s="264">
        <v>0</v>
      </c>
      <c r="AK104" s="264">
        <v>0</v>
      </c>
      <c r="AL104" s="264">
        <v>1394.1313999001791</v>
      </c>
    </row>
    <row r="105" spans="1:38" ht="13.95" customHeight="1" x14ac:dyDescent="0.55000000000000004">
      <c r="A105" s="255" t="s">
        <v>57</v>
      </c>
      <c r="B105" s="255" t="s">
        <v>108</v>
      </c>
      <c r="C105" s="255" t="s">
        <v>187</v>
      </c>
      <c r="D105" s="256">
        <f t="shared" si="6"/>
        <v>0</v>
      </c>
      <c r="E105" s="256">
        <f t="shared" si="5"/>
        <v>0</v>
      </c>
      <c r="F105" s="256">
        <f t="shared" si="5"/>
        <v>0</v>
      </c>
      <c r="G105" s="256">
        <f t="shared" si="5"/>
        <v>0</v>
      </c>
      <c r="H105" s="256">
        <f t="shared" si="5"/>
        <v>0</v>
      </c>
      <c r="I105" s="256">
        <f t="shared" si="5"/>
        <v>0</v>
      </c>
      <c r="J105" s="256">
        <f t="shared" si="5"/>
        <v>0</v>
      </c>
      <c r="K105" s="256">
        <f t="shared" si="5"/>
        <v>0</v>
      </c>
      <c r="L105" s="256">
        <f t="shared" si="5"/>
        <v>0</v>
      </c>
      <c r="N105" s="255" t="s">
        <v>57</v>
      </c>
      <c r="O105" s="255" t="s">
        <v>108</v>
      </c>
      <c r="P105" s="255" t="s">
        <v>187</v>
      </c>
      <c r="Q105" s="256">
        <v>0</v>
      </c>
      <c r="R105" s="256">
        <v>0</v>
      </c>
      <c r="S105" s="256">
        <v>0</v>
      </c>
      <c r="T105" s="256">
        <v>0</v>
      </c>
      <c r="U105" s="256">
        <v>0</v>
      </c>
      <c r="V105" s="256">
        <v>0</v>
      </c>
      <c r="W105" s="256">
        <v>0</v>
      </c>
      <c r="X105" s="256">
        <v>0</v>
      </c>
      <c r="Y105" s="256">
        <v>0</v>
      </c>
      <c r="AA105" s="262" t="s">
        <v>57</v>
      </c>
      <c r="AB105" s="262" t="s">
        <v>108</v>
      </c>
      <c r="AC105" s="263" t="s">
        <v>187</v>
      </c>
      <c r="AD105" s="264">
        <v>0</v>
      </c>
      <c r="AE105" s="264">
        <v>0</v>
      </c>
      <c r="AF105" s="264">
        <v>0</v>
      </c>
      <c r="AG105" s="264">
        <v>0</v>
      </c>
      <c r="AH105" s="264">
        <v>0</v>
      </c>
      <c r="AI105" s="264">
        <v>0</v>
      </c>
      <c r="AJ105" s="264">
        <v>0</v>
      </c>
      <c r="AK105" s="264">
        <v>0</v>
      </c>
      <c r="AL105" s="264">
        <v>0</v>
      </c>
    </row>
    <row r="106" spans="1:38" ht="13.95" customHeight="1" x14ac:dyDescent="0.55000000000000004">
      <c r="A106" s="255" t="s">
        <v>57</v>
      </c>
      <c r="B106" s="255" t="s">
        <v>109</v>
      </c>
      <c r="C106" s="255" t="s">
        <v>188</v>
      </c>
      <c r="D106" s="256">
        <f t="shared" si="6"/>
        <v>0</v>
      </c>
      <c r="E106" s="256">
        <f t="shared" si="5"/>
        <v>0</v>
      </c>
      <c r="F106" s="256">
        <f t="shared" si="5"/>
        <v>0</v>
      </c>
      <c r="G106" s="256">
        <f t="shared" si="5"/>
        <v>0</v>
      </c>
      <c r="H106" s="256">
        <f t="shared" si="5"/>
        <v>0</v>
      </c>
      <c r="I106" s="256">
        <f t="shared" si="5"/>
        <v>106507.78889852103</v>
      </c>
      <c r="J106" s="256">
        <f t="shared" si="5"/>
        <v>0</v>
      </c>
      <c r="K106" s="256">
        <f t="shared" si="5"/>
        <v>0</v>
      </c>
      <c r="L106" s="256">
        <f t="shared" si="5"/>
        <v>106507.78889852103</v>
      </c>
      <c r="N106" s="255" t="s">
        <v>57</v>
      </c>
      <c r="O106" s="255" t="s">
        <v>109</v>
      </c>
      <c r="P106" s="255" t="s">
        <v>188</v>
      </c>
      <c r="Q106" s="256">
        <v>0</v>
      </c>
      <c r="R106" s="256">
        <v>0</v>
      </c>
      <c r="S106" s="256">
        <v>0</v>
      </c>
      <c r="T106" s="256">
        <v>0</v>
      </c>
      <c r="U106" s="256">
        <v>0</v>
      </c>
      <c r="V106" s="256">
        <v>104928</v>
      </c>
      <c r="W106" s="256">
        <v>0</v>
      </c>
      <c r="X106" s="256">
        <v>0</v>
      </c>
      <c r="Y106" s="256">
        <v>104928</v>
      </c>
      <c r="AA106" s="262" t="s">
        <v>57</v>
      </c>
      <c r="AB106" s="262" t="s">
        <v>109</v>
      </c>
      <c r="AC106" s="263" t="s">
        <v>188</v>
      </c>
      <c r="AD106" s="264">
        <v>0</v>
      </c>
      <c r="AE106" s="264">
        <v>0</v>
      </c>
      <c r="AF106" s="264">
        <v>0</v>
      </c>
      <c r="AG106" s="264">
        <v>0</v>
      </c>
      <c r="AH106" s="264">
        <v>0</v>
      </c>
      <c r="AI106" s="264">
        <v>1579.7888985210323</v>
      </c>
      <c r="AJ106" s="264">
        <v>0</v>
      </c>
      <c r="AK106" s="264">
        <v>0</v>
      </c>
      <c r="AL106" s="264">
        <v>1579.7888985210323</v>
      </c>
    </row>
    <row r="107" spans="1:38" ht="13.95" customHeight="1" x14ac:dyDescent="0.55000000000000004">
      <c r="A107" s="255" t="s">
        <v>57</v>
      </c>
      <c r="B107" s="255" t="s">
        <v>110</v>
      </c>
      <c r="C107" s="255" t="s">
        <v>189</v>
      </c>
      <c r="D107" s="256">
        <f t="shared" si="6"/>
        <v>0</v>
      </c>
      <c r="E107" s="256">
        <f t="shared" si="5"/>
        <v>32842.425828145111</v>
      </c>
      <c r="F107" s="256">
        <f t="shared" si="5"/>
        <v>0</v>
      </c>
      <c r="G107" s="256">
        <f t="shared" si="5"/>
        <v>15538.572306722359</v>
      </c>
      <c r="H107" s="256">
        <f t="shared" si="5"/>
        <v>0</v>
      </c>
      <c r="I107" s="256">
        <f t="shared" si="5"/>
        <v>6405.144613444716</v>
      </c>
      <c r="J107" s="256">
        <f t="shared" si="5"/>
        <v>0</v>
      </c>
      <c r="K107" s="256">
        <f t="shared" si="5"/>
        <v>0</v>
      </c>
      <c r="L107" s="256">
        <f t="shared" si="5"/>
        <v>54786.142748312188</v>
      </c>
      <c r="N107" s="255" t="s">
        <v>57</v>
      </c>
      <c r="O107" s="255" t="s">
        <v>110</v>
      </c>
      <c r="P107" s="255" t="s">
        <v>189</v>
      </c>
      <c r="Q107" s="256">
        <v>0</v>
      </c>
      <c r="R107" s="256">
        <v>32144</v>
      </c>
      <c r="S107" s="256">
        <v>0</v>
      </c>
      <c r="T107" s="256">
        <v>15408</v>
      </c>
      <c r="U107" s="256">
        <v>0</v>
      </c>
      <c r="V107" s="256">
        <v>6144</v>
      </c>
      <c r="W107" s="256">
        <v>0</v>
      </c>
      <c r="X107" s="256">
        <v>0</v>
      </c>
      <c r="Y107" s="256">
        <v>53696</v>
      </c>
      <c r="AA107" s="262" t="s">
        <v>57</v>
      </c>
      <c r="AB107" s="262" t="s">
        <v>110</v>
      </c>
      <c r="AC107" s="263" t="s">
        <v>189</v>
      </c>
      <c r="AD107" s="264">
        <v>0</v>
      </c>
      <c r="AE107" s="264">
        <v>698.42582814511411</v>
      </c>
      <c r="AF107" s="264">
        <v>0</v>
      </c>
      <c r="AG107" s="264">
        <v>130.57230672235823</v>
      </c>
      <c r="AH107" s="264">
        <v>0</v>
      </c>
      <c r="AI107" s="264">
        <v>261.14461344471647</v>
      </c>
      <c r="AJ107" s="264">
        <v>0</v>
      </c>
      <c r="AK107" s="264">
        <v>0</v>
      </c>
      <c r="AL107" s="264">
        <v>1090.1427483121888</v>
      </c>
    </row>
    <row r="108" spans="1:38" ht="13.95" customHeight="1" x14ac:dyDescent="0.55000000000000004">
      <c r="A108" s="255" t="s">
        <v>57</v>
      </c>
      <c r="B108" s="255" t="s">
        <v>111</v>
      </c>
      <c r="C108" s="255" t="s">
        <v>190</v>
      </c>
      <c r="D108" s="256">
        <f t="shared" si="6"/>
        <v>0</v>
      </c>
      <c r="E108" s="256">
        <f t="shared" si="5"/>
        <v>0</v>
      </c>
      <c r="F108" s="256">
        <f t="shared" si="5"/>
        <v>0</v>
      </c>
      <c r="G108" s="256">
        <f t="shared" si="5"/>
        <v>0</v>
      </c>
      <c r="H108" s="256">
        <f t="shared" si="5"/>
        <v>36530.080121890351</v>
      </c>
      <c r="I108" s="256">
        <f t="shared" si="5"/>
        <v>0</v>
      </c>
      <c r="J108" s="256">
        <f t="shared" si="5"/>
        <v>0</v>
      </c>
      <c r="K108" s="256">
        <f t="shared" si="5"/>
        <v>0</v>
      </c>
      <c r="L108" s="256">
        <f t="shared" si="5"/>
        <v>36530.080121890351</v>
      </c>
      <c r="N108" s="255" t="s">
        <v>57</v>
      </c>
      <c r="O108" s="255" t="s">
        <v>111</v>
      </c>
      <c r="P108" s="255" t="s">
        <v>190</v>
      </c>
      <c r="Q108" s="256">
        <v>0</v>
      </c>
      <c r="R108" s="256">
        <v>0</v>
      </c>
      <c r="S108" s="256">
        <v>0</v>
      </c>
      <c r="T108" s="256">
        <v>0</v>
      </c>
      <c r="U108" s="256">
        <v>35680</v>
      </c>
      <c r="V108" s="256">
        <v>0</v>
      </c>
      <c r="W108" s="256">
        <v>0</v>
      </c>
      <c r="X108" s="256">
        <v>0</v>
      </c>
      <c r="Y108" s="256">
        <v>35680</v>
      </c>
      <c r="AA108" s="262" t="s">
        <v>57</v>
      </c>
      <c r="AB108" s="262" t="s">
        <v>111</v>
      </c>
      <c r="AC108" s="263" t="s">
        <v>190</v>
      </c>
      <c r="AD108" s="264">
        <v>0</v>
      </c>
      <c r="AE108" s="264">
        <v>0</v>
      </c>
      <c r="AF108" s="264">
        <v>0</v>
      </c>
      <c r="AG108" s="264">
        <v>0</v>
      </c>
      <c r="AH108" s="264">
        <v>850.0801218903531</v>
      </c>
      <c r="AI108" s="264">
        <v>0</v>
      </c>
      <c r="AJ108" s="264">
        <v>0</v>
      </c>
      <c r="AK108" s="264">
        <v>0</v>
      </c>
      <c r="AL108" s="264">
        <v>850.0801218903531</v>
      </c>
    </row>
    <row r="109" spans="1:38" ht="13.95" customHeight="1" x14ac:dyDescent="0.55000000000000004">
      <c r="A109" s="255" t="s">
        <v>57</v>
      </c>
      <c r="B109" s="255" t="s">
        <v>112</v>
      </c>
      <c r="C109" s="255" t="s">
        <v>191</v>
      </c>
      <c r="D109" s="256">
        <f t="shared" si="6"/>
        <v>0</v>
      </c>
      <c r="E109" s="256">
        <f t="shared" si="5"/>
        <v>0</v>
      </c>
      <c r="F109" s="256">
        <f t="shared" si="5"/>
        <v>0</v>
      </c>
      <c r="G109" s="256">
        <f t="shared" si="5"/>
        <v>0</v>
      </c>
      <c r="H109" s="256">
        <f t="shared" si="5"/>
        <v>0</v>
      </c>
      <c r="I109" s="256">
        <f t="shared" si="5"/>
        <v>0</v>
      </c>
      <c r="J109" s="256">
        <f t="shared" si="5"/>
        <v>80200</v>
      </c>
      <c r="K109" s="256">
        <f t="shared" si="5"/>
        <v>0</v>
      </c>
      <c r="L109" s="256">
        <f t="shared" si="5"/>
        <v>80200</v>
      </c>
      <c r="N109" s="255" t="s">
        <v>57</v>
      </c>
      <c r="O109" s="255" t="s">
        <v>112</v>
      </c>
      <c r="P109" s="255" t="s">
        <v>191</v>
      </c>
      <c r="Q109" s="256">
        <v>0</v>
      </c>
      <c r="R109" s="256">
        <v>0</v>
      </c>
      <c r="S109" s="256">
        <v>0</v>
      </c>
      <c r="T109" s="256">
        <v>0</v>
      </c>
      <c r="U109" s="256">
        <v>0</v>
      </c>
      <c r="V109" s="256">
        <v>0</v>
      </c>
      <c r="W109" s="256">
        <v>80200</v>
      </c>
      <c r="X109" s="256">
        <v>0</v>
      </c>
      <c r="Y109" s="256">
        <v>80200</v>
      </c>
      <c r="AA109" s="262" t="s">
        <v>57</v>
      </c>
      <c r="AB109" s="262" t="s">
        <v>112</v>
      </c>
      <c r="AC109" s="263" t="s">
        <v>191</v>
      </c>
      <c r="AD109" s="264">
        <v>0</v>
      </c>
      <c r="AE109" s="264">
        <v>0</v>
      </c>
      <c r="AF109" s="264">
        <v>0</v>
      </c>
      <c r="AG109" s="264">
        <v>0</v>
      </c>
      <c r="AH109" s="264">
        <v>0</v>
      </c>
      <c r="AI109" s="264">
        <v>0</v>
      </c>
      <c r="AJ109" s="264">
        <v>0</v>
      </c>
      <c r="AK109" s="264">
        <v>0</v>
      </c>
      <c r="AL109" s="264">
        <v>0</v>
      </c>
    </row>
    <row r="110" spans="1:38" ht="13.95" customHeight="1" x14ac:dyDescent="0.55000000000000004">
      <c r="A110" s="255" t="s">
        <v>57</v>
      </c>
      <c r="B110" s="255" t="s">
        <v>113</v>
      </c>
      <c r="C110" s="255" t="s">
        <v>192</v>
      </c>
      <c r="D110" s="256">
        <f t="shared" si="6"/>
        <v>0</v>
      </c>
      <c r="E110" s="256">
        <f t="shared" si="5"/>
        <v>0</v>
      </c>
      <c r="F110" s="256">
        <f t="shared" si="5"/>
        <v>0</v>
      </c>
      <c r="G110" s="256">
        <f t="shared" si="5"/>
        <v>0</v>
      </c>
      <c r="H110" s="256">
        <f t="shared" si="5"/>
        <v>864</v>
      </c>
      <c r="I110" s="256">
        <f t="shared" si="5"/>
        <v>0</v>
      </c>
      <c r="J110" s="256">
        <f t="shared" si="5"/>
        <v>7104</v>
      </c>
      <c r="K110" s="256">
        <f t="shared" si="5"/>
        <v>0</v>
      </c>
      <c r="L110" s="256">
        <f t="shared" si="5"/>
        <v>7968</v>
      </c>
      <c r="N110" s="255" t="s">
        <v>57</v>
      </c>
      <c r="O110" s="255" t="s">
        <v>113</v>
      </c>
      <c r="P110" s="255" t="s">
        <v>192</v>
      </c>
      <c r="Q110" s="256">
        <v>0</v>
      </c>
      <c r="R110" s="256">
        <v>0</v>
      </c>
      <c r="S110" s="256">
        <v>0</v>
      </c>
      <c r="T110" s="256">
        <v>0</v>
      </c>
      <c r="U110" s="256">
        <v>864</v>
      </c>
      <c r="V110" s="256">
        <v>0</v>
      </c>
      <c r="W110" s="256">
        <v>7104</v>
      </c>
      <c r="X110" s="256">
        <v>0</v>
      </c>
      <c r="Y110" s="256">
        <v>7968</v>
      </c>
      <c r="AA110" s="262" t="s">
        <v>57</v>
      </c>
      <c r="AB110" s="262" t="s">
        <v>113</v>
      </c>
      <c r="AC110" s="263" t="s">
        <v>192</v>
      </c>
      <c r="AD110" s="264">
        <v>0</v>
      </c>
      <c r="AE110" s="264">
        <v>0</v>
      </c>
      <c r="AF110" s="264">
        <v>0</v>
      </c>
      <c r="AG110" s="264">
        <v>0</v>
      </c>
      <c r="AH110" s="264">
        <v>0</v>
      </c>
      <c r="AI110" s="264">
        <v>0</v>
      </c>
      <c r="AJ110" s="264">
        <v>0</v>
      </c>
      <c r="AK110" s="264">
        <v>0</v>
      </c>
      <c r="AL110" s="264">
        <v>0</v>
      </c>
    </row>
    <row r="111" spans="1:38" ht="13.95" customHeight="1" x14ac:dyDescent="0.55000000000000004">
      <c r="A111" s="255" t="s">
        <v>57</v>
      </c>
      <c r="B111" s="255" t="s">
        <v>114</v>
      </c>
      <c r="C111" s="255" t="s">
        <v>193</v>
      </c>
      <c r="D111" s="256">
        <f t="shared" si="6"/>
        <v>3449.7684608716213</v>
      </c>
      <c r="E111" s="256">
        <f t="shared" si="5"/>
        <v>500.40192292536847</v>
      </c>
      <c r="F111" s="256">
        <f t="shared" si="5"/>
        <v>0</v>
      </c>
      <c r="G111" s="256">
        <f t="shared" si="5"/>
        <v>0</v>
      </c>
      <c r="H111" s="256">
        <f t="shared" si="5"/>
        <v>0</v>
      </c>
      <c r="I111" s="256">
        <f t="shared" si="5"/>
        <v>0</v>
      </c>
      <c r="J111" s="256">
        <f t="shared" si="5"/>
        <v>0</v>
      </c>
      <c r="K111" s="256">
        <f t="shared" si="5"/>
        <v>0</v>
      </c>
      <c r="L111" s="256">
        <f t="shared" si="5"/>
        <v>3950.1703837969899</v>
      </c>
      <c r="N111" s="255" t="s">
        <v>57</v>
      </c>
      <c r="O111" s="255" t="s">
        <v>114</v>
      </c>
      <c r="P111" s="255" t="s">
        <v>193</v>
      </c>
      <c r="Q111" s="256">
        <v>3360</v>
      </c>
      <c r="R111" s="256">
        <v>480</v>
      </c>
      <c r="S111" s="256">
        <v>0</v>
      </c>
      <c r="T111" s="256">
        <v>0</v>
      </c>
      <c r="U111" s="256">
        <v>0</v>
      </c>
      <c r="V111" s="256">
        <v>0</v>
      </c>
      <c r="W111" s="256">
        <v>0</v>
      </c>
      <c r="X111" s="256">
        <v>0</v>
      </c>
      <c r="Y111" s="256">
        <v>3840</v>
      </c>
      <c r="AA111" s="262" t="s">
        <v>57</v>
      </c>
      <c r="AB111" s="262" t="s">
        <v>114</v>
      </c>
      <c r="AC111" s="263" t="s">
        <v>193</v>
      </c>
      <c r="AD111" s="264">
        <v>89.768460871621286</v>
      </c>
      <c r="AE111" s="264">
        <v>20.401922925368474</v>
      </c>
      <c r="AF111" s="264">
        <v>0</v>
      </c>
      <c r="AG111" s="264">
        <v>0</v>
      </c>
      <c r="AH111" s="264">
        <v>0</v>
      </c>
      <c r="AI111" s="264">
        <v>0</v>
      </c>
      <c r="AJ111" s="264">
        <v>0</v>
      </c>
      <c r="AK111" s="264">
        <v>0</v>
      </c>
      <c r="AL111" s="264">
        <v>110.17038379698977</v>
      </c>
    </row>
    <row r="112" spans="1:38" ht="13.95" customHeight="1" x14ac:dyDescent="0.55000000000000004">
      <c r="A112" s="255" t="s">
        <v>57</v>
      </c>
      <c r="B112" s="255" t="s">
        <v>115</v>
      </c>
      <c r="C112" s="255" t="s">
        <v>194</v>
      </c>
      <c r="D112" s="256">
        <f t="shared" si="6"/>
        <v>6147.9694223343058</v>
      </c>
      <c r="E112" s="256">
        <f t="shared" si="5"/>
        <v>0</v>
      </c>
      <c r="F112" s="256">
        <f t="shared" si="5"/>
        <v>0</v>
      </c>
      <c r="G112" s="256">
        <f t="shared" si="5"/>
        <v>0</v>
      </c>
      <c r="H112" s="256">
        <f t="shared" si="5"/>
        <v>0</v>
      </c>
      <c r="I112" s="256">
        <f t="shared" si="5"/>
        <v>0</v>
      </c>
      <c r="J112" s="256">
        <f t="shared" si="5"/>
        <v>0</v>
      </c>
      <c r="K112" s="256">
        <f t="shared" si="5"/>
        <v>0</v>
      </c>
      <c r="L112" s="256">
        <f t="shared" si="5"/>
        <v>6147.9694223343058</v>
      </c>
      <c r="N112" s="255" t="s">
        <v>57</v>
      </c>
      <c r="O112" s="255" t="s">
        <v>115</v>
      </c>
      <c r="P112" s="255" t="s">
        <v>194</v>
      </c>
      <c r="Q112" s="256">
        <v>6048</v>
      </c>
      <c r="R112" s="256">
        <v>0</v>
      </c>
      <c r="S112" s="256">
        <v>0</v>
      </c>
      <c r="T112" s="256">
        <v>0</v>
      </c>
      <c r="U112" s="256">
        <v>0</v>
      </c>
      <c r="V112" s="256">
        <v>0</v>
      </c>
      <c r="W112" s="256">
        <v>0</v>
      </c>
      <c r="X112" s="256">
        <v>0</v>
      </c>
      <c r="Y112" s="256">
        <v>6048</v>
      </c>
      <c r="AA112" s="262" t="s">
        <v>57</v>
      </c>
      <c r="AB112" s="262" t="s">
        <v>115</v>
      </c>
      <c r="AC112" s="263" t="s">
        <v>194</v>
      </c>
      <c r="AD112" s="264">
        <v>99.96942233430552</v>
      </c>
      <c r="AE112" s="264">
        <v>0</v>
      </c>
      <c r="AF112" s="264">
        <v>0</v>
      </c>
      <c r="AG112" s="264">
        <v>0</v>
      </c>
      <c r="AH112" s="264">
        <v>0</v>
      </c>
      <c r="AI112" s="264">
        <v>0</v>
      </c>
      <c r="AJ112" s="264">
        <v>0</v>
      </c>
      <c r="AK112" s="264">
        <v>0</v>
      </c>
      <c r="AL112" s="264">
        <v>99.96942233430552</v>
      </c>
    </row>
    <row r="113" spans="1:38" ht="13.95" customHeight="1" x14ac:dyDescent="0.55000000000000004">
      <c r="A113" s="255" t="s">
        <v>57</v>
      </c>
      <c r="B113" s="255" t="s">
        <v>116</v>
      </c>
      <c r="C113" s="255" t="s">
        <v>195</v>
      </c>
      <c r="D113" s="256">
        <f t="shared" si="6"/>
        <v>171511.21927128485</v>
      </c>
      <c r="E113" s="256">
        <f t="shared" si="5"/>
        <v>0</v>
      </c>
      <c r="F113" s="256">
        <f t="shared" si="5"/>
        <v>0</v>
      </c>
      <c r="G113" s="256">
        <f t="shared" si="5"/>
        <v>0</v>
      </c>
      <c r="H113" s="256">
        <f t="shared" si="5"/>
        <v>0</v>
      </c>
      <c r="I113" s="256">
        <f t="shared" si="5"/>
        <v>0</v>
      </c>
      <c r="J113" s="256">
        <f t="shared" si="5"/>
        <v>0</v>
      </c>
      <c r="K113" s="256">
        <f t="shared" si="5"/>
        <v>0</v>
      </c>
      <c r="L113" s="256">
        <f t="shared" si="5"/>
        <v>171511.21927128485</v>
      </c>
      <c r="N113" s="255" t="s">
        <v>57</v>
      </c>
      <c r="O113" s="255" t="s">
        <v>116</v>
      </c>
      <c r="P113" s="255" t="s">
        <v>195</v>
      </c>
      <c r="Q113" s="256">
        <v>168336</v>
      </c>
      <c r="R113" s="256">
        <v>0</v>
      </c>
      <c r="S113" s="256">
        <v>0</v>
      </c>
      <c r="T113" s="256">
        <v>0</v>
      </c>
      <c r="U113" s="256">
        <v>0</v>
      </c>
      <c r="V113" s="256">
        <v>0</v>
      </c>
      <c r="W113" s="256">
        <v>0</v>
      </c>
      <c r="X113" s="256">
        <v>0</v>
      </c>
      <c r="Y113" s="256">
        <v>168336</v>
      </c>
      <c r="AA113" s="262" t="s">
        <v>57</v>
      </c>
      <c r="AB113" s="262" t="s">
        <v>116</v>
      </c>
      <c r="AC113" s="263" t="s">
        <v>195</v>
      </c>
      <c r="AD113" s="264">
        <v>3175.2192712848469</v>
      </c>
      <c r="AE113" s="264">
        <v>0</v>
      </c>
      <c r="AF113" s="264">
        <v>0</v>
      </c>
      <c r="AG113" s="264">
        <v>0</v>
      </c>
      <c r="AH113" s="264">
        <v>0</v>
      </c>
      <c r="AI113" s="264">
        <v>0</v>
      </c>
      <c r="AJ113" s="264">
        <v>0</v>
      </c>
      <c r="AK113" s="264">
        <v>0</v>
      </c>
      <c r="AL113" s="264">
        <v>3175.2192712848469</v>
      </c>
    </row>
    <row r="114" spans="1:38" ht="13.95" customHeight="1" x14ac:dyDescent="0.55000000000000004">
      <c r="A114" s="255" t="s">
        <v>57</v>
      </c>
      <c r="B114" s="255" t="s">
        <v>117</v>
      </c>
      <c r="C114" s="255" t="s">
        <v>196</v>
      </c>
      <c r="D114" s="256">
        <f t="shared" si="6"/>
        <v>76247.176399506134</v>
      </c>
      <c r="E114" s="256">
        <f t="shared" si="5"/>
        <v>0</v>
      </c>
      <c r="F114" s="256">
        <f t="shared" si="5"/>
        <v>0</v>
      </c>
      <c r="G114" s="256">
        <f t="shared" si="5"/>
        <v>0</v>
      </c>
      <c r="H114" s="256">
        <f t="shared" si="5"/>
        <v>13140.106023589986</v>
      </c>
      <c r="I114" s="256">
        <f t="shared" si="5"/>
        <v>0</v>
      </c>
      <c r="J114" s="256">
        <f t="shared" si="5"/>
        <v>0</v>
      </c>
      <c r="K114" s="256">
        <f t="shared" si="5"/>
        <v>0</v>
      </c>
      <c r="L114" s="256">
        <f t="shared" si="5"/>
        <v>89387.282423096127</v>
      </c>
      <c r="N114" s="255" t="s">
        <v>57</v>
      </c>
      <c r="O114" s="255" t="s">
        <v>117</v>
      </c>
      <c r="P114" s="255" t="s">
        <v>196</v>
      </c>
      <c r="Q114" s="256">
        <v>74800</v>
      </c>
      <c r="R114" s="256">
        <v>0</v>
      </c>
      <c r="S114" s="256">
        <v>0</v>
      </c>
      <c r="T114" s="256">
        <v>0</v>
      </c>
      <c r="U114" s="256">
        <v>12864</v>
      </c>
      <c r="V114" s="256">
        <v>0</v>
      </c>
      <c r="W114" s="256">
        <v>0</v>
      </c>
      <c r="X114" s="256">
        <v>0</v>
      </c>
      <c r="Y114" s="256">
        <v>87664</v>
      </c>
      <c r="AA114" s="262" t="s">
        <v>57</v>
      </c>
      <c r="AB114" s="262" t="s">
        <v>117</v>
      </c>
      <c r="AC114" s="263" t="s">
        <v>196</v>
      </c>
      <c r="AD114" s="264">
        <v>1447.1763995061372</v>
      </c>
      <c r="AE114" s="264">
        <v>0</v>
      </c>
      <c r="AF114" s="264">
        <v>0</v>
      </c>
      <c r="AG114" s="264">
        <v>0</v>
      </c>
      <c r="AH114" s="264">
        <v>276.10602358998671</v>
      </c>
      <c r="AI114" s="264">
        <v>0</v>
      </c>
      <c r="AJ114" s="264">
        <v>0</v>
      </c>
      <c r="AK114" s="264">
        <v>0</v>
      </c>
      <c r="AL114" s="264">
        <v>1723.2824230961237</v>
      </c>
    </row>
    <row r="115" spans="1:38" ht="13.95" customHeight="1" x14ac:dyDescent="0.55000000000000004">
      <c r="A115" s="255" t="s">
        <v>57</v>
      </c>
      <c r="B115" s="255" t="s">
        <v>118</v>
      </c>
      <c r="C115" s="255" t="s">
        <v>197</v>
      </c>
      <c r="D115" s="256">
        <f t="shared" si="6"/>
        <v>0</v>
      </c>
      <c r="E115" s="256">
        <f t="shared" si="5"/>
        <v>0</v>
      </c>
      <c r="F115" s="256">
        <f t="shared" si="5"/>
        <v>0</v>
      </c>
      <c r="G115" s="256">
        <f t="shared" si="5"/>
        <v>0</v>
      </c>
      <c r="H115" s="256">
        <f t="shared" si="5"/>
        <v>0</v>
      </c>
      <c r="I115" s="256">
        <f t="shared" si="5"/>
        <v>0</v>
      </c>
      <c r="J115" s="256">
        <f t="shared" si="5"/>
        <v>0</v>
      </c>
      <c r="K115" s="256">
        <f t="shared" si="5"/>
        <v>0</v>
      </c>
      <c r="L115" s="256">
        <f t="shared" si="5"/>
        <v>0</v>
      </c>
      <c r="N115" s="255" t="s">
        <v>57</v>
      </c>
      <c r="O115" s="255" t="s">
        <v>118</v>
      </c>
      <c r="P115" s="255" t="s">
        <v>197</v>
      </c>
      <c r="Q115" s="256">
        <v>0</v>
      </c>
      <c r="R115" s="256">
        <v>0</v>
      </c>
      <c r="S115" s="256">
        <v>0</v>
      </c>
      <c r="T115" s="256">
        <v>0</v>
      </c>
      <c r="U115" s="256">
        <v>0</v>
      </c>
      <c r="V115" s="256">
        <v>0</v>
      </c>
      <c r="W115" s="256">
        <v>0</v>
      </c>
      <c r="X115" s="256">
        <v>0</v>
      </c>
      <c r="Y115" s="256">
        <v>0</v>
      </c>
      <c r="AA115" s="262" t="s">
        <v>57</v>
      </c>
      <c r="AB115" s="262" t="s">
        <v>118</v>
      </c>
      <c r="AC115" s="263" t="s">
        <v>197</v>
      </c>
      <c r="AD115" s="264">
        <v>0</v>
      </c>
      <c r="AE115" s="264">
        <v>0</v>
      </c>
      <c r="AF115" s="264">
        <v>0</v>
      </c>
      <c r="AG115" s="264">
        <v>0</v>
      </c>
      <c r="AH115" s="264">
        <v>0</v>
      </c>
      <c r="AI115" s="264">
        <v>0</v>
      </c>
      <c r="AJ115" s="264">
        <v>0</v>
      </c>
      <c r="AK115" s="264">
        <v>0</v>
      </c>
      <c r="AL115" s="264">
        <v>0</v>
      </c>
    </row>
    <row r="116" spans="1:38" ht="13.95" customHeight="1" x14ac:dyDescent="0.55000000000000004">
      <c r="A116" s="255" t="s">
        <v>57</v>
      </c>
      <c r="B116" s="255" t="s">
        <v>119</v>
      </c>
      <c r="C116" s="255" t="s">
        <v>198</v>
      </c>
      <c r="D116" s="256">
        <f t="shared" si="6"/>
        <v>425360.74353114248</v>
      </c>
      <c r="E116" s="256">
        <f t="shared" si="5"/>
        <v>174471.44119578638</v>
      </c>
      <c r="F116" s="256">
        <f t="shared" si="5"/>
        <v>8550.083589460688</v>
      </c>
      <c r="G116" s="256">
        <f t="shared" si="5"/>
        <v>15538.572306722359</v>
      </c>
      <c r="H116" s="256">
        <f t="shared" si="5"/>
        <v>428567.49037223845</v>
      </c>
      <c r="I116" s="256">
        <f t="shared" si="5"/>
        <v>581742.60708750365</v>
      </c>
      <c r="J116" s="256">
        <f t="shared" si="5"/>
        <v>156670</v>
      </c>
      <c r="K116" s="256">
        <f t="shared" si="5"/>
        <v>72241</v>
      </c>
      <c r="L116" s="256">
        <f t="shared" si="5"/>
        <v>1863141.938082854</v>
      </c>
      <c r="N116" s="255" t="s">
        <v>57</v>
      </c>
      <c r="O116" s="255" t="s">
        <v>119</v>
      </c>
      <c r="P116" s="255" t="s">
        <v>198</v>
      </c>
      <c r="Q116" s="256">
        <v>417472</v>
      </c>
      <c r="R116" s="256">
        <v>171488</v>
      </c>
      <c r="S116" s="256">
        <v>8512</v>
      </c>
      <c r="T116" s="256">
        <v>15408</v>
      </c>
      <c r="U116" s="256">
        <v>418272</v>
      </c>
      <c r="V116" s="256">
        <v>569360</v>
      </c>
      <c r="W116" s="256">
        <v>156670</v>
      </c>
      <c r="X116" s="256">
        <v>72241</v>
      </c>
      <c r="Y116" s="256">
        <v>1829423</v>
      </c>
      <c r="AA116" s="262" t="s">
        <v>57</v>
      </c>
      <c r="AB116" s="262" t="s">
        <v>119</v>
      </c>
      <c r="AC116" s="263" t="s">
        <v>198</v>
      </c>
      <c r="AD116" s="264">
        <v>7888.743531142477</v>
      </c>
      <c r="AE116" s="264">
        <v>2983.4411957863831</v>
      </c>
      <c r="AF116" s="264">
        <v>38.083589460687818</v>
      </c>
      <c r="AG116" s="264">
        <v>130.57230672235823</v>
      </c>
      <c r="AH116" s="264">
        <v>10295.490372238444</v>
      </c>
      <c r="AI116" s="264">
        <v>12382.607087503638</v>
      </c>
      <c r="AJ116" s="264">
        <v>0</v>
      </c>
      <c r="AK116" s="264">
        <v>0</v>
      </c>
      <c r="AL116" s="264">
        <v>33718.938082853987</v>
      </c>
    </row>
    <row r="117" spans="1:38" ht="13.95" customHeight="1" x14ac:dyDescent="0.55000000000000004">
      <c r="A117" s="255" t="s">
        <v>57</v>
      </c>
      <c r="B117" s="255" t="s">
        <v>199</v>
      </c>
      <c r="C117" s="255" t="s">
        <v>120</v>
      </c>
      <c r="D117" s="256" t="s">
        <v>200</v>
      </c>
      <c r="E117" s="256" t="s">
        <v>200</v>
      </c>
      <c r="F117" s="256" t="s">
        <v>200</v>
      </c>
      <c r="G117" s="256" t="s">
        <v>200</v>
      </c>
      <c r="H117" s="256" t="s">
        <v>200</v>
      </c>
      <c r="I117" s="256" t="s">
        <v>200</v>
      </c>
      <c r="J117" s="256" t="s">
        <v>200</v>
      </c>
      <c r="K117" s="256" t="s">
        <v>200</v>
      </c>
      <c r="L117" s="256" t="s">
        <v>200</v>
      </c>
      <c r="N117" s="255" t="s">
        <v>57</v>
      </c>
      <c r="O117" s="255" t="s">
        <v>199</v>
      </c>
      <c r="P117" s="255" t="s">
        <v>120</v>
      </c>
      <c r="Q117" s="256" t="s">
        <v>200</v>
      </c>
      <c r="R117" s="256" t="s">
        <v>200</v>
      </c>
      <c r="S117" s="256" t="s">
        <v>200</v>
      </c>
      <c r="T117" s="256" t="s">
        <v>200</v>
      </c>
      <c r="U117" s="256" t="s">
        <v>200</v>
      </c>
      <c r="V117" s="256" t="s">
        <v>200</v>
      </c>
      <c r="W117" s="256" t="s">
        <v>200</v>
      </c>
      <c r="X117" s="256" t="s">
        <v>200</v>
      </c>
      <c r="Y117" s="256" t="s">
        <v>200</v>
      </c>
      <c r="AA117" s="255" t="s">
        <v>57</v>
      </c>
      <c r="AB117" s="255" t="s">
        <v>199</v>
      </c>
      <c r="AC117" s="255" t="s">
        <v>120</v>
      </c>
      <c r="AD117" s="256" t="s">
        <v>200</v>
      </c>
      <c r="AE117" s="256" t="s">
        <v>200</v>
      </c>
      <c r="AF117" s="256" t="s">
        <v>200</v>
      </c>
      <c r="AG117" s="256" t="s">
        <v>200</v>
      </c>
      <c r="AH117" s="256" t="s">
        <v>200</v>
      </c>
      <c r="AI117" s="256" t="s">
        <v>200</v>
      </c>
      <c r="AJ117" s="256" t="s">
        <v>200</v>
      </c>
      <c r="AK117" s="256" t="s">
        <v>200</v>
      </c>
      <c r="AL117" s="256" t="s">
        <v>200</v>
      </c>
    </row>
    <row r="118" spans="1:38" ht="13.95" customHeight="1" x14ac:dyDescent="0.55000000000000004">
      <c r="A118" s="255" t="s">
        <v>57</v>
      </c>
      <c r="B118" s="255" t="s">
        <v>121</v>
      </c>
      <c r="C118" s="255" t="s">
        <v>201</v>
      </c>
      <c r="D118" s="256">
        <v>0</v>
      </c>
      <c r="E118" s="256">
        <v>0</v>
      </c>
      <c r="F118" s="256">
        <v>0</v>
      </c>
      <c r="G118" s="256">
        <v>0</v>
      </c>
      <c r="H118" s="256">
        <v>0</v>
      </c>
      <c r="I118" s="256">
        <v>0</v>
      </c>
      <c r="J118" s="256">
        <v>0</v>
      </c>
      <c r="K118" s="256">
        <v>0</v>
      </c>
      <c r="L118" s="256">
        <v>0</v>
      </c>
      <c r="N118" s="255" t="s">
        <v>57</v>
      </c>
      <c r="O118" s="255" t="s">
        <v>121</v>
      </c>
      <c r="P118" s="255" t="s">
        <v>201</v>
      </c>
      <c r="Q118" s="256">
        <v>0</v>
      </c>
      <c r="R118" s="256">
        <v>0</v>
      </c>
      <c r="S118" s="256">
        <v>0</v>
      </c>
      <c r="T118" s="256">
        <v>0</v>
      </c>
      <c r="U118" s="256">
        <v>0</v>
      </c>
      <c r="V118" s="256">
        <v>0</v>
      </c>
      <c r="W118" s="256">
        <v>0</v>
      </c>
      <c r="X118" s="256">
        <v>0</v>
      </c>
      <c r="Y118" s="256">
        <v>0</v>
      </c>
      <c r="AA118" s="255" t="s">
        <v>57</v>
      </c>
      <c r="AB118" s="255" t="s">
        <v>121</v>
      </c>
      <c r="AC118" s="255" t="s">
        <v>201</v>
      </c>
      <c r="AD118" s="256">
        <v>0</v>
      </c>
      <c r="AE118" s="256">
        <v>0</v>
      </c>
      <c r="AF118" s="256">
        <v>0</v>
      </c>
      <c r="AG118" s="256">
        <v>0</v>
      </c>
      <c r="AH118" s="256">
        <v>0</v>
      </c>
      <c r="AI118" s="256">
        <v>0</v>
      </c>
      <c r="AJ118" s="256">
        <v>0</v>
      </c>
      <c r="AK118" s="256">
        <v>0</v>
      </c>
      <c r="AL118" s="256">
        <v>0</v>
      </c>
    </row>
    <row r="119" spans="1:38" ht="13.95" customHeight="1" x14ac:dyDescent="0.55000000000000004">
      <c r="A119" s="255" t="s">
        <v>57</v>
      </c>
      <c r="B119" s="255" t="s">
        <v>122</v>
      </c>
      <c r="C119" s="255" t="s">
        <v>202</v>
      </c>
      <c r="D119" s="256">
        <v>0</v>
      </c>
      <c r="E119" s="256">
        <v>0</v>
      </c>
      <c r="F119" s="256">
        <v>0</v>
      </c>
      <c r="G119" s="256">
        <v>0</v>
      </c>
      <c r="H119" s="256">
        <v>0</v>
      </c>
      <c r="I119" s="256">
        <v>0</v>
      </c>
      <c r="J119" s="256">
        <v>0</v>
      </c>
      <c r="K119" s="256">
        <v>0</v>
      </c>
      <c r="L119" s="256">
        <v>0</v>
      </c>
      <c r="N119" s="255" t="s">
        <v>57</v>
      </c>
      <c r="O119" s="255" t="s">
        <v>122</v>
      </c>
      <c r="P119" s="255" t="s">
        <v>202</v>
      </c>
      <c r="Q119" s="256">
        <v>0</v>
      </c>
      <c r="R119" s="256">
        <v>0</v>
      </c>
      <c r="S119" s="256">
        <v>0</v>
      </c>
      <c r="T119" s="256">
        <v>0</v>
      </c>
      <c r="U119" s="256">
        <v>0</v>
      </c>
      <c r="V119" s="256">
        <v>0</v>
      </c>
      <c r="W119" s="256">
        <v>0</v>
      </c>
      <c r="X119" s="256">
        <v>0</v>
      </c>
      <c r="Y119" s="256">
        <v>0</v>
      </c>
      <c r="AA119" s="255" t="s">
        <v>57</v>
      </c>
      <c r="AB119" s="255" t="s">
        <v>122</v>
      </c>
      <c r="AC119" s="255" t="s">
        <v>202</v>
      </c>
      <c r="AD119" s="256">
        <v>0</v>
      </c>
      <c r="AE119" s="256">
        <v>0</v>
      </c>
      <c r="AF119" s="256">
        <v>0</v>
      </c>
      <c r="AG119" s="256">
        <v>0</v>
      </c>
      <c r="AH119" s="256">
        <v>0</v>
      </c>
      <c r="AI119" s="256">
        <v>0</v>
      </c>
      <c r="AJ119" s="256">
        <v>0</v>
      </c>
      <c r="AK119" s="256">
        <v>0</v>
      </c>
      <c r="AL119" s="256">
        <v>0</v>
      </c>
    </row>
    <row r="120" spans="1:38" ht="13.95" customHeight="1" x14ac:dyDescent="0.55000000000000004">
      <c r="A120" s="255" t="s">
        <v>57</v>
      </c>
      <c r="B120" s="255" t="s">
        <v>203</v>
      </c>
      <c r="C120" s="255" t="s">
        <v>204</v>
      </c>
      <c r="D120" s="256">
        <v>0</v>
      </c>
      <c r="E120" s="256">
        <v>0</v>
      </c>
      <c r="F120" s="256">
        <v>0</v>
      </c>
      <c r="G120" s="256">
        <v>0</v>
      </c>
      <c r="H120" s="256">
        <v>0</v>
      </c>
      <c r="I120" s="256">
        <v>0</v>
      </c>
      <c r="J120" s="256">
        <v>0</v>
      </c>
      <c r="K120" s="256">
        <v>0</v>
      </c>
      <c r="L120" s="256">
        <v>0</v>
      </c>
      <c r="N120" s="255" t="s">
        <v>57</v>
      </c>
      <c r="O120" s="255" t="s">
        <v>203</v>
      </c>
      <c r="P120" s="255" t="s">
        <v>204</v>
      </c>
      <c r="Q120" s="256">
        <v>0</v>
      </c>
      <c r="R120" s="256">
        <v>0</v>
      </c>
      <c r="S120" s="256">
        <v>0</v>
      </c>
      <c r="T120" s="256">
        <v>0</v>
      </c>
      <c r="U120" s="256">
        <v>0</v>
      </c>
      <c r="V120" s="256">
        <v>0</v>
      </c>
      <c r="W120" s="256">
        <v>0</v>
      </c>
      <c r="X120" s="256">
        <v>0</v>
      </c>
      <c r="Y120" s="256">
        <v>0</v>
      </c>
      <c r="AA120" s="255" t="s">
        <v>57</v>
      </c>
      <c r="AB120" s="255" t="s">
        <v>203</v>
      </c>
      <c r="AC120" s="255" t="s">
        <v>204</v>
      </c>
      <c r="AD120" s="256">
        <v>0</v>
      </c>
      <c r="AE120" s="256">
        <v>0</v>
      </c>
      <c r="AF120" s="256">
        <v>0</v>
      </c>
      <c r="AG120" s="256">
        <v>0</v>
      </c>
      <c r="AH120" s="256">
        <v>0</v>
      </c>
      <c r="AI120" s="256">
        <v>0</v>
      </c>
      <c r="AJ120" s="256">
        <v>0</v>
      </c>
      <c r="AK120" s="256">
        <v>0</v>
      </c>
      <c r="AL120" s="256">
        <v>0</v>
      </c>
    </row>
    <row r="121" spans="1:38" ht="13.95" customHeight="1" x14ac:dyDescent="0.55000000000000004">
      <c r="A121" s="255" t="s">
        <v>57</v>
      </c>
      <c r="B121" s="255" t="s">
        <v>123</v>
      </c>
      <c r="C121" s="255" t="s">
        <v>205</v>
      </c>
      <c r="D121" s="256">
        <v>0</v>
      </c>
      <c r="E121" s="256">
        <v>0</v>
      </c>
      <c r="F121" s="256">
        <v>0</v>
      </c>
      <c r="G121" s="256">
        <v>0</v>
      </c>
      <c r="H121" s="256">
        <v>0</v>
      </c>
      <c r="I121" s="256">
        <v>0</v>
      </c>
      <c r="J121" s="256">
        <v>0</v>
      </c>
      <c r="K121" s="256">
        <v>0</v>
      </c>
      <c r="L121" s="256">
        <v>0</v>
      </c>
      <c r="N121" s="255" t="s">
        <v>57</v>
      </c>
      <c r="O121" s="255" t="s">
        <v>123</v>
      </c>
      <c r="P121" s="255" t="s">
        <v>205</v>
      </c>
      <c r="Q121" s="256">
        <v>0</v>
      </c>
      <c r="R121" s="256">
        <v>0</v>
      </c>
      <c r="S121" s="256">
        <v>0</v>
      </c>
      <c r="T121" s="256">
        <v>0</v>
      </c>
      <c r="U121" s="256">
        <v>0</v>
      </c>
      <c r="V121" s="256">
        <v>0</v>
      </c>
      <c r="W121" s="256">
        <v>0</v>
      </c>
      <c r="X121" s="256">
        <v>0</v>
      </c>
      <c r="Y121" s="256">
        <v>0</v>
      </c>
      <c r="AA121" s="255" t="s">
        <v>57</v>
      </c>
      <c r="AB121" s="255" t="s">
        <v>123</v>
      </c>
      <c r="AC121" s="255" t="s">
        <v>205</v>
      </c>
      <c r="AD121" s="256">
        <v>0</v>
      </c>
      <c r="AE121" s="256">
        <v>0</v>
      </c>
      <c r="AF121" s="256">
        <v>0</v>
      </c>
      <c r="AG121" s="256">
        <v>0</v>
      </c>
      <c r="AH121" s="256">
        <v>0</v>
      </c>
      <c r="AI121" s="256">
        <v>0</v>
      </c>
      <c r="AJ121" s="256">
        <v>0</v>
      </c>
      <c r="AK121" s="256">
        <v>0</v>
      </c>
      <c r="AL121" s="256">
        <v>0</v>
      </c>
    </row>
    <row r="122" spans="1:38" ht="13.95" customHeight="1" x14ac:dyDescent="0.55000000000000004">
      <c r="A122" s="255" t="s">
        <v>57</v>
      </c>
      <c r="B122" s="255" t="s">
        <v>124</v>
      </c>
      <c r="C122" s="255" t="s">
        <v>206</v>
      </c>
      <c r="D122" s="256">
        <v>0</v>
      </c>
      <c r="E122" s="256">
        <v>0</v>
      </c>
      <c r="F122" s="256">
        <v>0</v>
      </c>
      <c r="G122" s="256">
        <v>0</v>
      </c>
      <c r="H122" s="256">
        <v>0</v>
      </c>
      <c r="I122" s="256">
        <v>0</v>
      </c>
      <c r="J122" s="256">
        <v>0</v>
      </c>
      <c r="K122" s="256">
        <v>0</v>
      </c>
      <c r="L122" s="256">
        <v>0</v>
      </c>
      <c r="N122" s="255" t="s">
        <v>57</v>
      </c>
      <c r="O122" s="255" t="s">
        <v>124</v>
      </c>
      <c r="P122" s="255" t="s">
        <v>206</v>
      </c>
      <c r="Q122" s="256">
        <v>0</v>
      </c>
      <c r="R122" s="256">
        <v>0</v>
      </c>
      <c r="S122" s="256">
        <v>0</v>
      </c>
      <c r="T122" s="256">
        <v>0</v>
      </c>
      <c r="U122" s="256">
        <v>0</v>
      </c>
      <c r="V122" s="256">
        <v>0</v>
      </c>
      <c r="W122" s="256">
        <v>0</v>
      </c>
      <c r="X122" s="256">
        <v>0</v>
      </c>
      <c r="Y122" s="256">
        <v>0</v>
      </c>
      <c r="AA122" s="255" t="s">
        <v>57</v>
      </c>
      <c r="AB122" s="255" t="s">
        <v>124</v>
      </c>
      <c r="AC122" s="255" t="s">
        <v>206</v>
      </c>
      <c r="AD122" s="256">
        <v>0</v>
      </c>
      <c r="AE122" s="256">
        <v>0</v>
      </c>
      <c r="AF122" s="256">
        <v>0</v>
      </c>
      <c r="AG122" s="256">
        <v>0</v>
      </c>
      <c r="AH122" s="256">
        <v>0</v>
      </c>
      <c r="AI122" s="256">
        <v>0</v>
      </c>
      <c r="AJ122" s="256">
        <v>0</v>
      </c>
      <c r="AK122" s="256">
        <v>0</v>
      </c>
      <c r="AL122" s="256">
        <v>0</v>
      </c>
    </row>
    <row r="123" spans="1:38" ht="13.95" customHeight="1" x14ac:dyDescent="0.55000000000000004">
      <c r="A123" s="255" t="s">
        <v>57</v>
      </c>
      <c r="B123" s="255" t="s">
        <v>135</v>
      </c>
      <c r="C123" s="255" t="s">
        <v>207</v>
      </c>
      <c r="D123" s="256">
        <v>0</v>
      </c>
      <c r="E123" s="256">
        <v>0</v>
      </c>
      <c r="F123" s="256">
        <v>0</v>
      </c>
      <c r="G123" s="256">
        <v>0</v>
      </c>
      <c r="H123" s="256">
        <v>0</v>
      </c>
      <c r="I123" s="256">
        <v>0</v>
      </c>
      <c r="J123" s="256">
        <v>0</v>
      </c>
      <c r="K123" s="256">
        <v>0</v>
      </c>
      <c r="L123" s="256">
        <v>0</v>
      </c>
      <c r="N123" s="255" t="s">
        <v>57</v>
      </c>
      <c r="O123" s="255" t="s">
        <v>135</v>
      </c>
      <c r="P123" s="255" t="s">
        <v>207</v>
      </c>
      <c r="Q123" s="256">
        <v>0</v>
      </c>
      <c r="R123" s="256">
        <v>0</v>
      </c>
      <c r="S123" s="256">
        <v>0</v>
      </c>
      <c r="T123" s="256">
        <v>0</v>
      </c>
      <c r="U123" s="256">
        <v>0</v>
      </c>
      <c r="V123" s="256">
        <v>0</v>
      </c>
      <c r="W123" s="256">
        <v>0</v>
      </c>
      <c r="X123" s="256">
        <v>0</v>
      </c>
      <c r="Y123" s="256">
        <v>0</v>
      </c>
      <c r="AA123" s="255" t="s">
        <v>57</v>
      </c>
      <c r="AB123" s="255" t="s">
        <v>135</v>
      </c>
      <c r="AC123" s="255" t="s">
        <v>207</v>
      </c>
      <c r="AD123" s="256">
        <v>0</v>
      </c>
      <c r="AE123" s="256">
        <v>0</v>
      </c>
      <c r="AF123" s="256">
        <v>0</v>
      </c>
      <c r="AG123" s="256">
        <v>0</v>
      </c>
      <c r="AH123" s="256">
        <v>0</v>
      </c>
      <c r="AI123" s="256">
        <v>0</v>
      </c>
      <c r="AJ123" s="256">
        <v>0</v>
      </c>
      <c r="AK123" s="256">
        <v>0</v>
      </c>
      <c r="AL123" s="256">
        <v>0</v>
      </c>
    </row>
    <row r="124" spans="1:38" ht="13.95" customHeight="1" x14ac:dyDescent="0.55000000000000004">
      <c r="A124" s="255" t="s">
        <v>57</v>
      </c>
      <c r="B124" s="255" t="s">
        <v>208</v>
      </c>
      <c r="C124" s="255" t="s">
        <v>209</v>
      </c>
      <c r="D124" s="256">
        <v>0</v>
      </c>
      <c r="E124" s="256">
        <v>0</v>
      </c>
      <c r="F124" s="256">
        <v>0</v>
      </c>
      <c r="G124" s="256">
        <v>0</v>
      </c>
      <c r="H124" s="256">
        <v>0</v>
      </c>
      <c r="I124" s="256">
        <v>0</v>
      </c>
      <c r="J124" s="256">
        <v>0</v>
      </c>
      <c r="K124" s="256">
        <v>0</v>
      </c>
      <c r="L124" s="256">
        <v>0</v>
      </c>
      <c r="N124" s="255" t="s">
        <v>57</v>
      </c>
      <c r="O124" s="255" t="s">
        <v>208</v>
      </c>
      <c r="P124" s="255" t="s">
        <v>209</v>
      </c>
      <c r="Q124" s="256">
        <v>0</v>
      </c>
      <c r="R124" s="256">
        <v>0</v>
      </c>
      <c r="S124" s="256">
        <v>0</v>
      </c>
      <c r="T124" s="256">
        <v>0</v>
      </c>
      <c r="U124" s="256">
        <v>0</v>
      </c>
      <c r="V124" s="256">
        <v>0</v>
      </c>
      <c r="W124" s="256">
        <v>0</v>
      </c>
      <c r="X124" s="256">
        <v>0</v>
      </c>
      <c r="Y124" s="256">
        <v>0</v>
      </c>
      <c r="AA124" s="255" t="s">
        <v>57</v>
      </c>
      <c r="AB124" s="255" t="s">
        <v>208</v>
      </c>
      <c r="AC124" s="255" t="s">
        <v>209</v>
      </c>
      <c r="AD124" s="256">
        <v>0</v>
      </c>
      <c r="AE124" s="256">
        <v>0</v>
      </c>
      <c r="AF124" s="256">
        <v>0</v>
      </c>
      <c r="AG124" s="256">
        <v>0</v>
      </c>
      <c r="AH124" s="256">
        <v>0</v>
      </c>
      <c r="AI124" s="256">
        <v>0</v>
      </c>
      <c r="AJ124" s="256">
        <v>0</v>
      </c>
      <c r="AK124" s="256">
        <v>0</v>
      </c>
      <c r="AL124" s="256">
        <v>0</v>
      </c>
    </row>
    <row r="125" spans="1:38" ht="13.95" customHeight="1" x14ac:dyDescent="0.55000000000000004">
      <c r="A125" s="255" t="s">
        <v>57</v>
      </c>
      <c r="B125" s="255" t="s">
        <v>210</v>
      </c>
      <c r="C125" s="255" t="s">
        <v>211</v>
      </c>
      <c r="D125" s="256">
        <v>0</v>
      </c>
      <c r="E125" s="256">
        <v>0</v>
      </c>
      <c r="F125" s="256">
        <v>0</v>
      </c>
      <c r="G125" s="256">
        <v>0</v>
      </c>
      <c r="H125" s="256">
        <v>0</v>
      </c>
      <c r="I125" s="256">
        <v>0</v>
      </c>
      <c r="J125" s="256">
        <v>0</v>
      </c>
      <c r="K125" s="256">
        <v>0</v>
      </c>
      <c r="L125" s="256">
        <v>0</v>
      </c>
      <c r="N125" s="255" t="s">
        <v>57</v>
      </c>
      <c r="O125" s="255" t="s">
        <v>210</v>
      </c>
      <c r="P125" s="255" t="s">
        <v>211</v>
      </c>
      <c r="Q125" s="256">
        <v>0</v>
      </c>
      <c r="R125" s="256">
        <v>0</v>
      </c>
      <c r="S125" s="256">
        <v>0</v>
      </c>
      <c r="T125" s="256">
        <v>0</v>
      </c>
      <c r="U125" s="256">
        <v>0</v>
      </c>
      <c r="V125" s="256">
        <v>0</v>
      </c>
      <c r="W125" s="256">
        <v>0</v>
      </c>
      <c r="X125" s="256">
        <v>0</v>
      </c>
      <c r="Y125" s="256">
        <v>0</v>
      </c>
      <c r="AA125" s="255" t="s">
        <v>57</v>
      </c>
      <c r="AB125" s="255" t="s">
        <v>210</v>
      </c>
      <c r="AC125" s="255" t="s">
        <v>211</v>
      </c>
      <c r="AD125" s="256">
        <v>0</v>
      </c>
      <c r="AE125" s="256">
        <v>0</v>
      </c>
      <c r="AF125" s="256">
        <v>0</v>
      </c>
      <c r="AG125" s="256">
        <v>0</v>
      </c>
      <c r="AH125" s="256">
        <v>0</v>
      </c>
      <c r="AI125" s="256">
        <v>0</v>
      </c>
      <c r="AJ125" s="256">
        <v>0</v>
      </c>
      <c r="AK125" s="256">
        <v>0</v>
      </c>
      <c r="AL125" s="256">
        <v>0</v>
      </c>
    </row>
    <row r="126" spans="1:38" ht="12" customHeight="1" x14ac:dyDescent="0.55000000000000004"/>
    <row r="127" spans="1:38" ht="12" customHeight="1" x14ac:dyDescent="0.55000000000000004"/>
  </sheetData>
  <mergeCells count="14">
    <mergeCell ref="A43:L43"/>
    <mergeCell ref="N43:Y43"/>
    <mergeCell ref="A44:L44"/>
    <mergeCell ref="N44:Y44"/>
    <mergeCell ref="A1:L1"/>
    <mergeCell ref="N1:Y1"/>
    <mergeCell ref="A2:L2"/>
    <mergeCell ref="N2:Y2"/>
    <mergeCell ref="A85:L85"/>
    <mergeCell ref="N85:Y85"/>
    <mergeCell ref="AA85:AL85"/>
    <mergeCell ref="A86:L86"/>
    <mergeCell ref="N86:Y86"/>
    <mergeCell ref="AA86:AL8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C_x0020_Approval xmlns="5d92a71a-3ff2-49b7-99e9-0e7f5025f7c1">Submitted to Director</AC_x0020_Approva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36788C29AC9649B90F2E6675A20118" ma:contentTypeVersion="8" ma:contentTypeDescription="Create a new document." ma:contentTypeScope="" ma:versionID="1499a5c5552011768a544aa86fe32c90">
  <xsd:schema xmlns:xsd="http://www.w3.org/2001/XMLSchema" xmlns:xs="http://www.w3.org/2001/XMLSchema" xmlns:p="http://schemas.microsoft.com/office/2006/metadata/properties" xmlns:ns1="5d92a71a-3ff2-49b7-99e9-0e7f5025f7c1" xmlns:ns3="dc0febaa-0815-45ea-8e66-102de321f9ae" targetNamespace="http://schemas.microsoft.com/office/2006/metadata/properties" ma:root="true" ma:fieldsID="117b8a644f56c0487c45c0eae4062dcf" ns1:_="" ns3:_="">
    <xsd:import namespace="5d92a71a-3ff2-49b7-99e9-0e7f5025f7c1"/>
    <xsd:import namespace="dc0febaa-0815-45ea-8e66-102de321f9ae"/>
    <xsd:element name="properties">
      <xsd:complexType>
        <xsd:sequence>
          <xsd:element name="documentManagement">
            <xsd:complexType>
              <xsd:all>
                <xsd:element ref="ns1:AC_x0020_Approval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2a71a-3ff2-49b7-99e9-0e7f5025f7c1" elementFormDefault="qualified">
    <xsd:import namespace="http://schemas.microsoft.com/office/2006/documentManagement/types"/>
    <xsd:import namespace="http://schemas.microsoft.com/office/infopath/2007/PartnerControls"/>
    <xsd:element name="AC_x0020_Approval" ma:index="0" nillable="true" ma:displayName="Approval" ma:default="Submitted to Director" ma:format="Dropdown" ma:internalName="AC_x0020_Approval">
      <xsd:simpleType>
        <xsd:restriction base="dms:Choice">
          <xsd:enumeration value="Submitted to Director"/>
          <xsd:enumeration value="Submitted to Dep ASST Commissioner"/>
          <xsd:enumeration value="Approved by ASST Commission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0febaa-0815-45ea-8e66-102de321f9a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DFA0E57-D197-4281-8DE6-F3950DD44AD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6E70D9D-02E9-4C83-AA9E-C6A68D924AC8}">
  <ds:schemaRefs>
    <ds:schemaRef ds:uri="5d92a71a-3ff2-49b7-99e9-0e7f5025f7c1"/>
    <ds:schemaRef ds:uri="http://purl.org/dc/dcmitype/"/>
    <ds:schemaRef ds:uri="dc0febaa-0815-45ea-8e66-102de321f9ae"/>
    <ds:schemaRef ds:uri="http://www.w3.org/XML/1998/namespace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13A21BD-4F09-4381-9F57-B52A2372CA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92a71a-3ff2-49b7-99e9-0e7f5025f7c1"/>
    <ds:schemaRef ds:uri="dc0febaa-0815-45ea-8e66-102de321f9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Allocation Summary</vt:lpstr>
      <vt:lpstr>Hours</vt:lpstr>
      <vt:lpstr>Cost Study</vt:lpstr>
      <vt:lpstr>Space Support</vt:lpstr>
      <vt:lpstr>Utilities</vt:lpstr>
      <vt:lpstr>SIS</vt:lpstr>
      <vt:lpstr>Comparison</vt:lpstr>
      <vt:lpstr>Contact Hours DM</vt:lpstr>
      <vt:lpstr>Utilities!Print_Area</vt:lpstr>
      <vt:lpstr>Hours!Print_Titles</vt:lpstr>
      <vt:lpstr>Utilities!Print_Titles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Basis of Legislative Appropriations at State Colleges 2026-2027</dc:title>
  <dc:subject>Formula Funding</dc:subject>
  <dc:creator>Funding and Resource Planning</dc:creator>
  <cp:keywords>Formula Funding, Legislative Appropriations, State Colleges</cp:keywords>
  <cp:lastModifiedBy>King, Clifford</cp:lastModifiedBy>
  <cp:lastPrinted>2013-07-08T20:10:23Z</cp:lastPrinted>
  <dcterms:created xsi:type="dcterms:W3CDTF">2013-04-02T23:08:06Z</dcterms:created>
  <dcterms:modified xsi:type="dcterms:W3CDTF">2025-09-17T21:39:41Z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0x010100DD36788C29AC9649B90F2E6675A20118</vt:lpwstr>
  </property>
</Properties>
</file>