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ormula Funding and Advisory Committees\2024-2025 Biennium\"/>
    </mc:Choice>
  </mc:AlternateContent>
  <xr:revisionPtr revIDLastSave="0" documentId="13_ncr:1_{DD8D7350-A243-4B13-AA16-D7C2E17818B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llocation Summary" sheetId="5" r:id="rId1"/>
    <sheet name="Hours" sheetId="7" r:id="rId2"/>
    <sheet name="Cost Study" sheetId="14" r:id="rId3"/>
    <sheet name="Space Support" sheetId="10" r:id="rId4"/>
    <sheet name="Utilities" sheetId="11" r:id="rId5"/>
    <sheet name="SIS" sheetId="13" r:id="rId6"/>
    <sheet name="Comparison" sheetId="17" r:id="rId7"/>
    <sheet name="Contact Hours DM" sheetId="16" r:id="rId8"/>
  </sheets>
  <definedNames>
    <definedName name="_Fill" hidden="1">#REF!</definedName>
    <definedName name="_xlnm._FilterDatabase" localSheetId="1" hidden="1">Hours!$A$1:$Q$81</definedName>
    <definedName name="_Order1" hidden="1">255</definedName>
    <definedName name="_Order2" hidden="1">255</definedName>
    <definedName name="MATCHINST">#REF!</definedName>
    <definedName name="_xlnm.Print_Area" localSheetId="4">Utilities!$A$1:$AB$51</definedName>
    <definedName name="_xlnm.Print_Titles" localSheetId="1">Hours!$A:$B,Hours!$3:$3</definedName>
    <definedName name="_xlnm.Print_Titles" localSheetId="4">Utilities!$A:$B</definedName>
    <definedName name="solver_adj" localSheetId="3" hidden="1">'Space Support'!$F$12</definedName>
    <definedName name="solver_adj" hidden="1">'Space Support'!$F$12</definedName>
    <definedName name="solver_adj2" hidden="1">#REF!</definedName>
    <definedName name="solver_cvg" localSheetId="3" hidden="1">0.0001</definedName>
    <definedName name="solver_cvg" hidden="1">0.0001</definedName>
    <definedName name="solver_drv" localSheetId="3" hidden="1">1</definedName>
    <definedName name="solver_drv" hidden="1">1</definedName>
    <definedName name="solver_est" localSheetId="3" hidden="1">1</definedName>
    <definedName name="solver_est" hidden="1">1</definedName>
    <definedName name="solver_itr" localSheetId="3" hidden="1">100</definedName>
    <definedName name="solver_itr" hidden="1">100</definedName>
    <definedName name="solver_lin" localSheetId="3" hidden="1">2</definedName>
    <definedName name="solver_lin" hidden="1">2</definedName>
    <definedName name="solver_neg" localSheetId="3" hidden="1">2</definedName>
    <definedName name="solver_neg" hidden="1">2</definedName>
    <definedName name="solver_num" localSheetId="3" hidden="1">0</definedName>
    <definedName name="solver_num" hidden="1">0</definedName>
    <definedName name="solver_nwt" localSheetId="3" hidden="1">1</definedName>
    <definedName name="solver_nwt" hidden="1">1</definedName>
    <definedName name="solver_opt" localSheetId="3" hidden="1">'Space Support'!#REF!</definedName>
    <definedName name="solver_opt" hidden="1">'Space Support'!#REF!</definedName>
    <definedName name="solver_pre" localSheetId="3" hidden="1">0.000001</definedName>
    <definedName name="solver_pre" hidden="1">0.000001</definedName>
    <definedName name="solver_scl" localSheetId="3" hidden="1">2</definedName>
    <definedName name="solver_scl" hidden="1">2</definedName>
    <definedName name="solver_sho" localSheetId="3" hidden="1">2</definedName>
    <definedName name="solver_sho" hidden="1">2</definedName>
    <definedName name="solver_tim" localSheetId="3" hidden="1">100</definedName>
    <definedName name="solver_tim" hidden="1">100</definedName>
    <definedName name="solver_tol" localSheetId="3" hidden="1">0.05</definedName>
    <definedName name="solver_tol" hidden="1">0.05</definedName>
    <definedName name="solver_typ" localSheetId="3" hidden="1">3</definedName>
    <definedName name="solver_typ" hidden="1">3</definedName>
    <definedName name="solver_val" localSheetId="3" hidden="1">0</definedName>
    <definedName name="solver_val" hidden="1">0</definedName>
    <definedName name="WAGEGROUP0607">#REF!</definedName>
    <definedName name="WAGETOTGR0607">#REF!</definedName>
    <definedName name="Z_175A74B9_04D8_4168_BE0E_B9F6D216804E_.wvu.Cols" hidden="1">#REF!</definedName>
    <definedName name="Z_175A74B9_04D8_4168_BE0E_B9F6D216804E_.wvu.PrintArea" localSheetId="3" hidden="1">'Space Support'!$J$4:$L$7</definedName>
    <definedName name="Z_175A74B9_04D8_4168_BE0E_B9F6D216804E_.wvu.PrintTitles" localSheetId="5" hidden="1">#REF!,#REF!</definedName>
    <definedName name="Z_175A74B9_04D8_4168_BE0E_B9F6D216804E_.wvu.PrintTitles" hidden="1">'Space Support'!$B:$K,'Space Support'!$3:$3</definedName>
    <definedName name="Z_3B4A1CD3_71A7_41D8_BB20_2C00DD672F4C_.wvu.Cols" hidden="1">#REF!</definedName>
    <definedName name="Z_3B4A1CD3_71A7_41D8_BB20_2C00DD672F4C_.wvu.PrintTitles" localSheetId="5" hidden="1">#REF!,#REF!</definedName>
    <definedName name="Z_3B4A1CD3_71A7_41D8_BB20_2C00DD672F4C_.wvu.PrintTitles" hidden="1">'Space Support'!$B:$K,'Space Support'!$3:$3</definedName>
    <definedName name="Z_5F15871F_1F9D_454B_B820_06244E250857_.wvu.Cols" hidden="1">#REF!</definedName>
    <definedName name="Z_5F15871F_1F9D_454B_B820_06244E250857_.wvu.PrintTitles" localSheetId="5" hidden="1">#REF!,#REF!</definedName>
    <definedName name="Z_5F15871F_1F9D_454B_B820_06244E250857_.wvu.PrintTitles" hidden="1">'Space Support'!$B:$K,'Space Support'!$3:$3</definedName>
    <definedName name="Z_82D93351_CB79_47D8_8AE8_2B10EACDB89E_.wvu.Cols" hidden="1">#REF!</definedName>
    <definedName name="Z_82D93351_CB79_47D8_8AE8_2B10EACDB89E_.wvu.PrintArea" localSheetId="3" hidden="1">'Space Support'!$J$4:$L$7</definedName>
    <definedName name="Z_82D93351_CB79_47D8_8AE8_2B10EACDB89E_.wvu.PrintTitles" localSheetId="5" hidden="1">#REF!,#REF!</definedName>
    <definedName name="Z_82D93351_CB79_47D8_8AE8_2B10EACDB89E_.wvu.PrintTitles" hidden="1">'Space Support'!$B:$K,'Space Support'!$3:$3</definedName>
    <definedName name="Z_92B8DB46_18BE_4736_A438_5C0EAAC214A3_.wvu.PrintArea" localSheetId="3" hidden="1">'Space Support'!$J$4:$L$7</definedName>
    <definedName name="Z_92B8DB46_18BE_4736_A438_5C0EAAC214A3_.wvu.PrintTitles" localSheetId="3" hidden="1">'Space Support'!$B:$K,'Space Support'!$3:$3</definedName>
    <definedName name="Z_ABB4BCFE_4E5B_46EB_9CDF_31A49DC3C3DC_.wvu.PrintArea" localSheetId="3" hidden="1">'Space Support'!$J$4:$L$7</definedName>
    <definedName name="Z_ABB4BCFE_4E5B_46EB_9CDF_31A49DC3C3DC_.wvu.PrintTitles" localSheetId="3" hidden="1">'Space Support'!$B:$K,'Space Support'!$3:$3</definedName>
    <definedName name="Z_E3BB4C3D_F6B5_4D70_B069_1A7C5F76D2BD_.wvu.PrintArea" localSheetId="3" hidden="1">'Space Support'!$J$4:$L$7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3" l="1"/>
  <c r="D5" i="13" l="1"/>
  <c r="D6" i="13"/>
  <c r="D4" i="13"/>
  <c r="E4" i="13" s="1"/>
  <c r="E6" i="13"/>
  <c r="E5" i="13"/>
  <c r="I12" i="10"/>
  <c r="H12" i="10"/>
  <c r="G12" i="10"/>
  <c r="F12" i="10"/>
  <c r="E12" i="10"/>
  <c r="D4" i="7" l="1"/>
  <c r="L4" i="7" s="1"/>
  <c r="E4" i="7"/>
  <c r="N4" i="7" s="1"/>
  <c r="F4" i="7"/>
  <c r="G4" i="7"/>
  <c r="H4" i="7"/>
  <c r="I4" i="7"/>
  <c r="O4" i="7" s="1"/>
  <c r="J4" i="7"/>
  <c r="K4" i="7"/>
  <c r="M4" i="7"/>
  <c r="Q4" i="7" s="1"/>
  <c r="D5" i="7"/>
  <c r="E5" i="7"/>
  <c r="N5" i="7" s="1"/>
  <c r="F5" i="7"/>
  <c r="G5" i="7"/>
  <c r="H5" i="7"/>
  <c r="I5" i="7"/>
  <c r="J5" i="7"/>
  <c r="M5" i="7" s="1"/>
  <c r="Q5" i="7" s="1"/>
  <c r="K5" i="7"/>
  <c r="O5" i="7" s="1"/>
  <c r="D6" i="7"/>
  <c r="L6" i="7" s="1"/>
  <c r="E6" i="7"/>
  <c r="N6" i="7" s="1"/>
  <c r="N82" i="7" s="1"/>
  <c r="F6" i="7"/>
  <c r="G6" i="7"/>
  <c r="H6" i="7"/>
  <c r="I6" i="7"/>
  <c r="O6" i="7" s="1"/>
  <c r="J6" i="7"/>
  <c r="K6" i="7"/>
  <c r="M6" i="7"/>
  <c r="D7" i="7"/>
  <c r="E7" i="7"/>
  <c r="N7" i="7" s="1"/>
  <c r="F7" i="7"/>
  <c r="G7" i="7"/>
  <c r="H7" i="7"/>
  <c r="I7" i="7"/>
  <c r="J7" i="7"/>
  <c r="M7" i="7" s="1"/>
  <c r="K7" i="7"/>
  <c r="O7" i="7" s="1"/>
  <c r="D8" i="7"/>
  <c r="L8" i="7" s="1"/>
  <c r="P8" i="7" s="1"/>
  <c r="E8" i="7"/>
  <c r="N8" i="7" s="1"/>
  <c r="F8" i="7"/>
  <c r="G8" i="7"/>
  <c r="H8" i="7"/>
  <c r="I8" i="7"/>
  <c r="O8" i="7" s="1"/>
  <c r="J8" i="7"/>
  <c r="K8" i="7"/>
  <c r="M8" i="7"/>
  <c r="D9" i="7"/>
  <c r="L9" i="7" s="1"/>
  <c r="P9" i="7" s="1"/>
  <c r="E9" i="7"/>
  <c r="N9" i="7" s="1"/>
  <c r="F9" i="7"/>
  <c r="G9" i="7"/>
  <c r="H9" i="7"/>
  <c r="M9" i="7" s="1"/>
  <c r="I9" i="7"/>
  <c r="J9" i="7"/>
  <c r="K9" i="7"/>
  <c r="O9" i="7" s="1"/>
  <c r="D10" i="7"/>
  <c r="L10" i="7" s="1"/>
  <c r="E10" i="7"/>
  <c r="N10" i="7" s="1"/>
  <c r="F10" i="7"/>
  <c r="G10" i="7"/>
  <c r="H10" i="7"/>
  <c r="I10" i="7"/>
  <c r="O10" i="7" s="1"/>
  <c r="J10" i="7"/>
  <c r="K10" i="7"/>
  <c r="M10" i="7"/>
  <c r="Q10" i="7" s="1"/>
  <c r="D11" i="7"/>
  <c r="E11" i="7"/>
  <c r="N11" i="7" s="1"/>
  <c r="F11" i="7"/>
  <c r="G11" i="7"/>
  <c r="H11" i="7"/>
  <c r="M11" i="7" s="1"/>
  <c r="Q11" i="7" s="1"/>
  <c r="I11" i="7"/>
  <c r="J11" i="7"/>
  <c r="K11" i="7"/>
  <c r="O11" i="7" s="1"/>
  <c r="D12" i="7"/>
  <c r="L12" i="7" s="1"/>
  <c r="E12" i="7"/>
  <c r="N12" i="7" s="1"/>
  <c r="F12" i="7"/>
  <c r="G12" i="7"/>
  <c r="H12" i="7"/>
  <c r="I12" i="7"/>
  <c r="O12" i="7" s="1"/>
  <c r="J12" i="7"/>
  <c r="K12" i="7"/>
  <c r="M12" i="7"/>
  <c r="D13" i="7"/>
  <c r="E13" i="7"/>
  <c r="N13" i="7" s="1"/>
  <c r="F13" i="7"/>
  <c r="G13" i="7"/>
  <c r="H13" i="7"/>
  <c r="M13" i="7" s="1"/>
  <c r="I13" i="7"/>
  <c r="J13" i="7"/>
  <c r="K13" i="7"/>
  <c r="O13" i="7" s="1"/>
  <c r="D14" i="7"/>
  <c r="L14" i="7" s="1"/>
  <c r="E14" i="7"/>
  <c r="N14" i="7" s="1"/>
  <c r="F14" i="7"/>
  <c r="G14" i="7"/>
  <c r="H14" i="7"/>
  <c r="I14" i="7"/>
  <c r="O14" i="7" s="1"/>
  <c r="J14" i="7"/>
  <c r="K14" i="7"/>
  <c r="M14" i="7"/>
  <c r="D15" i="7"/>
  <c r="E15" i="7"/>
  <c r="N15" i="7" s="1"/>
  <c r="F15" i="7"/>
  <c r="G15" i="7"/>
  <c r="H15" i="7"/>
  <c r="M15" i="7" s="1"/>
  <c r="I15" i="7"/>
  <c r="J15" i="7"/>
  <c r="K15" i="7"/>
  <c r="O15" i="7" s="1"/>
  <c r="D16" i="7"/>
  <c r="L16" i="7" s="1"/>
  <c r="E16" i="7"/>
  <c r="N16" i="7" s="1"/>
  <c r="F16" i="7"/>
  <c r="G16" i="7"/>
  <c r="H16" i="7"/>
  <c r="I16" i="7"/>
  <c r="O16" i="7" s="1"/>
  <c r="J16" i="7"/>
  <c r="K16" i="7"/>
  <c r="M16" i="7"/>
  <c r="Q16" i="7" s="1"/>
  <c r="D17" i="7"/>
  <c r="E17" i="7"/>
  <c r="N17" i="7" s="1"/>
  <c r="F17" i="7"/>
  <c r="G17" i="7"/>
  <c r="H17" i="7"/>
  <c r="M17" i="7" s="1"/>
  <c r="I17" i="7"/>
  <c r="J17" i="7"/>
  <c r="K17" i="7"/>
  <c r="O17" i="7" s="1"/>
  <c r="D18" i="7"/>
  <c r="L18" i="7" s="1"/>
  <c r="E18" i="7"/>
  <c r="N18" i="7" s="1"/>
  <c r="F18" i="7"/>
  <c r="G18" i="7"/>
  <c r="H18" i="7"/>
  <c r="I18" i="7"/>
  <c r="O18" i="7" s="1"/>
  <c r="J18" i="7"/>
  <c r="K18" i="7"/>
  <c r="M18" i="7"/>
  <c r="D19" i="7"/>
  <c r="E19" i="7"/>
  <c r="N19" i="7" s="1"/>
  <c r="F19" i="7"/>
  <c r="G19" i="7"/>
  <c r="H19" i="7"/>
  <c r="M19" i="7" s="1"/>
  <c r="I19" i="7"/>
  <c r="J19" i="7"/>
  <c r="K19" i="7"/>
  <c r="O19" i="7" s="1"/>
  <c r="D20" i="7"/>
  <c r="L20" i="7" s="1"/>
  <c r="E20" i="7"/>
  <c r="N20" i="7" s="1"/>
  <c r="F20" i="7"/>
  <c r="G20" i="7"/>
  <c r="H20" i="7"/>
  <c r="I20" i="7"/>
  <c r="O20" i="7" s="1"/>
  <c r="J20" i="7"/>
  <c r="K20" i="7"/>
  <c r="M20" i="7"/>
  <c r="D21" i="7"/>
  <c r="E21" i="7"/>
  <c r="N21" i="7" s="1"/>
  <c r="F21" i="7"/>
  <c r="G21" i="7"/>
  <c r="H21" i="7"/>
  <c r="M21" i="7" s="1"/>
  <c r="I21" i="7"/>
  <c r="J21" i="7"/>
  <c r="K21" i="7"/>
  <c r="O21" i="7" s="1"/>
  <c r="D22" i="7"/>
  <c r="L22" i="7" s="1"/>
  <c r="E22" i="7"/>
  <c r="N22" i="7" s="1"/>
  <c r="F22" i="7"/>
  <c r="G22" i="7"/>
  <c r="H22" i="7"/>
  <c r="I22" i="7"/>
  <c r="O22" i="7" s="1"/>
  <c r="J22" i="7"/>
  <c r="K22" i="7"/>
  <c r="M22" i="7"/>
  <c r="Q22" i="7" s="1"/>
  <c r="D23" i="7"/>
  <c r="E23" i="7"/>
  <c r="N23" i="7" s="1"/>
  <c r="F23" i="7"/>
  <c r="G23" i="7"/>
  <c r="H23" i="7"/>
  <c r="M23" i="7" s="1"/>
  <c r="Q23" i="7" s="1"/>
  <c r="I23" i="7"/>
  <c r="O23" i="7" s="1"/>
  <c r="J23" i="7"/>
  <c r="K23" i="7"/>
  <c r="D24" i="7"/>
  <c r="L24" i="7" s="1"/>
  <c r="E24" i="7"/>
  <c r="N24" i="7" s="1"/>
  <c r="F24" i="7"/>
  <c r="G24" i="7"/>
  <c r="H24" i="7"/>
  <c r="I24" i="7"/>
  <c r="O24" i="7" s="1"/>
  <c r="J24" i="7"/>
  <c r="K24" i="7"/>
  <c r="M24" i="7"/>
  <c r="D25" i="7"/>
  <c r="E25" i="7"/>
  <c r="N25" i="7" s="1"/>
  <c r="F25" i="7"/>
  <c r="G25" i="7"/>
  <c r="H25" i="7"/>
  <c r="M25" i="7" s="1"/>
  <c r="Q25" i="7" s="1"/>
  <c r="I25" i="7"/>
  <c r="O25" i="7" s="1"/>
  <c r="J25" i="7"/>
  <c r="K25" i="7"/>
  <c r="D26" i="7"/>
  <c r="L26" i="7" s="1"/>
  <c r="E26" i="7"/>
  <c r="N26" i="7" s="1"/>
  <c r="F26" i="7"/>
  <c r="G26" i="7"/>
  <c r="H26" i="7"/>
  <c r="I26" i="7"/>
  <c r="O26" i="7" s="1"/>
  <c r="J26" i="7"/>
  <c r="K26" i="7"/>
  <c r="M26" i="7"/>
  <c r="D27" i="7"/>
  <c r="E27" i="7"/>
  <c r="N27" i="7" s="1"/>
  <c r="F27" i="7"/>
  <c r="G27" i="7"/>
  <c r="H27" i="7"/>
  <c r="M27" i="7" s="1"/>
  <c r="I27" i="7"/>
  <c r="O27" i="7" s="1"/>
  <c r="J27" i="7"/>
  <c r="K27" i="7"/>
  <c r="D28" i="7"/>
  <c r="L28" i="7" s="1"/>
  <c r="E28" i="7"/>
  <c r="N28" i="7" s="1"/>
  <c r="F28" i="7"/>
  <c r="G28" i="7"/>
  <c r="H28" i="7"/>
  <c r="I28" i="7"/>
  <c r="O28" i="7" s="1"/>
  <c r="J28" i="7"/>
  <c r="K28" i="7"/>
  <c r="M28" i="7"/>
  <c r="Q28" i="7" s="1"/>
  <c r="D29" i="7"/>
  <c r="E29" i="7"/>
  <c r="N29" i="7" s="1"/>
  <c r="F29" i="7"/>
  <c r="G29" i="7"/>
  <c r="H29" i="7"/>
  <c r="M29" i="7" s="1"/>
  <c r="Q29" i="7" s="1"/>
  <c r="I29" i="7"/>
  <c r="O29" i="7" s="1"/>
  <c r="J29" i="7"/>
  <c r="K29" i="7"/>
  <c r="D30" i="7"/>
  <c r="L30" i="7" s="1"/>
  <c r="E30" i="7"/>
  <c r="N30" i="7" s="1"/>
  <c r="F30" i="7"/>
  <c r="G30" i="7"/>
  <c r="H30" i="7"/>
  <c r="I30" i="7"/>
  <c r="O30" i="7" s="1"/>
  <c r="J30" i="7"/>
  <c r="K30" i="7"/>
  <c r="M30" i="7"/>
  <c r="D31" i="7"/>
  <c r="E31" i="7"/>
  <c r="N31" i="7" s="1"/>
  <c r="F31" i="7"/>
  <c r="G31" i="7"/>
  <c r="H31" i="7"/>
  <c r="M31" i="7" s="1"/>
  <c r="Q31" i="7" s="1"/>
  <c r="I31" i="7"/>
  <c r="O31" i="7" s="1"/>
  <c r="J31" i="7"/>
  <c r="K31" i="7"/>
  <c r="D32" i="7"/>
  <c r="L32" i="7" s="1"/>
  <c r="E32" i="7"/>
  <c r="N32" i="7" s="1"/>
  <c r="F32" i="7"/>
  <c r="G32" i="7"/>
  <c r="H32" i="7"/>
  <c r="I32" i="7"/>
  <c r="O32" i="7" s="1"/>
  <c r="J32" i="7"/>
  <c r="K32" i="7"/>
  <c r="M32" i="7"/>
  <c r="D33" i="7"/>
  <c r="E33" i="7"/>
  <c r="N33" i="7" s="1"/>
  <c r="F33" i="7"/>
  <c r="G33" i="7"/>
  <c r="H33" i="7"/>
  <c r="M33" i="7" s="1"/>
  <c r="I33" i="7"/>
  <c r="O33" i="7" s="1"/>
  <c r="J33" i="7"/>
  <c r="K33" i="7"/>
  <c r="D34" i="7"/>
  <c r="L34" i="7" s="1"/>
  <c r="E34" i="7"/>
  <c r="N34" i="7" s="1"/>
  <c r="F34" i="7"/>
  <c r="G34" i="7"/>
  <c r="H34" i="7"/>
  <c r="I34" i="7"/>
  <c r="O34" i="7" s="1"/>
  <c r="J34" i="7"/>
  <c r="K34" i="7"/>
  <c r="M34" i="7"/>
  <c r="Q34" i="7" s="1"/>
  <c r="D35" i="7"/>
  <c r="E35" i="7"/>
  <c r="N35" i="7" s="1"/>
  <c r="F35" i="7"/>
  <c r="G35" i="7"/>
  <c r="H35" i="7"/>
  <c r="M35" i="7" s="1"/>
  <c r="Q35" i="7" s="1"/>
  <c r="I35" i="7"/>
  <c r="O35" i="7" s="1"/>
  <c r="J35" i="7"/>
  <c r="K35" i="7"/>
  <c r="D36" i="7"/>
  <c r="L36" i="7" s="1"/>
  <c r="E36" i="7"/>
  <c r="N36" i="7" s="1"/>
  <c r="F36" i="7"/>
  <c r="G36" i="7"/>
  <c r="H36" i="7"/>
  <c r="I36" i="7"/>
  <c r="O36" i="7" s="1"/>
  <c r="J36" i="7"/>
  <c r="K36" i="7"/>
  <c r="M36" i="7"/>
  <c r="D37" i="7"/>
  <c r="E37" i="7"/>
  <c r="N37" i="7" s="1"/>
  <c r="F37" i="7"/>
  <c r="G37" i="7"/>
  <c r="H37" i="7"/>
  <c r="M37" i="7" s="1"/>
  <c r="I37" i="7"/>
  <c r="O37" i="7" s="1"/>
  <c r="J37" i="7"/>
  <c r="K37" i="7"/>
  <c r="D38" i="7"/>
  <c r="L38" i="7" s="1"/>
  <c r="E38" i="7"/>
  <c r="N38" i="7" s="1"/>
  <c r="F38" i="7"/>
  <c r="G38" i="7"/>
  <c r="H38" i="7"/>
  <c r="I38" i="7"/>
  <c r="O38" i="7" s="1"/>
  <c r="J38" i="7"/>
  <c r="K38" i="7"/>
  <c r="M38" i="7"/>
  <c r="D39" i="7"/>
  <c r="E39" i="7"/>
  <c r="N39" i="7" s="1"/>
  <c r="F39" i="7"/>
  <c r="G39" i="7"/>
  <c r="H39" i="7"/>
  <c r="M39" i="7" s="1"/>
  <c r="I39" i="7"/>
  <c r="O39" i="7" s="1"/>
  <c r="J39" i="7"/>
  <c r="K39" i="7"/>
  <c r="D40" i="7"/>
  <c r="L40" i="7" s="1"/>
  <c r="E40" i="7"/>
  <c r="N40" i="7" s="1"/>
  <c r="F40" i="7"/>
  <c r="G40" i="7"/>
  <c r="H40" i="7"/>
  <c r="I40" i="7"/>
  <c r="O40" i="7" s="1"/>
  <c r="J40" i="7"/>
  <c r="K40" i="7"/>
  <c r="M40" i="7"/>
  <c r="Q40" i="7" s="1"/>
  <c r="D41" i="7"/>
  <c r="E41" i="7"/>
  <c r="N41" i="7" s="1"/>
  <c r="F41" i="7"/>
  <c r="G41" i="7"/>
  <c r="H41" i="7"/>
  <c r="M41" i="7" s="1"/>
  <c r="Q41" i="7" s="1"/>
  <c r="I41" i="7"/>
  <c r="O41" i="7" s="1"/>
  <c r="J41" i="7"/>
  <c r="K41" i="7"/>
  <c r="D42" i="7"/>
  <c r="L42" i="7" s="1"/>
  <c r="E42" i="7"/>
  <c r="N42" i="7" s="1"/>
  <c r="F42" i="7"/>
  <c r="G42" i="7"/>
  <c r="H42" i="7"/>
  <c r="I42" i="7"/>
  <c r="O42" i="7" s="1"/>
  <c r="J42" i="7"/>
  <c r="K42" i="7"/>
  <c r="M42" i="7"/>
  <c r="D43" i="7"/>
  <c r="E43" i="7"/>
  <c r="N43" i="7" s="1"/>
  <c r="F43" i="7"/>
  <c r="G43" i="7"/>
  <c r="H43" i="7"/>
  <c r="M43" i="7" s="1"/>
  <c r="I43" i="7"/>
  <c r="O43" i="7" s="1"/>
  <c r="J43" i="7"/>
  <c r="K43" i="7"/>
  <c r="D44" i="7"/>
  <c r="L44" i="7" s="1"/>
  <c r="E44" i="7"/>
  <c r="N44" i="7" s="1"/>
  <c r="F44" i="7"/>
  <c r="G44" i="7"/>
  <c r="H44" i="7"/>
  <c r="I44" i="7"/>
  <c r="O44" i="7" s="1"/>
  <c r="J44" i="7"/>
  <c r="K44" i="7"/>
  <c r="M44" i="7"/>
  <c r="D45" i="7"/>
  <c r="E45" i="7"/>
  <c r="N45" i="7" s="1"/>
  <c r="F45" i="7"/>
  <c r="G45" i="7"/>
  <c r="H45" i="7"/>
  <c r="M45" i="7" s="1"/>
  <c r="I45" i="7"/>
  <c r="O45" i="7" s="1"/>
  <c r="J45" i="7"/>
  <c r="K45" i="7"/>
  <c r="D46" i="7"/>
  <c r="L46" i="7" s="1"/>
  <c r="E46" i="7"/>
  <c r="N46" i="7" s="1"/>
  <c r="F46" i="7"/>
  <c r="G46" i="7"/>
  <c r="H46" i="7"/>
  <c r="I46" i="7"/>
  <c r="O46" i="7" s="1"/>
  <c r="J46" i="7"/>
  <c r="K46" i="7"/>
  <c r="M46" i="7"/>
  <c r="D47" i="7"/>
  <c r="E47" i="7"/>
  <c r="N47" i="7" s="1"/>
  <c r="F47" i="7"/>
  <c r="G47" i="7"/>
  <c r="H47" i="7"/>
  <c r="M47" i="7" s="1"/>
  <c r="Q47" i="7" s="1"/>
  <c r="I47" i="7"/>
  <c r="O47" i="7" s="1"/>
  <c r="J47" i="7"/>
  <c r="K47" i="7"/>
  <c r="D48" i="7"/>
  <c r="L48" i="7" s="1"/>
  <c r="E48" i="7"/>
  <c r="N48" i="7" s="1"/>
  <c r="F48" i="7"/>
  <c r="G48" i="7"/>
  <c r="H48" i="7"/>
  <c r="I48" i="7"/>
  <c r="O48" i="7" s="1"/>
  <c r="J48" i="7"/>
  <c r="K48" i="7"/>
  <c r="M48" i="7"/>
  <c r="D49" i="7"/>
  <c r="E49" i="7"/>
  <c r="N49" i="7" s="1"/>
  <c r="F49" i="7"/>
  <c r="G49" i="7"/>
  <c r="H49" i="7"/>
  <c r="M49" i="7" s="1"/>
  <c r="I49" i="7"/>
  <c r="O49" i="7" s="1"/>
  <c r="J49" i="7"/>
  <c r="K49" i="7"/>
  <c r="D50" i="7"/>
  <c r="L50" i="7" s="1"/>
  <c r="E50" i="7"/>
  <c r="N50" i="7" s="1"/>
  <c r="F50" i="7"/>
  <c r="G50" i="7"/>
  <c r="H50" i="7"/>
  <c r="I50" i="7"/>
  <c r="O50" i="7" s="1"/>
  <c r="J50" i="7"/>
  <c r="K50" i="7"/>
  <c r="M50" i="7"/>
  <c r="D51" i="7"/>
  <c r="E51" i="7"/>
  <c r="N51" i="7" s="1"/>
  <c r="F51" i="7"/>
  <c r="G51" i="7"/>
  <c r="H51" i="7"/>
  <c r="M51" i="7" s="1"/>
  <c r="I51" i="7"/>
  <c r="O51" i="7" s="1"/>
  <c r="J51" i="7"/>
  <c r="K51" i="7"/>
  <c r="D52" i="7"/>
  <c r="L52" i="7" s="1"/>
  <c r="E52" i="7"/>
  <c r="N52" i="7" s="1"/>
  <c r="F52" i="7"/>
  <c r="G52" i="7"/>
  <c r="H52" i="7"/>
  <c r="I52" i="7"/>
  <c r="O52" i="7" s="1"/>
  <c r="J52" i="7"/>
  <c r="K52" i="7"/>
  <c r="M52" i="7"/>
  <c r="D53" i="7"/>
  <c r="E53" i="7"/>
  <c r="N53" i="7" s="1"/>
  <c r="F53" i="7"/>
  <c r="G53" i="7"/>
  <c r="H53" i="7"/>
  <c r="M53" i="7" s="1"/>
  <c r="Q53" i="7" s="1"/>
  <c r="I53" i="7"/>
  <c r="O53" i="7" s="1"/>
  <c r="J53" i="7"/>
  <c r="K53" i="7"/>
  <c r="D54" i="7"/>
  <c r="L54" i="7" s="1"/>
  <c r="E54" i="7"/>
  <c r="N54" i="7" s="1"/>
  <c r="F54" i="7"/>
  <c r="G54" i="7"/>
  <c r="H54" i="7"/>
  <c r="I54" i="7"/>
  <c r="O54" i="7" s="1"/>
  <c r="Q54" i="7" s="1"/>
  <c r="J54" i="7"/>
  <c r="K54" i="7"/>
  <c r="M54" i="7"/>
  <c r="D55" i="7"/>
  <c r="E55" i="7"/>
  <c r="N55" i="7" s="1"/>
  <c r="F55" i="7"/>
  <c r="G55" i="7"/>
  <c r="H55" i="7"/>
  <c r="I55" i="7"/>
  <c r="J55" i="7"/>
  <c r="K55" i="7"/>
  <c r="D56" i="7"/>
  <c r="L56" i="7" s="1"/>
  <c r="P56" i="7" s="1"/>
  <c r="E56" i="7"/>
  <c r="N56" i="7" s="1"/>
  <c r="F56" i="7"/>
  <c r="G56" i="7"/>
  <c r="H56" i="7"/>
  <c r="I56" i="7"/>
  <c r="O56" i="7" s="1"/>
  <c r="J56" i="7"/>
  <c r="K56" i="7"/>
  <c r="M56" i="7"/>
  <c r="Q56" i="7" s="1"/>
  <c r="D57" i="7"/>
  <c r="E57" i="7"/>
  <c r="N57" i="7" s="1"/>
  <c r="F57" i="7"/>
  <c r="G57" i="7"/>
  <c r="H57" i="7"/>
  <c r="M57" i="7" s="1"/>
  <c r="Q57" i="7" s="1"/>
  <c r="I57" i="7"/>
  <c r="O57" i="7" s="1"/>
  <c r="J57" i="7"/>
  <c r="K57" i="7"/>
  <c r="D58" i="7"/>
  <c r="E58" i="7"/>
  <c r="N58" i="7" s="1"/>
  <c r="F58" i="7"/>
  <c r="G58" i="7"/>
  <c r="H58" i="7"/>
  <c r="I58" i="7"/>
  <c r="O58" i="7" s="1"/>
  <c r="J58" i="7"/>
  <c r="K58" i="7"/>
  <c r="M58" i="7" s="1"/>
  <c r="Q58" i="7" s="1"/>
  <c r="D59" i="7"/>
  <c r="E59" i="7"/>
  <c r="N59" i="7" s="1"/>
  <c r="F59" i="7"/>
  <c r="G59" i="7"/>
  <c r="H59" i="7"/>
  <c r="I59" i="7"/>
  <c r="J59" i="7"/>
  <c r="K59" i="7"/>
  <c r="D60" i="7"/>
  <c r="L60" i="7" s="1"/>
  <c r="P60" i="7" s="1"/>
  <c r="E60" i="7"/>
  <c r="N60" i="7" s="1"/>
  <c r="F60" i="7"/>
  <c r="G60" i="7"/>
  <c r="H60" i="7"/>
  <c r="I60" i="7"/>
  <c r="J60" i="7"/>
  <c r="K60" i="7"/>
  <c r="M60" i="7"/>
  <c r="D61" i="7"/>
  <c r="E61" i="7"/>
  <c r="N61" i="7" s="1"/>
  <c r="F61" i="7"/>
  <c r="G61" i="7"/>
  <c r="H61" i="7"/>
  <c r="I61" i="7"/>
  <c r="O61" i="7" s="1"/>
  <c r="J61" i="7"/>
  <c r="K61" i="7"/>
  <c r="D62" i="7"/>
  <c r="E62" i="7"/>
  <c r="N62" i="7" s="1"/>
  <c r="F62" i="7"/>
  <c r="G62" i="7"/>
  <c r="H62" i="7"/>
  <c r="I62" i="7"/>
  <c r="J62" i="7"/>
  <c r="K62" i="7"/>
  <c r="M62" i="7"/>
  <c r="D63" i="7"/>
  <c r="E63" i="7"/>
  <c r="N63" i="7" s="1"/>
  <c r="F63" i="7"/>
  <c r="G63" i="7"/>
  <c r="H63" i="7"/>
  <c r="I63" i="7"/>
  <c r="J63" i="7"/>
  <c r="K63" i="7"/>
  <c r="D64" i="7"/>
  <c r="L64" i="7" s="1"/>
  <c r="P64" i="7" s="1"/>
  <c r="E64" i="7"/>
  <c r="N64" i="7" s="1"/>
  <c r="F64" i="7"/>
  <c r="G64" i="7"/>
  <c r="H64" i="7"/>
  <c r="I64" i="7"/>
  <c r="O64" i="7" s="1"/>
  <c r="J64" i="7"/>
  <c r="K64" i="7"/>
  <c r="M64" i="7"/>
  <c r="Q64" i="7" s="1"/>
  <c r="D65" i="7"/>
  <c r="E65" i="7"/>
  <c r="N65" i="7" s="1"/>
  <c r="F65" i="7"/>
  <c r="G65" i="7"/>
  <c r="H65" i="7"/>
  <c r="I65" i="7"/>
  <c r="O65" i="7" s="1"/>
  <c r="J65" i="7"/>
  <c r="K65" i="7"/>
  <c r="D66" i="7"/>
  <c r="E66" i="7"/>
  <c r="N66" i="7" s="1"/>
  <c r="F66" i="7"/>
  <c r="G66" i="7"/>
  <c r="H66" i="7"/>
  <c r="I66" i="7"/>
  <c r="J66" i="7"/>
  <c r="K66" i="7"/>
  <c r="M66" i="7" s="1"/>
  <c r="D67" i="7"/>
  <c r="E67" i="7"/>
  <c r="N67" i="7" s="1"/>
  <c r="F67" i="7"/>
  <c r="G67" i="7"/>
  <c r="H67" i="7"/>
  <c r="I67" i="7"/>
  <c r="J67" i="7"/>
  <c r="K67" i="7"/>
  <c r="D68" i="7"/>
  <c r="L68" i="7" s="1"/>
  <c r="P68" i="7" s="1"/>
  <c r="E68" i="7"/>
  <c r="N68" i="7" s="1"/>
  <c r="F68" i="7"/>
  <c r="G68" i="7"/>
  <c r="H68" i="7"/>
  <c r="I68" i="7"/>
  <c r="O68" i="7" s="1"/>
  <c r="J68" i="7"/>
  <c r="K68" i="7"/>
  <c r="M68" i="7"/>
  <c r="Q68" i="7" s="1"/>
  <c r="D69" i="7"/>
  <c r="E69" i="7"/>
  <c r="N69" i="7" s="1"/>
  <c r="F69" i="7"/>
  <c r="G69" i="7"/>
  <c r="H69" i="7"/>
  <c r="M69" i="7" s="1"/>
  <c r="Q69" i="7" s="1"/>
  <c r="I69" i="7"/>
  <c r="O69" i="7" s="1"/>
  <c r="J69" i="7"/>
  <c r="K69" i="7"/>
  <c r="D70" i="7"/>
  <c r="E70" i="7"/>
  <c r="N70" i="7" s="1"/>
  <c r="F70" i="7"/>
  <c r="G70" i="7"/>
  <c r="H70" i="7"/>
  <c r="I70" i="7"/>
  <c r="O70" i="7" s="1"/>
  <c r="J70" i="7"/>
  <c r="K70" i="7"/>
  <c r="M70" i="7" s="1"/>
  <c r="Q70" i="7" s="1"/>
  <c r="D71" i="7"/>
  <c r="E71" i="7"/>
  <c r="N71" i="7" s="1"/>
  <c r="F71" i="7"/>
  <c r="G71" i="7"/>
  <c r="H71" i="7"/>
  <c r="I71" i="7"/>
  <c r="J71" i="7"/>
  <c r="K71" i="7"/>
  <c r="D72" i="7"/>
  <c r="L72" i="7" s="1"/>
  <c r="P72" i="7" s="1"/>
  <c r="E72" i="7"/>
  <c r="N72" i="7" s="1"/>
  <c r="F72" i="7"/>
  <c r="G72" i="7"/>
  <c r="H72" i="7"/>
  <c r="I72" i="7"/>
  <c r="J72" i="7"/>
  <c r="K72" i="7"/>
  <c r="M72" i="7"/>
  <c r="D73" i="7"/>
  <c r="E73" i="7"/>
  <c r="N73" i="7" s="1"/>
  <c r="F73" i="7"/>
  <c r="G73" i="7"/>
  <c r="H73" i="7"/>
  <c r="I73" i="7"/>
  <c r="O73" i="7" s="1"/>
  <c r="J73" i="7"/>
  <c r="K73" i="7"/>
  <c r="D74" i="7"/>
  <c r="L74" i="7" s="1"/>
  <c r="E74" i="7"/>
  <c r="N74" i="7" s="1"/>
  <c r="F74" i="7"/>
  <c r="G74" i="7"/>
  <c r="H74" i="7"/>
  <c r="I74" i="7"/>
  <c r="J74" i="7"/>
  <c r="K74" i="7"/>
  <c r="M74" i="7"/>
  <c r="P74" i="7"/>
  <c r="D75" i="7"/>
  <c r="E75" i="7"/>
  <c r="N75" i="7" s="1"/>
  <c r="F75" i="7"/>
  <c r="G75" i="7"/>
  <c r="H75" i="7"/>
  <c r="I75" i="7"/>
  <c r="J75" i="7"/>
  <c r="K75" i="7"/>
  <c r="D76" i="7"/>
  <c r="E76" i="7"/>
  <c r="N76" i="7" s="1"/>
  <c r="F76" i="7"/>
  <c r="G76" i="7"/>
  <c r="H76" i="7"/>
  <c r="I76" i="7"/>
  <c r="J76" i="7"/>
  <c r="K76" i="7"/>
  <c r="M76" i="7" s="1"/>
  <c r="D77" i="7"/>
  <c r="E77" i="7"/>
  <c r="N77" i="7" s="1"/>
  <c r="F77" i="7"/>
  <c r="G77" i="7"/>
  <c r="H77" i="7"/>
  <c r="I77" i="7"/>
  <c r="J77" i="7"/>
  <c r="K77" i="7"/>
  <c r="D78" i="7"/>
  <c r="L78" i="7" s="1"/>
  <c r="P78" i="7" s="1"/>
  <c r="E78" i="7"/>
  <c r="N78" i="7" s="1"/>
  <c r="F78" i="7"/>
  <c r="G78" i="7"/>
  <c r="H78" i="7"/>
  <c r="I78" i="7"/>
  <c r="O78" i="7" s="1"/>
  <c r="J78" i="7"/>
  <c r="K78" i="7"/>
  <c r="M78" i="7"/>
  <c r="Q78" i="7" s="1"/>
  <c r="D79" i="7"/>
  <c r="L79" i="7" s="1"/>
  <c r="P79" i="7" s="1"/>
  <c r="E79" i="7"/>
  <c r="N79" i="7" s="1"/>
  <c r="F79" i="7"/>
  <c r="G79" i="7"/>
  <c r="H79" i="7"/>
  <c r="M79" i="7" s="1"/>
  <c r="I79" i="7"/>
  <c r="J79" i="7"/>
  <c r="K79" i="7"/>
  <c r="D80" i="7"/>
  <c r="E80" i="7"/>
  <c r="N80" i="7" s="1"/>
  <c r="F80" i="7"/>
  <c r="G80" i="7"/>
  <c r="H80" i="7"/>
  <c r="I80" i="7"/>
  <c r="O80" i="7" s="1"/>
  <c r="J80" i="7"/>
  <c r="K80" i="7"/>
  <c r="M80" i="7"/>
  <c r="Q80" i="7" s="1"/>
  <c r="D81" i="7"/>
  <c r="E81" i="7"/>
  <c r="N81" i="7" s="1"/>
  <c r="F81" i="7"/>
  <c r="G81" i="7"/>
  <c r="H81" i="7"/>
  <c r="I81" i="7"/>
  <c r="O81" i="7" s="1"/>
  <c r="J81" i="7"/>
  <c r="K81" i="7"/>
  <c r="E32" i="14"/>
  <c r="F31" i="14"/>
  <c r="G31" i="14" s="1"/>
  <c r="C29" i="7" s="1"/>
  <c r="C55" i="7" s="1"/>
  <c r="C81" i="7" s="1"/>
  <c r="F30" i="14"/>
  <c r="G30" i="14" s="1"/>
  <c r="C28" i="7" s="1"/>
  <c r="C54" i="7" s="1"/>
  <c r="C80" i="7" s="1"/>
  <c r="F29" i="14"/>
  <c r="G29" i="14" s="1"/>
  <c r="C27" i="7" s="1"/>
  <c r="C53" i="7" s="1"/>
  <c r="C79" i="7" s="1"/>
  <c r="F28" i="14"/>
  <c r="G28" i="14" s="1"/>
  <c r="C26" i="7" s="1"/>
  <c r="C52" i="7" s="1"/>
  <c r="C78" i="7" s="1"/>
  <c r="F27" i="14"/>
  <c r="G27" i="14" s="1"/>
  <c r="C25" i="7" s="1"/>
  <c r="S25" i="7" s="1"/>
  <c r="G26" i="14"/>
  <c r="C24" i="7" s="1"/>
  <c r="C50" i="7" s="1"/>
  <c r="C76" i="7" s="1"/>
  <c r="F26" i="14"/>
  <c r="F25" i="14"/>
  <c r="G25" i="14" s="1"/>
  <c r="C23" i="7" s="1"/>
  <c r="C49" i="7" s="1"/>
  <c r="C75" i="7" s="1"/>
  <c r="E24" i="14"/>
  <c r="F24" i="14" s="1"/>
  <c r="G24" i="14" s="1"/>
  <c r="C22" i="7" s="1"/>
  <c r="C48" i="7" s="1"/>
  <c r="C74" i="7" s="1"/>
  <c r="D24" i="14"/>
  <c r="F23" i="14"/>
  <c r="G23" i="14" s="1"/>
  <c r="C21" i="7" s="1"/>
  <c r="C47" i="7" s="1"/>
  <c r="C73" i="7" s="1"/>
  <c r="F22" i="14"/>
  <c r="G22" i="14" s="1"/>
  <c r="C20" i="7" s="1"/>
  <c r="C46" i="7" s="1"/>
  <c r="C72" i="7" s="1"/>
  <c r="G21" i="14"/>
  <c r="C19" i="7" s="1"/>
  <c r="C45" i="7" s="1"/>
  <c r="C71" i="7" s="1"/>
  <c r="F21" i="14"/>
  <c r="F20" i="14"/>
  <c r="G20" i="14" s="1"/>
  <c r="C18" i="7" s="1"/>
  <c r="C44" i="7" s="1"/>
  <c r="C70" i="7" s="1"/>
  <c r="F19" i="14"/>
  <c r="G19" i="14" s="1"/>
  <c r="C17" i="7" s="1"/>
  <c r="C43" i="7" s="1"/>
  <c r="C69" i="7" s="1"/>
  <c r="F18" i="14"/>
  <c r="G18" i="14" s="1"/>
  <c r="C16" i="7" s="1"/>
  <c r="C42" i="7" s="1"/>
  <c r="C68" i="7" s="1"/>
  <c r="E17" i="14"/>
  <c r="D17" i="14"/>
  <c r="F17" i="14" s="1"/>
  <c r="G17" i="14" s="1"/>
  <c r="C15" i="7" s="1"/>
  <c r="C41" i="7" s="1"/>
  <c r="C67" i="7" s="1"/>
  <c r="G16" i="14"/>
  <c r="C14" i="7" s="1"/>
  <c r="C40" i="7" s="1"/>
  <c r="C66" i="7" s="1"/>
  <c r="F16" i="14"/>
  <c r="F15" i="14"/>
  <c r="G15" i="14" s="1"/>
  <c r="C13" i="7" s="1"/>
  <c r="C39" i="7" s="1"/>
  <c r="C65" i="7" s="1"/>
  <c r="F14" i="14"/>
  <c r="G14" i="14" s="1"/>
  <c r="C12" i="7" s="1"/>
  <c r="C38" i="7" s="1"/>
  <c r="C64" i="7" s="1"/>
  <c r="F13" i="14"/>
  <c r="G13" i="14" s="1"/>
  <c r="C11" i="7" s="1"/>
  <c r="C37" i="7" s="1"/>
  <c r="C63" i="7" s="1"/>
  <c r="F12" i="14"/>
  <c r="G12" i="14" s="1"/>
  <c r="C10" i="7" s="1"/>
  <c r="C36" i="7" s="1"/>
  <c r="C62" i="7" s="1"/>
  <c r="F11" i="14"/>
  <c r="G11" i="14" s="1"/>
  <c r="C9" i="7" s="1"/>
  <c r="G10" i="14"/>
  <c r="C8" i="7" s="1"/>
  <c r="C34" i="7" s="1"/>
  <c r="C60" i="7" s="1"/>
  <c r="F10" i="14"/>
  <c r="F9" i="14"/>
  <c r="G9" i="14" s="1"/>
  <c r="C7" i="7" s="1"/>
  <c r="C33" i="7" s="1"/>
  <c r="C59" i="7" s="1"/>
  <c r="F8" i="14"/>
  <c r="G8" i="14" s="1"/>
  <c r="C6" i="7" s="1"/>
  <c r="C32" i="7" s="1"/>
  <c r="C58" i="7" s="1"/>
  <c r="F7" i="14"/>
  <c r="G7" i="14" s="1"/>
  <c r="C5" i="7" s="1"/>
  <c r="C31" i="7" s="1"/>
  <c r="F6" i="14"/>
  <c r="G6" i="14" s="1"/>
  <c r="C4" i="7" s="1"/>
  <c r="C30" i="7" s="1"/>
  <c r="C56" i="7" s="1"/>
  <c r="R9" i="7" l="1"/>
  <c r="C35" i="7"/>
  <c r="C61" i="7" s="1"/>
  <c r="T61" i="7" s="1"/>
  <c r="C57" i="7"/>
  <c r="T57" i="7" s="1"/>
  <c r="S31" i="7"/>
  <c r="T27" i="7"/>
  <c r="T12" i="7"/>
  <c r="T45" i="7"/>
  <c r="S80" i="7"/>
  <c r="T78" i="7"/>
  <c r="R72" i="7"/>
  <c r="T69" i="7"/>
  <c r="T41" i="7"/>
  <c r="T36" i="7"/>
  <c r="T31" i="7"/>
  <c r="S28" i="7"/>
  <c r="T26" i="7"/>
  <c r="T21" i="7"/>
  <c r="T16" i="7"/>
  <c r="T59" i="7"/>
  <c r="R68" i="7"/>
  <c r="T65" i="7"/>
  <c r="T60" i="7"/>
  <c r="T46" i="7"/>
  <c r="T7" i="7"/>
  <c r="T17" i="7"/>
  <c r="T70" i="7"/>
  <c r="T22" i="7"/>
  <c r="R60" i="7"/>
  <c r="T52" i="7"/>
  <c r="T33" i="7"/>
  <c r="T8" i="7"/>
  <c r="T80" i="7"/>
  <c r="R79" i="7"/>
  <c r="S68" i="7"/>
  <c r="R56" i="7"/>
  <c r="S53" i="7"/>
  <c r="C51" i="7"/>
  <c r="C77" i="7" s="1"/>
  <c r="T77" i="7" s="1"/>
  <c r="T43" i="7"/>
  <c r="S40" i="7"/>
  <c r="T38" i="7"/>
  <c r="T28" i="7"/>
  <c r="T23" i="7"/>
  <c r="T18" i="7"/>
  <c r="S5" i="7"/>
  <c r="T79" i="7"/>
  <c r="T37" i="7"/>
  <c r="T75" i="7"/>
  <c r="S23" i="7"/>
  <c r="S10" i="7"/>
  <c r="T76" i="7"/>
  <c r="T71" i="7"/>
  <c r="S64" i="7"/>
  <c r="T62" i="7"/>
  <c r="T53" i="7"/>
  <c r="T48" i="7"/>
  <c r="S29" i="7"/>
  <c r="T9" i="7"/>
  <c r="R64" i="7"/>
  <c r="T47" i="7"/>
  <c r="T13" i="7"/>
  <c r="T81" i="7"/>
  <c r="S78" i="7"/>
  <c r="T67" i="7"/>
  <c r="T58" i="7"/>
  <c r="S54" i="7"/>
  <c r="T39" i="7"/>
  <c r="T34" i="7"/>
  <c r="T29" i="7"/>
  <c r="T19" i="7"/>
  <c r="S16" i="7"/>
  <c r="T14" i="7"/>
  <c r="R8" i="7"/>
  <c r="T4" i="7"/>
  <c r="S34" i="7"/>
  <c r="T42" i="7"/>
  <c r="T63" i="7"/>
  <c r="T49" i="7"/>
  <c r="T44" i="7"/>
  <c r="T24" i="7"/>
  <c r="R78" i="7"/>
  <c r="R74" i="7"/>
  <c r="T72" i="7"/>
  <c r="S56" i="7"/>
  <c r="T54" i="7"/>
  <c r="T15" i="7"/>
  <c r="T10" i="7"/>
  <c r="S47" i="7"/>
  <c r="S58" i="7"/>
  <c r="T66" i="7"/>
  <c r="T40" i="7"/>
  <c r="T30" i="7"/>
  <c r="T25" i="7"/>
  <c r="S22" i="7"/>
  <c r="T20" i="7"/>
  <c r="S11" i="7"/>
  <c r="T74" i="7"/>
  <c r="T56" i="7"/>
  <c r="T32" i="7"/>
  <c r="T68" i="7"/>
  <c r="T73" i="7"/>
  <c r="S70" i="7"/>
  <c r="S69" i="7"/>
  <c r="T64" i="7"/>
  <c r="T55" i="7"/>
  <c r="T50" i="7"/>
  <c r="S41" i="7"/>
  <c r="T11" i="7"/>
  <c r="T6" i="7"/>
  <c r="Q66" i="7"/>
  <c r="S66" i="7" s="1"/>
  <c r="L81" i="7"/>
  <c r="P81" i="7" s="1"/>
  <c r="R81" i="7" s="1"/>
  <c r="L65" i="7"/>
  <c r="P65" i="7" s="1"/>
  <c r="R65" i="7" s="1"/>
  <c r="P54" i="7"/>
  <c r="R54" i="7" s="1"/>
  <c r="P48" i="7"/>
  <c r="R48" i="7" s="1"/>
  <c r="P30" i="7"/>
  <c r="R30" i="7" s="1"/>
  <c r="P12" i="7"/>
  <c r="R12" i="7" s="1"/>
  <c r="S4" i="7"/>
  <c r="O71" i="7"/>
  <c r="L66" i="7"/>
  <c r="P66" i="7" s="1"/>
  <c r="R66" i="7" s="1"/>
  <c r="O59" i="7"/>
  <c r="L55" i="7"/>
  <c r="P55" i="7" s="1"/>
  <c r="R55" i="7" s="1"/>
  <c r="L80" i="7"/>
  <c r="P80" i="7" s="1"/>
  <c r="R80" i="7" s="1"/>
  <c r="Q52" i="7"/>
  <c r="S52" i="7" s="1"/>
  <c r="Q46" i="7"/>
  <c r="S46" i="7" s="1"/>
  <c r="P42" i="7"/>
  <c r="R42" i="7" s="1"/>
  <c r="P36" i="7"/>
  <c r="R36" i="7" s="1"/>
  <c r="P24" i="7"/>
  <c r="R24" i="7" s="1"/>
  <c r="P18" i="7"/>
  <c r="R18" i="7" s="1"/>
  <c r="P6" i="7"/>
  <c r="R6" i="7" s="1"/>
  <c r="O72" i="7"/>
  <c r="Q72" i="7" s="1"/>
  <c r="S72" i="7" s="1"/>
  <c r="M71" i="7"/>
  <c r="Q71" i="7" s="1"/>
  <c r="S71" i="7" s="1"/>
  <c r="L67" i="7"/>
  <c r="P67" i="7" s="1"/>
  <c r="R67" i="7" s="1"/>
  <c r="O60" i="7"/>
  <c r="Q60" i="7" s="1"/>
  <c r="S60" i="7" s="1"/>
  <c r="M59" i="7"/>
  <c r="Q59" i="7" s="1"/>
  <c r="S59" i="7" s="1"/>
  <c r="Q51" i="7"/>
  <c r="L49" i="7"/>
  <c r="P49" i="7" s="1"/>
  <c r="R49" i="7" s="1"/>
  <c r="Q45" i="7"/>
  <c r="S45" i="7" s="1"/>
  <c r="L43" i="7"/>
  <c r="P43" i="7" s="1"/>
  <c r="R43" i="7" s="1"/>
  <c r="Q39" i="7"/>
  <c r="S39" i="7" s="1"/>
  <c r="L37" i="7"/>
  <c r="P37" i="7" s="1"/>
  <c r="R37" i="7" s="1"/>
  <c r="Q33" i="7"/>
  <c r="S33" i="7" s="1"/>
  <c r="L31" i="7"/>
  <c r="P31" i="7" s="1"/>
  <c r="R31" i="7" s="1"/>
  <c r="Q27" i="7"/>
  <c r="S27" i="7" s="1"/>
  <c r="L25" i="7"/>
  <c r="P25" i="7" s="1"/>
  <c r="R25" i="7" s="1"/>
  <c r="Q21" i="7"/>
  <c r="S21" i="7" s="1"/>
  <c r="L19" i="7"/>
  <c r="P19" i="7" s="1"/>
  <c r="R19" i="7" s="1"/>
  <c r="Q15" i="7"/>
  <c r="S15" i="7" s="1"/>
  <c r="L13" i="7"/>
  <c r="P13" i="7" s="1"/>
  <c r="R13" i="7" s="1"/>
  <c r="Q9" i="7"/>
  <c r="S9" i="7" s="1"/>
  <c r="L7" i="7"/>
  <c r="P7" i="7" s="1"/>
  <c r="R7" i="7"/>
  <c r="O75" i="7"/>
  <c r="O74" i="7"/>
  <c r="Q74" i="7" s="1"/>
  <c r="S74" i="7" s="1"/>
  <c r="M73" i="7"/>
  <c r="Q73" i="7" s="1"/>
  <c r="S73" i="7" s="1"/>
  <c r="L69" i="7"/>
  <c r="P69" i="7" s="1"/>
  <c r="R69" i="7" s="1"/>
  <c r="O62" i="7"/>
  <c r="Q62" i="7" s="1"/>
  <c r="S62" i="7" s="1"/>
  <c r="M61" i="7"/>
  <c r="Q61" i="7" s="1"/>
  <c r="L57" i="7"/>
  <c r="P57" i="7" s="1"/>
  <c r="P50" i="7"/>
  <c r="R50" i="7" s="1"/>
  <c r="Q48" i="7"/>
  <c r="S48" i="7" s="1"/>
  <c r="P44" i="7"/>
  <c r="R44" i="7" s="1"/>
  <c r="Q42" i="7"/>
  <c r="S42" i="7" s="1"/>
  <c r="P38" i="7"/>
  <c r="R38" i="7" s="1"/>
  <c r="Q36" i="7"/>
  <c r="S36" i="7" s="1"/>
  <c r="P32" i="7"/>
  <c r="R32" i="7" s="1"/>
  <c r="Q30" i="7"/>
  <c r="S30" i="7" s="1"/>
  <c r="P26" i="7"/>
  <c r="R26" i="7" s="1"/>
  <c r="Q24" i="7"/>
  <c r="S24" i="7" s="1"/>
  <c r="P20" i="7"/>
  <c r="R20" i="7" s="1"/>
  <c r="Q18" i="7"/>
  <c r="S18" i="7" s="1"/>
  <c r="P14" i="7"/>
  <c r="R14" i="7" s="1"/>
  <c r="Q12" i="7"/>
  <c r="S12" i="7" s="1"/>
  <c r="Q6" i="7"/>
  <c r="S6" i="7" s="1"/>
  <c r="O77" i="7"/>
  <c r="O76" i="7"/>
  <c r="Q76" i="7" s="1"/>
  <c r="S76" i="7" s="1"/>
  <c r="M75" i="7"/>
  <c r="Q75" i="7" s="1"/>
  <c r="S75" i="7" s="1"/>
  <c r="L70" i="7"/>
  <c r="P70" i="7" s="1"/>
  <c r="R70" i="7" s="1"/>
  <c r="O63" i="7"/>
  <c r="L58" i="7"/>
  <c r="P58" i="7" s="1"/>
  <c r="R58" i="7" s="1"/>
  <c r="O79" i="7"/>
  <c r="Q79" i="7" s="1"/>
  <c r="S79" i="7" s="1"/>
  <c r="M77" i="7"/>
  <c r="L71" i="7"/>
  <c r="P71" i="7" s="1"/>
  <c r="R71" i="7" s="1"/>
  <c r="M63" i="7"/>
  <c r="Q63" i="7" s="1"/>
  <c r="S63" i="7" s="1"/>
  <c r="L59" i="7"/>
  <c r="P59" i="7" s="1"/>
  <c r="R59" i="7" s="1"/>
  <c r="L51" i="7"/>
  <c r="P51" i="7" s="1"/>
  <c r="L45" i="7"/>
  <c r="P45" i="7" s="1"/>
  <c r="R45" i="7" s="1"/>
  <c r="L39" i="7"/>
  <c r="P39" i="7" s="1"/>
  <c r="R39" i="7" s="1"/>
  <c r="L33" i="7"/>
  <c r="P33" i="7" s="1"/>
  <c r="R33" i="7" s="1"/>
  <c r="L27" i="7"/>
  <c r="P27" i="7" s="1"/>
  <c r="R27" i="7" s="1"/>
  <c r="L21" i="7"/>
  <c r="P21" i="7" s="1"/>
  <c r="R21" i="7" s="1"/>
  <c r="Q17" i="7"/>
  <c r="S17" i="7" s="1"/>
  <c r="L15" i="7"/>
  <c r="P15" i="7" s="1"/>
  <c r="R15" i="7" s="1"/>
  <c r="T5" i="7"/>
  <c r="L5" i="7"/>
  <c r="P5" i="7" s="1"/>
  <c r="R5" i="7" s="1"/>
  <c r="M81" i="7"/>
  <c r="Q81" i="7" s="1"/>
  <c r="S81" i="7" s="1"/>
  <c r="L73" i="7"/>
  <c r="P73" i="7" s="1"/>
  <c r="R73" i="7" s="1"/>
  <c r="O66" i="7"/>
  <c r="M65" i="7"/>
  <c r="Q65" i="7" s="1"/>
  <c r="S65" i="7" s="1"/>
  <c r="L61" i="7"/>
  <c r="P61" i="7" s="1"/>
  <c r="O55" i="7"/>
  <c r="O82" i="7" s="1"/>
  <c r="P52" i="7"/>
  <c r="R52" i="7" s="1"/>
  <c r="Q50" i="7"/>
  <c r="S50" i="7" s="1"/>
  <c r="P46" i="7"/>
  <c r="R46" i="7" s="1"/>
  <c r="Q44" i="7"/>
  <c r="S44" i="7" s="1"/>
  <c r="P40" i="7"/>
  <c r="R40" i="7" s="1"/>
  <c r="Q38" i="7"/>
  <c r="S38" i="7" s="1"/>
  <c r="P34" i="7"/>
  <c r="R34" i="7" s="1"/>
  <c r="Q32" i="7"/>
  <c r="S32" i="7" s="1"/>
  <c r="P28" i="7"/>
  <c r="R28" i="7" s="1"/>
  <c r="Q26" i="7"/>
  <c r="S26" i="7" s="1"/>
  <c r="P22" i="7"/>
  <c r="R22" i="7" s="1"/>
  <c r="Q20" i="7"/>
  <c r="S20" i="7" s="1"/>
  <c r="P16" i="7"/>
  <c r="R16" i="7" s="1"/>
  <c r="Q14" i="7"/>
  <c r="S14" i="7" s="1"/>
  <c r="P10" i="7"/>
  <c r="R10" i="7" s="1"/>
  <c r="Q8" i="7"/>
  <c r="S8" i="7" s="1"/>
  <c r="Q7" i="7"/>
  <c r="S7" i="7" s="1"/>
  <c r="P4" i="7"/>
  <c r="L75" i="7"/>
  <c r="P75" i="7" s="1"/>
  <c r="R75" i="7" s="1"/>
  <c r="O67" i="7"/>
  <c r="L62" i="7"/>
  <c r="P62" i="7" s="1"/>
  <c r="R62" i="7" s="1"/>
  <c r="M55" i="7"/>
  <c r="L77" i="7"/>
  <c r="P77" i="7" s="1"/>
  <c r="L76" i="7"/>
  <c r="P76" i="7" s="1"/>
  <c r="R76" i="7" s="1"/>
  <c r="M67" i="7"/>
  <c r="L63" i="7"/>
  <c r="P63" i="7" s="1"/>
  <c r="R63" i="7" s="1"/>
  <c r="L53" i="7"/>
  <c r="P53" i="7" s="1"/>
  <c r="R53" i="7" s="1"/>
  <c r="Q49" i="7"/>
  <c r="S49" i="7" s="1"/>
  <c r="L47" i="7"/>
  <c r="P47" i="7" s="1"/>
  <c r="R47" i="7" s="1"/>
  <c r="Q43" i="7"/>
  <c r="S43" i="7" s="1"/>
  <c r="L41" i="7"/>
  <c r="P41" i="7" s="1"/>
  <c r="R41" i="7" s="1"/>
  <c r="Q37" i="7"/>
  <c r="S37" i="7" s="1"/>
  <c r="L35" i="7"/>
  <c r="P35" i="7" s="1"/>
  <c r="L29" i="7"/>
  <c r="P29" i="7" s="1"/>
  <c r="R29" i="7" s="1"/>
  <c r="L23" i="7"/>
  <c r="P23" i="7" s="1"/>
  <c r="R23" i="7" s="1"/>
  <c r="Q19" i="7"/>
  <c r="S19" i="7" s="1"/>
  <c r="L17" i="7"/>
  <c r="P17" i="7" s="1"/>
  <c r="R17" i="7" s="1"/>
  <c r="Q13" i="7"/>
  <c r="S13" i="7" s="1"/>
  <c r="L11" i="7"/>
  <c r="P11" i="7" s="1"/>
  <c r="R11" i="7" s="1"/>
  <c r="D32" i="14"/>
  <c r="F32" i="14" s="1"/>
  <c r="D5" i="16"/>
  <c r="E5" i="16"/>
  <c r="F5" i="16"/>
  <c r="G5" i="16"/>
  <c r="H5" i="16"/>
  <c r="I5" i="16"/>
  <c r="J5" i="16"/>
  <c r="K5" i="16"/>
  <c r="L5" i="16"/>
  <c r="D6" i="16"/>
  <c r="E6" i="16"/>
  <c r="F6" i="16"/>
  <c r="G6" i="16"/>
  <c r="H6" i="16"/>
  <c r="I6" i="16"/>
  <c r="J6" i="16"/>
  <c r="K6" i="16"/>
  <c r="L6" i="16"/>
  <c r="D7" i="16"/>
  <c r="E7" i="16"/>
  <c r="F7" i="16"/>
  <c r="G7" i="16"/>
  <c r="H7" i="16"/>
  <c r="I7" i="16"/>
  <c r="J7" i="16"/>
  <c r="K7" i="16"/>
  <c r="L7" i="16"/>
  <c r="D8" i="16"/>
  <c r="E8" i="16"/>
  <c r="F8" i="16"/>
  <c r="G8" i="16"/>
  <c r="H8" i="16"/>
  <c r="I8" i="16"/>
  <c r="J8" i="16"/>
  <c r="K8" i="16"/>
  <c r="L8" i="16"/>
  <c r="D9" i="16"/>
  <c r="E9" i="16"/>
  <c r="F9" i="16"/>
  <c r="G9" i="16"/>
  <c r="H9" i="16"/>
  <c r="I9" i="16"/>
  <c r="J9" i="16"/>
  <c r="K9" i="16"/>
  <c r="L9" i="16"/>
  <c r="D10" i="16"/>
  <c r="E10" i="16"/>
  <c r="F10" i="16"/>
  <c r="G10" i="16"/>
  <c r="H10" i="16"/>
  <c r="I10" i="16"/>
  <c r="J10" i="16"/>
  <c r="K10" i="16"/>
  <c r="L10" i="16"/>
  <c r="D11" i="16"/>
  <c r="E11" i="16"/>
  <c r="F11" i="16"/>
  <c r="G11" i="16"/>
  <c r="H11" i="16"/>
  <c r="I11" i="16"/>
  <c r="J11" i="16"/>
  <c r="K11" i="16"/>
  <c r="L11" i="16"/>
  <c r="D12" i="16"/>
  <c r="E12" i="16"/>
  <c r="F12" i="16"/>
  <c r="G12" i="16"/>
  <c r="H12" i="16"/>
  <c r="I12" i="16"/>
  <c r="J12" i="16"/>
  <c r="K12" i="16"/>
  <c r="L12" i="16"/>
  <c r="D13" i="16"/>
  <c r="E13" i="16"/>
  <c r="F13" i="16"/>
  <c r="G13" i="16"/>
  <c r="H13" i="16"/>
  <c r="I13" i="16"/>
  <c r="J13" i="16"/>
  <c r="K13" i="16"/>
  <c r="L13" i="16"/>
  <c r="D14" i="16"/>
  <c r="E14" i="16"/>
  <c r="F14" i="16"/>
  <c r="G14" i="16"/>
  <c r="H14" i="16"/>
  <c r="I14" i="16"/>
  <c r="J14" i="16"/>
  <c r="K14" i="16"/>
  <c r="L14" i="16"/>
  <c r="D15" i="16"/>
  <c r="E15" i="16"/>
  <c r="F15" i="16"/>
  <c r="G15" i="16"/>
  <c r="H15" i="16"/>
  <c r="I15" i="16"/>
  <c r="J15" i="16"/>
  <c r="K15" i="16"/>
  <c r="L15" i="16"/>
  <c r="D16" i="16"/>
  <c r="E16" i="16"/>
  <c r="F16" i="16"/>
  <c r="G16" i="16"/>
  <c r="H16" i="16"/>
  <c r="I16" i="16"/>
  <c r="J16" i="16"/>
  <c r="K16" i="16"/>
  <c r="L16" i="16"/>
  <c r="D17" i="16"/>
  <c r="E17" i="16"/>
  <c r="F17" i="16"/>
  <c r="G17" i="16"/>
  <c r="H17" i="16"/>
  <c r="I17" i="16"/>
  <c r="J17" i="16"/>
  <c r="K17" i="16"/>
  <c r="L17" i="16"/>
  <c r="D18" i="16"/>
  <c r="E18" i="16"/>
  <c r="F18" i="16"/>
  <c r="G18" i="16"/>
  <c r="H18" i="16"/>
  <c r="I18" i="16"/>
  <c r="J18" i="16"/>
  <c r="K18" i="16"/>
  <c r="L18" i="16"/>
  <c r="D19" i="16"/>
  <c r="E19" i="16"/>
  <c r="F19" i="16"/>
  <c r="G19" i="16"/>
  <c r="H19" i="16"/>
  <c r="I19" i="16"/>
  <c r="J19" i="16"/>
  <c r="K19" i="16"/>
  <c r="L19" i="16"/>
  <c r="D20" i="16"/>
  <c r="E20" i="16"/>
  <c r="F20" i="16"/>
  <c r="G20" i="16"/>
  <c r="H20" i="16"/>
  <c r="I20" i="16"/>
  <c r="J20" i="16"/>
  <c r="K20" i="16"/>
  <c r="L20" i="16"/>
  <c r="D21" i="16"/>
  <c r="E21" i="16"/>
  <c r="F21" i="16"/>
  <c r="G21" i="16"/>
  <c r="H21" i="16"/>
  <c r="I21" i="16"/>
  <c r="J21" i="16"/>
  <c r="K21" i="16"/>
  <c r="L21" i="16"/>
  <c r="D22" i="16"/>
  <c r="E22" i="16"/>
  <c r="F22" i="16"/>
  <c r="G22" i="16"/>
  <c r="H22" i="16"/>
  <c r="I22" i="16"/>
  <c r="J22" i="16"/>
  <c r="K22" i="16"/>
  <c r="L22" i="16"/>
  <c r="D23" i="16"/>
  <c r="E23" i="16"/>
  <c r="F23" i="16"/>
  <c r="G23" i="16"/>
  <c r="H23" i="16"/>
  <c r="I23" i="16"/>
  <c r="J23" i="16"/>
  <c r="K23" i="16"/>
  <c r="L23" i="16"/>
  <c r="D24" i="16"/>
  <c r="E24" i="16"/>
  <c r="F24" i="16"/>
  <c r="G24" i="16"/>
  <c r="H24" i="16"/>
  <c r="I24" i="16"/>
  <c r="J24" i="16"/>
  <c r="K24" i="16"/>
  <c r="L24" i="16"/>
  <c r="D25" i="16"/>
  <c r="E25" i="16"/>
  <c r="F25" i="16"/>
  <c r="G25" i="16"/>
  <c r="H25" i="16"/>
  <c r="I25" i="16"/>
  <c r="J25" i="16"/>
  <c r="K25" i="16"/>
  <c r="L25" i="16"/>
  <c r="D26" i="16"/>
  <c r="E26" i="16"/>
  <c r="F26" i="16"/>
  <c r="G26" i="16"/>
  <c r="H26" i="16"/>
  <c r="I26" i="16"/>
  <c r="J26" i="16"/>
  <c r="K26" i="16"/>
  <c r="L26" i="16"/>
  <c r="D27" i="16"/>
  <c r="E27" i="16"/>
  <c r="F27" i="16"/>
  <c r="G27" i="16"/>
  <c r="H27" i="16"/>
  <c r="I27" i="16"/>
  <c r="J27" i="16"/>
  <c r="K27" i="16"/>
  <c r="L27" i="16"/>
  <c r="D28" i="16"/>
  <c r="E28" i="16"/>
  <c r="F28" i="16"/>
  <c r="G28" i="16"/>
  <c r="H28" i="16"/>
  <c r="I28" i="16"/>
  <c r="J28" i="16"/>
  <c r="K28" i="16"/>
  <c r="L28" i="16"/>
  <c r="D29" i="16"/>
  <c r="E29" i="16"/>
  <c r="F29" i="16"/>
  <c r="G29" i="16"/>
  <c r="H29" i="16"/>
  <c r="I29" i="16"/>
  <c r="J29" i="16"/>
  <c r="K29" i="16"/>
  <c r="L29" i="16"/>
  <c r="D30" i="16"/>
  <c r="E30" i="16"/>
  <c r="F30" i="16"/>
  <c r="G30" i="16"/>
  <c r="H30" i="16"/>
  <c r="I30" i="16"/>
  <c r="J30" i="16"/>
  <c r="K30" i="16"/>
  <c r="L30" i="16"/>
  <c r="D31" i="16"/>
  <c r="E31" i="16"/>
  <c r="F31" i="16"/>
  <c r="G31" i="16"/>
  <c r="H31" i="16"/>
  <c r="I31" i="16"/>
  <c r="J31" i="16"/>
  <c r="K31" i="16"/>
  <c r="L31" i="16"/>
  <c r="D32" i="16"/>
  <c r="E32" i="16"/>
  <c r="F32" i="16"/>
  <c r="G32" i="16"/>
  <c r="H32" i="16"/>
  <c r="I32" i="16"/>
  <c r="J32" i="16"/>
  <c r="K32" i="16"/>
  <c r="L32" i="16"/>
  <c r="D34" i="16"/>
  <c r="E34" i="16"/>
  <c r="F34" i="16"/>
  <c r="G34" i="16"/>
  <c r="H34" i="16"/>
  <c r="I34" i="16"/>
  <c r="J34" i="16"/>
  <c r="K34" i="16"/>
  <c r="L34" i="16"/>
  <c r="D35" i="16"/>
  <c r="E35" i="16"/>
  <c r="F35" i="16"/>
  <c r="G35" i="16"/>
  <c r="H35" i="16"/>
  <c r="I35" i="16"/>
  <c r="J35" i="16"/>
  <c r="K35" i="16"/>
  <c r="L35" i="16"/>
  <c r="D36" i="16"/>
  <c r="E36" i="16"/>
  <c r="F36" i="16"/>
  <c r="G36" i="16"/>
  <c r="H36" i="16"/>
  <c r="I36" i="16"/>
  <c r="J36" i="16"/>
  <c r="K36" i="16"/>
  <c r="L36" i="16"/>
  <c r="D37" i="16"/>
  <c r="E37" i="16"/>
  <c r="F37" i="16"/>
  <c r="G37" i="16"/>
  <c r="H37" i="16"/>
  <c r="I37" i="16"/>
  <c r="J37" i="16"/>
  <c r="K37" i="16"/>
  <c r="L37" i="16"/>
  <c r="D38" i="16"/>
  <c r="E38" i="16"/>
  <c r="F38" i="16"/>
  <c r="G38" i="16"/>
  <c r="H38" i="16"/>
  <c r="I38" i="16"/>
  <c r="J38" i="16"/>
  <c r="K38" i="16"/>
  <c r="L38" i="16"/>
  <c r="D39" i="16"/>
  <c r="E39" i="16"/>
  <c r="F39" i="16"/>
  <c r="G39" i="16"/>
  <c r="H39" i="16"/>
  <c r="I39" i="16"/>
  <c r="J39" i="16"/>
  <c r="K39" i="16"/>
  <c r="L39" i="16"/>
  <c r="D40" i="16"/>
  <c r="E40" i="16"/>
  <c r="F40" i="16"/>
  <c r="G40" i="16"/>
  <c r="H40" i="16"/>
  <c r="I40" i="16"/>
  <c r="J40" i="16"/>
  <c r="K40" i="16"/>
  <c r="L40" i="16"/>
  <c r="D41" i="16"/>
  <c r="E41" i="16"/>
  <c r="F41" i="16"/>
  <c r="G41" i="16"/>
  <c r="H41" i="16"/>
  <c r="I41" i="16"/>
  <c r="J41" i="16"/>
  <c r="K41" i="16"/>
  <c r="L41" i="16"/>
  <c r="D47" i="16"/>
  <c r="E47" i="16"/>
  <c r="F47" i="16"/>
  <c r="G47" i="16"/>
  <c r="H47" i="16"/>
  <c r="I47" i="16"/>
  <c r="J47" i="16"/>
  <c r="K47" i="16"/>
  <c r="L47" i="16"/>
  <c r="D48" i="16"/>
  <c r="E48" i="16"/>
  <c r="F48" i="16"/>
  <c r="G48" i="16"/>
  <c r="H48" i="16"/>
  <c r="I48" i="16"/>
  <c r="J48" i="16"/>
  <c r="K48" i="16"/>
  <c r="L48" i="16"/>
  <c r="D49" i="16"/>
  <c r="E49" i="16"/>
  <c r="F49" i="16"/>
  <c r="G49" i="16"/>
  <c r="H49" i="16"/>
  <c r="I49" i="16"/>
  <c r="J49" i="16"/>
  <c r="K49" i="16"/>
  <c r="L49" i="16"/>
  <c r="D50" i="16"/>
  <c r="E50" i="16"/>
  <c r="F50" i="16"/>
  <c r="G50" i="16"/>
  <c r="H50" i="16"/>
  <c r="I50" i="16"/>
  <c r="J50" i="16"/>
  <c r="K50" i="16"/>
  <c r="L50" i="16"/>
  <c r="D51" i="16"/>
  <c r="E51" i="16"/>
  <c r="F51" i="16"/>
  <c r="G51" i="16"/>
  <c r="H51" i="16"/>
  <c r="I51" i="16"/>
  <c r="J51" i="16"/>
  <c r="K51" i="16"/>
  <c r="L51" i="16"/>
  <c r="D52" i="16"/>
  <c r="E52" i="16"/>
  <c r="F52" i="16"/>
  <c r="G52" i="16"/>
  <c r="H52" i="16"/>
  <c r="I52" i="16"/>
  <c r="J52" i="16"/>
  <c r="K52" i="16"/>
  <c r="L52" i="16"/>
  <c r="D53" i="16"/>
  <c r="E53" i="16"/>
  <c r="F53" i="16"/>
  <c r="G53" i="16"/>
  <c r="H53" i="16"/>
  <c r="I53" i="16"/>
  <c r="J53" i="16"/>
  <c r="K53" i="16"/>
  <c r="L53" i="16"/>
  <c r="D54" i="16"/>
  <c r="E54" i="16"/>
  <c r="F54" i="16"/>
  <c r="G54" i="16"/>
  <c r="H54" i="16"/>
  <c r="I54" i="16"/>
  <c r="J54" i="16"/>
  <c r="K54" i="16"/>
  <c r="L54" i="16"/>
  <c r="D55" i="16"/>
  <c r="E55" i="16"/>
  <c r="F55" i="16"/>
  <c r="G55" i="16"/>
  <c r="H55" i="16"/>
  <c r="I55" i="16"/>
  <c r="J55" i="16"/>
  <c r="K55" i="16"/>
  <c r="L55" i="16"/>
  <c r="D56" i="16"/>
  <c r="E56" i="16"/>
  <c r="F56" i="16"/>
  <c r="G56" i="16"/>
  <c r="H56" i="16"/>
  <c r="I56" i="16"/>
  <c r="J56" i="16"/>
  <c r="K56" i="16"/>
  <c r="L56" i="16"/>
  <c r="D57" i="16"/>
  <c r="E57" i="16"/>
  <c r="F57" i="16"/>
  <c r="G57" i="16"/>
  <c r="H57" i="16"/>
  <c r="I57" i="16"/>
  <c r="J57" i="16"/>
  <c r="K57" i="16"/>
  <c r="L57" i="16"/>
  <c r="D58" i="16"/>
  <c r="E58" i="16"/>
  <c r="F58" i="16"/>
  <c r="G58" i="16"/>
  <c r="H58" i="16"/>
  <c r="I58" i="16"/>
  <c r="J58" i="16"/>
  <c r="K58" i="16"/>
  <c r="L58" i="16"/>
  <c r="D59" i="16"/>
  <c r="E59" i="16"/>
  <c r="F59" i="16"/>
  <c r="G59" i="16"/>
  <c r="H59" i="16"/>
  <c r="I59" i="16"/>
  <c r="J59" i="16"/>
  <c r="K59" i="16"/>
  <c r="L59" i="16"/>
  <c r="D60" i="16"/>
  <c r="E60" i="16"/>
  <c r="F60" i="16"/>
  <c r="G60" i="16"/>
  <c r="H60" i="16"/>
  <c r="I60" i="16"/>
  <c r="J60" i="16"/>
  <c r="K60" i="16"/>
  <c r="L60" i="16"/>
  <c r="D61" i="16"/>
  <c r="E61" i="16"/>
  <c r="F61" i="16"/>
  <c r="G61" i="16"/>
  <c r="H61" i="16"/>
  <c r="I61" i="16"/>
  <c r="J61" i="16"/>
  <c r="K61" i="16"/>
  <c r="L61" i="16"/>
  <c r="D62" i="16"/>
  <c r="E62" i="16"/>
  <c r="F62" i="16"/>
  <c r="G62" i="16"/>
  <c r="H62" i="16"/>
  <c r="I62" i="16"/>
  <c r="J62" i="16"/>
  <c r="K62" i="16"/>
  <c r="L62" i="16"/>
  <c r="D63" i="16"/>
  <c r="E63" i="16"/>
  <c r="F63" i="16"/>
  <c r="G63" i="16"/>
  <c r="H63" i="16"/>
  <c r="I63" i="16"/>
  <c r="J63" i="16"/>
  <c r="K63" i="16"/>
  <c r="L63" i="16"/>
  <c r="D64" i="16"/>
  <c r="E64" i="16"/>
  <c r="F64" i="16"/>
  <c r="G64" i="16"/>
  <c r="H64" i="16"/>
  <c r="I64" i="16"/>
  <c r="J64" i="16"/>
  <c r="K64" i="16"/>
  <c r="L64" i="16"/>
  <c r="D65" i="16"/>
  <c r="E65" i="16"/>
  <c r="F65" i="16"/>
  <c r="G65" i="16"/>
  <c r="H65" i="16"/>
  <c r="I65" i="16"/>
  <c r="J65" i="16"/>
  <c r="K65" i="16"/>
  <c r="L65" i="16"/>
  <c r="D66" i="16"/>
  <c r="E66" i="16"/>
  <c r="F66" i="16"/>
  <c r="G66" i="16"/>
  <c r="H66" i="16"/>
  <c r="I66" i="16"/>
  <c r="J66" i="16"/>
  <c r="K66" i="16"/>
  <c r="L66" i="16"/>
  <c r="D67" i="16"/>
  <c r="E67" i="16"/>
  <c r="F67" i="16"/>
  <c r="G67" i="16"/>
  <c r="H67" i="16"/>
  <c r="I67" i="16"/>
  <c r="J67" i="16"/>
  <c r="K67" i="16"/>
  <c r="L67" i="16"/>
  <c r="D68" i="16"/>
  <c r="E68" i="16"/>
  <c r="F68" i="16"/>
  <c r="G68" i="16"/>
  <c r="H68" i="16"/>
  <c r="I68" i="16"/>
  <c r="J68" i="16"/>
  <c r="K68" i="16"/>
  <c r="L68" i="16"/>
  <c r="D69" i="16"/>
  <c r="E69" i="16"/>
  <c r="F69" i="16"/>
  <c r="G69" i="16"/>
  <c r="H69" i="16"/>
  <c r="I69" i="16"/>
  <c r="J69" i="16"/>
  <c r="K69" i="16"/>
  <c r="L69" i="16"/>
  <c r="D70" i="16"/>
  <c r="E70" i="16"/>
  <c r="F70" i="16"/>
  <c r="G70" i="16"/>
  <c r="H70" i="16"/>
  <c r="I70" i="16"/>
  <c r="J70" i="16"/>
  <c r="K70" i="16"/>
  <c r="L70" i="16"/>
  <c r="D71" i="16"/>
  <c r="E71" i="16"/>
  <c r="F71" i="16"/>
  <c r="G71" i="16"/>
  <c r="H71" i="16"/>
  <c r="I71" i="16"/>
  <c r="J71" i="16"/>
  <c r="K71" i="16"/>
  <c r="L71" i="16"/>
  <c r="D72" i="16"/>
  <c r="E72" i="16"/>
  <c r="F72" i="16"/>
  <c r="G72" i="16"/>
  <c r="H72" i="16"/>
  <c r="I72" i="16"/>
  <c r="J72" i="16"/>
  <c r="K72" i="16"/>
  <c r="L72" i="16"/>
  <c r="D73" i="16"/>
  <c r="E73" i="16"/>
  <c r="F73" i="16"/>
  <c r="G73" i="16"/>
  <c r="H73" i="16"/>
  <c r="I73" i="16"/>
  <c r="J73" i="16"/>
  <c r="K73" i="16"/>
  <c r="L73" i="16"/>
  <c r="D74" i="16"/>
  <c r="E74" i="16"/>
  <c r="F74" i="16"/>
  <c r="G74" i="16"/>
  <c r="H74" i="16"/>
  <c r="I74" i="16"/>
  <c r="J74" i="16"/>
  <c r="K74" i="16"/>
  <c r="L74" i="16"/>
  <c r="D89" i="16"/>
  <c r="E89" i="16"/>
  <c r="F89" i="16"/>
  <c r="G89" i="16"/>
  <c r="H89" i="16"/>
  <c r="I89" i="16"/>
  <c r="J89" i="16"/>
  <c r="K89" i="16"/>
  <c r="L89" i="16"/>
  <c r="D90" i="16"/>
  <c r="E90" i="16"/>
  <c r="F90" i="16"/>
  <c r="G90" i="16"/>
  <c r="H90" i="16"/>
  <c r="I90" i="16"/>
  <c r="J90" i="16"/>
  <c r="K90" i="16"/>
  <c r="L90" i="16"/>
  <c r="D91" i="16"/>
  <c r="E91" i="16"/>
  <c r="F91" i="16"/>
  <c r="G91" i="16"/>
  <c r="H91" i="16"/>
  <c r="I91" i="16"/>
  <c r="J91" i="16"/>
  <c r="K91" i="16"/>
  <c r="L91" i="16"/>
  <c r="D92" i="16"/>
  <c r="E92" i="16"/>
  <c r="F92" i="16"/>
  <c r="G92" i="16"/>
  <c r="H92" i="16"/>
  <c r="I92" i="16"/>
  <c r="J92" i="16"/>
  <c r="K92" i="16"/>
  <c r="L92" i="16"/>
  <c r="D93" i="16"/>
  <c r="E93" i="16"/>
  <c r="F93" i="16"/>
  <c r="G93" i="16"/>
  <c r="H93" i="16"/>
  <c r="I93" i="16"/>
  <c r="J93" i="16"/>
  <c r="K93" i="16"/>
  <c r="L93" i="16"/>
  <c r="D94" i="16"/>
  <c r="E94" i="16"/>
  <c r="F94" i="16"/>
  <c r="G94" i="16"/>
  <c r="H94" i="16"/>
  <c r="I94" i="16"/>
  <c r="J94" i="16"/>
  <c r="K94" i="16"/>
  <c r="L94" i="16"/>
  <c r="D95" i="16"/>
  <c r="E95" i="16"/>
  <c r="F95" i="16"/>
  <c r="G95" i="16"/>
  <c r="H95" i="16"/>
  <c r="I95" i="16"/>
  <c r="J95" i="16"/>
  <c r="K95" i="16"/>
  <c r="L95" i="16"/>
  <c r="D96" i="16"/>
  <c r="E96" i="16"/>
  <c r="F96" i="16"/>
  <c r="G96" i="16"/>
  <c r="H96" i="16"/>
  <c r="I96" i="16"/>
  <c r="J96" i="16"/>
  <c r="K96" i="16"/>
  <c r="L96" i="16"/>
  <c r="D97" i="16"/>
  <c r="E97" i="16"/>
  <c r="F97" i="16"/>
  <c r="G97" i="16"/>
  <c r="H97" i="16"/>
  <c r="I97" i="16"/>
  <c r="J97" i="16"/>
  <c r="K97" i="16"/>
  <c r="L97" i="16"/>
  <c r="D98" i="16"/>
  <c r="E98" i="16"/>
  <c r="F98" i="16"/>
  <c r="G98" i="16"/>
  <c r="H98" i="16"/>
  <c r="I98" i="16"/>
  <c r="J98" i="16"/>
  <c r="K98" i="16"/>
  <c r="L98" i="16"/>
  <c r="D99" i="16"/>
  <c r="E99" i="16"/>
  <c r="F99" i="16"/>
  <c r="G99" i="16"/>
  <c r="H99" i="16"/>
  <c r="I99" i="16"/>
  <c r="J99" i="16"/>
  <c r="K99" i="16"/>
  <c r="L99" i="16"/>
  <c r="D100" i="16"/>
  <c r="E100" i="16"/>
  <c r="F100" i="16"/>
  <c r="G100" i="16"/>
  <c r="H100" i="16"/>
  <c r="I100" i="16"/>
  <c r="J100" i="16"/>
  <c r="K100" i="16"/>
  <c r="L100" i="16"/>
  <c r="D101" i="16"/>
  <c r="E101" i="16"/>
  <c r="F101" i="16"/>
  <c r="G101" i="16"/>
  <c r="H101" i="16"/>
  <c r="I101" i="16"/>
  <c r="J101" i="16"/>
  <c r="K101" i="16"/>
  <c r="L101" i="16"/>
  <c r="D102" i="16"/>
  <c r="E102" i="16"/>
  <c r="F102" i="16"/>
  <c r="G102" i="16"/>
  <c r="H102" i="16"/>
  <c r="I102" i="16"/>
  <c r="J102" i="16"/>
  <c r="K102" i="16"/>
  <c r="L102" i="16"/>
  <c r="D103" i="16"/>
  <c r="E103" i="16"/>
  <c r="F103" i="16"/>
  <c r="G103" i="16"/>
  <c r="H103" i="16"/>
  <c r="I103" i="16"/>
  <c r="J103" i="16"/>
  <c r="K103" i="16"/>
  <c r="L103" i="16"/>
  <c r="D104" i="16"/>
  <c r="E104" i="16"/>
  <c r="F104" i="16"/>
  <c r="G104" i="16"/>
  <c r="H104" i="16"/>
  <c r="I104" i="16"/>
  <c r="J104" i="16"/>
  <c r="K104" i="16"/>
  <c r="L104" i="16"/>
  <c r="D105" i="16"/>
  <c r="E105" i="16"/>
  <c r="F105" i="16"/>
  <c r="G105" i="16"/>
  <c r="H105" i="16"/>
  <c r="I105" i="16"/>
  <c r="J105" i="16"/>
  <c r="K105" i="16"/>
  <c r="L105" i="16"/>
  <c r="D106" i="16"/>
  <c r="E106" i="16"/>
  <c r="F106" i="16"/>
  <c r="G106" i="16"/>
  <c r="H106" i="16"/>
  <c r="I106" i="16"/>
  <c r="J106" i="16"/>
  <c r="K106" i="16"/>
  <c r="L106" i="16"/>
  <c r="D107" i="16"/>
  <c r="E107" i="16"/>
  <c r="F107" i="16"/>
  <c r="G107" i="16"/>
  <c r="H107" i="16"/>
  <c r="I107" i="16"/>
  <c r="J107" i="16"/>
  <c r="K107" i="16"/>
  <c r="L107" i="16"/>
  <c r="D108" i="16"/>
  <c r="E108" i="16"/>
  <c r="F108" i="16"/>
  <c r="G108" i="16"/>
  <c r="H108" i="16"/>
  <c r="I108" i="16"/>
  <c r="J108" i="16"/>
  <c r="K108" i="16"/>
  <c r="L108" i="16"/>
  <c r="D109" i="16"/>
  <c r="E109" i="16"/>
  <c r="F109" i="16"/>
  <c r="G109" i="16"/>
  <c r="H109" i="16"/>
  <c r="I109" i="16"/>
  <c r="J109" i="16"/>
  <c r="K109" i="16"/>
  <c r="L109" i="16"/>
  <c r="D110" i="16"/>
  <c r="E110" i="16"/>
  <c r="F110" i="16"/>
  <c r="G110" i="16"/>
  <c r="H110" i="16"/>
  <c r="I110" i="16"/>
  <c r="J110" i="16"/>
  <c r="K110" i="16"/>
  <c r="L110" i="16"/>
  <c r="D111" i="16"/>
  <c r="E111" i="16"/>
  <c r="F111" i="16"/>
  <c r="G111" i="16"/>
  <c r="H111" i="16"/>
  <c r="I111" i="16"/>
  <c r="J111" i="16"/>
  <c r="K111" i="16"/>
  <c r="L111" i="16"/>
  <c r="D112" i="16"/>
  <c r="E112" i="16"/>
  <c r="F112" i="16"/>
  <c r="G112" i="16"/>
  <c r="H112" i="16"/>
  <c r="I112" i="16"/>
  <c r="J112" i="16"/>
  <c r="K112" i="16"/>
  <c r="L112" i="16"/>
  <c r="D113" i="16"/>
  <c r="E113" i="16"/>
  <c r="F113" i="16"/>
  <c r="G113" i="16"/>
  <c r="H113" i="16"/>
  <c r="I113" i="16"/>
  <c r="J113" i="16"/>
  <c r="K113" i="16"/>
  <c r="L113" i="16"/>
  <c r="D114" i="16"/>
  <c r="E114" i="16"/>
  <c r="F114" i="16"/>
  <c r="G114" i="16"/>
  <c r="H114" i="16"/>
  <c r="I114" i="16"/>
  <c r="J114" i="16"/>
  <c r="K114" i="16"/>
  <c r="L114" i="16"/>
  <c r="D115" i="16"/>
  <c r="E115" i="16"/>
  <c r="F115" i="16"/>
  <c r="G115" i="16"/>
  <c r="H115" i="16"/>
  <c r="I115" i="16"/>
  <c r="J115" i="16"/>
  <c r="K115" i="16"/>
  <c r="L115" i="16"/>
  <c r="D116" i="16"/>
  <c r="E116" i="16"/>
  <c r="F116" i="16"/>
  <c r="G116" i="16"/>
  <c r="H116" i="16"/>
  <c r="I116" i="16"/>
  <c r="J116" i="16"/>
  <c r="K116" i="16"/>
  <c r="L116" i="16"/>
  <c r="S57" i="7" l="1"/>
  <c r="R57" i="7"/>
  <c r="R51" i="7"/>
  <c r="T51" i="7"/>
  <c r="R77" i="7"/>
  <c r="R35" i="7"/>
  <c r="S35" i="7"/>
  <c r="S51" i="7"/>
  <c r="S61" i="7"/>
  <c r="T35" i="7"/>
  <c r="R61" i="7"/>
  <c r="L82" i="7"/>
  <c r="R4" i="7"/>
  <c r="P82" i="7"/>
  <c r="Q77" i="7"/>
  <c r="S77" i="7" s="1"/>
  <c r="Q67" i="7"/>
  <c r="S67" i="7" s="1"/>
  <c r="M82" i="7"/>
  <c r="Q55" i="7"/>
  <c r="S55" i="7" s="1"/>
  <c r="G5" i="10"/>
  <c r="G6" i="10"/>
  <c r="C6" i="10" s="1"/>
  <c r="G4" i="10"/>
  <c r="D5" i="10"/>
  <c r="C5" i="10" s="1"/>
  <c r="D6" i="10"/>
  <c r="D4" i="10"/>
  <c r="C4" i="10" s="1"/>
  <c r="AC52" i="11"/>
  <c r="Y52" i="11"/>
  <c r="W52" i="11"/>
  <c r="T52" i="11"/>
  <c r="S52" i="11"/>
  <c r="U52" i="11" s="1"/>
  <c r="P52" i="11"/>
  <c r="O52" i="11"/>
  <c r="L52" i="11"/>
  <c r="K52" i="11"/>
  <c r="M52" i="11" s="1"/>
  <c r="H52" i="11"/>
  <c r="G52" i="11"/>
  <c r="I52" i="11" s="1"/>
  <c r="D52" i="11"/>
  <c r="C52" i="11"/>
  <c r="AB51" i="11"/>
  <c r="AD51" i="11" s="1"/>
  <c r="Z51" i="11"/>
  <c r="X51" i="11"/>
  <c r="U51" i="11"/>
  <c r="Q51" i="11"/>
  <c r="M51" i="11"/>
  <c r="I51" i="11"/>
  <c r="E51" i="11"/>
  <c r="AD50" i="11"/>
  <c r="AB50" i="11"/>
  <c r="Z50" i="11"/>
  <c r="X50" i="11"/>
  <c r="U50" i="11"/>
  <c r="Q50" i="11"/>
  <c r="M50" i="11"/>
  <c r="I50" i="11"/>
  <c r="E50" i="11"/>
  <c r="AB49" i="11"/>
  <c r="U49" i="11"/>
  <c r="Q49" i="11"/>
  <c r="M49" i="11"/>
  <c r="I49" i="11"/>
  <c r="E49" i="11"/>
  <c r="AB48" i="11"/>
  <c r="AD48" i="11" s="1"/>
  <c r="AA48" i="11"/>
  <c r="U48" i="11"/>
  <c r="Q48" i="11"/>
  <c r="M48" i="11"/>
  <c r="I48" i="11"/>
  <c r="E48" i="11"/>
  <c r="AB47" i="11"/>
  <c r="U47" i="11"/>
  <c r="Q47" i="11"/>
  <c r="M47" i="11"/>
  <c r="I47" i="11"/>
  <c r="E47" i="11"/>
  <c r="AB46" i="11"/>
  <c r="AD46" i="11" s="1"/>
  <c r="Z46" i="11"/>
  <c r="X46" i="11"/>
  <c r="U46" i="11"/>
  <c r="Q46" i="11"/>
  <c r="M46" i="11"/>
  <c r="I46" i="11"/>
  <c r="E46" i="11"/>
  <c r="AB45" i="11"/>
  <c r="Z45" i="11" s="1"/>
  <c r="U45" i="11"/>
  <c r="Q45" i="11"/>
  <c r="M45" i="11"/>
  <c r="I45" i="11"/>
  <c r="E45" i="11"/>
  <c r="AB44" i="11"/>
  <c r="U44" i="11"/>
  <c r="Q44" i="11"/>
  <c r="M44" i="11"/>
  <c r="I44" i="11"/>
  <c r="E44" i="11"/>
  <c r="AB43" i="11"/>
  <c r="AD43" i="11" s="1"/>
  <c r="U43" i="11"/>
  <c r="Q43" i="11"/>
  <c r="M43" i="11"/>
  <c r="I43" i="11"/>
  <c r="E43" i="11"/>
  <c r="AC42" i="11"/>
  <c r="AC53" i="11" s="1"/>
  <c r="Y42" i="11"/>
  <c r="W42" i="11"/>
  <c r="T42" i="11"/>
  <c r="S42" i="11"/>
  <c r="P42" i="11"/>
  <c r="O42" i="11"/>
  <c r="O53" i="11" s="1"/>
  <c r="L42" i="11"/>
  <c r="K42" i="11"/>
  <c r="M42" i="11" s="1"/>
  <c r="H42" i="11"/>
  <c r="G42" i="11"/>
  <c r="D42" i="11"/>
  <c r="C42" i="11"/>
  <c r="AB41" i="11"/>
  <c r="U41" i="11"/>
  <c r="Q41" i="11"/>
  <c r="M41" i="11"/>
  <c r="I41" i="11"/>
  <c r="E41" i="11"/>
  <c r="AB40" i="11"/>
  <c r="AD40" i="11" s="1"/>
  <c r="Z40" i="11"/>
  <c r="U40" i="11"/>
  <c r="Q40" i="11"/>
  <c r="M40" i="11"/>
  <c r="I40" i="11"/>
  <c r="E40" i="11"/>
  <c r="AB39" i="11"/>
  <c r="X39" i="11" s="1"/>
  <c r="U39" i="11"/>
  <c r="Q39" i="11"/>
  <c r="M39" i="11"/>
  <c r="I39" i="11"/>
  <c r="E39" i="11"/>
  <c r="AD38" i="11"/>
  <c r="AB38" i="11"/>
  <c r="U38" i="11"/>
  <c r="Q38" i="11"/>
  <c r="M38" i="11"/>
  <c r="I38" i="11"/>
  <c r="E38" i="11"/>
  <c r="AB37" i="11"/>
  <c r="AD37" i="11" s="1"/>
  <c r="Z37" i="11"/>
  <c r="U37" i="11"/>
  <c r="Q37" i="11"/>
  <c r="M37" i="11"/>
  <c r="I37" i="11"/>
  <c r="E37" i="11"/>
  <c r="AB36" i="11"/>
  <c r="AD36" i="11" s="1"/>
  <c r="U36" i="11"/>
  <c r="Q36" i="11"/>
  <c r="M36" i="11"/>
  <c r="I36" i="11"/>
  <c r="E36" i="11"/>
  <c r="AB35" i="11"/>
  <c r="AD35" i="11" s="1"/>
  <c r="U35" i="11"/>
  <c r="Q35" i="11"/>
  <c r="M35" i="11"/>
  <c r="I35" i="11"/>
  <c r="E35" i="11"/>
  <c r="AB34" i="11"/>
  <c r="AD34" i="11" s="1"/>
  <c r="Z34" i="11"/>
  <c r="X34" i="11"/>
  <c r="U34" i="11"/>
  <c r="Q34" i="11"/>
  <c r="M34" i="11"/>
  <c r="I34" i="11"/>
  <c r="E34" i="11"/>
  <c r="AB33" i="11"/>
  <c r="AD33" i="11" s="1"/>
  <c r="Z33" i="11"/>
  <c r="U33" i="11"/>
  <c r="Q33" i="11"/>
  <c r="M33" i="11"/>
  <c r="I33" i="11"/>
  <c r="E33" i="11"/>
  <c r="AB32" i="11"/>
  <c r="U32" i="11"/>
  <c r="Q32" i="11"/>
  <c r="M32" i="11"/>
  <c r="I32" i="11"/>
  <c r="E32" i="11"/>
  <c r="AB31" i="11"/>
  <c r="AD31" i="11" s="1"/>
  <c r="Z31" i="11"/>
  <c r="U31" i="11"/>
  <c r="Q31" i="11"/>
  <c r="M31" i="11"/>
  <c r="I31" i="11"/>
  <c r="E31" i="11"/>
  <c r="AB30" i="11"/>
  <c r="AD30" i="11" s="1"/>
  <c r="U30" i="11"/>
  <c r="Q30" i="11"/>
  <c r="M30" i="11"/>
  <c r="I30" i="11"/>
  <c r="E30" i="11"/>
  <c r="AB29" i="11"/>
  <c r="AD29" i="11" s="1"/>
  <c r="U29" i="11"/>
  <c r="Q29" i="11"/>
  <c r="M29" i="11"/>
  <c r="I29" i="11"/>
  <c r="E29" i="11"/>
  <c r="AB28" i="11"/>
  <c r="AD28" i="11" s="1"/>
  <c r="Z28" i="11"/>
  <c r="U28" i="11"/>
  <c r="Q28" i="11"/>
  <c r="M28" i="11"/>
  <c r="I28" i="11"/>
  <c r="E28" i="11"/>
  <c r="AB27" i="11"/>
  <c r="AD27" i="11" s="1"/>
  <c r="Z27" i="11"/>
  <c r="X27" i="11"/>
  <c r="U27" i="11"/>
  <c r="Q27" i="11"/>
  <c r="M27" i="11"/>
  <c r="I27" i="11"/>
  <c r="E27" i="11"/>
  <c r="AB26" i="11"/>
  <c r="U26" i="11"/>
  <c r="Q26" i="11"/>
  <c r="M26" i="11"/>
  <c r="I26" i="11"/>
  <c r="E26" i="11"/>
  <c r="AB25" i="11"/>
  <c r="AD25" i="11" s="1"/>
  <c r="U25" i="11"/>
  <c r="Q25" i="11"/>
  <c r="M25" i="11"/>
  <c r="I25" i="11"/>
  <c r="E25" i="11"/>
  <c r="AB24" i="11"/>
  <c r="AD24" i="11" s="1"/>
  <c r="U24" i="11"/>
  <c r="Q24" i="11"/>
  <c r="M24" i="11"/>
  <c r="I24" i="11"/>
  <c r="E24" i="11"/>
  <c r="AB23" i="11"/>
  <c r="U23" i="11"/>
  <c r="Q23" i="11"/>
  <c r="M23" i="11"/>
  <c r="I23" i="11"/>
  <c r="E23" i="11"/>
  <c r="AB22" i="11"/>
  <c r="AD22" i="11" s="1"/>
  <c r="Z22" i="11"/>
  <c r="X22" i="11"/>
  <c r="U22" i="11"/>
  <c r="Q22" i="11"/>
  <c r="M22" i="11"/>
  <c r="I22" i="11"/>
  <c r="E22" i="11"/>
  <c r="AB21" i="11"/>
  <c r="AD21" i="11" s="1"/>
  <c r="U21" i="11"/>
  <c r="Q21" i="11"/>
  <c r="M21" i="11"/>
  <c r="I21" i="11"/>
  <c r="E21" i="11"/>
  <c r="AB20" i="11"/>
  <c r="AD20" i="11" s="1"/>
  <c r="U20" i="11"/>
  <c r="Q20" i="11"/>
  <c r="M20" i="11"/>
  <c r="I20" i="11"/>
  <c r="E20" i="11"/>
  <c r="AB19" i="11"/>
  <c r="AD19" i="11" s="1"/>
  <c r="Z19" i="11"/>
  <c r="X19" i="11"/>
  <c r="U19" i="11"/>
  <c r="Q19" i="11"/>
  <c r="M19" i="11"/>
  <c r="I19" i="11"/>
  <c r="E19" i="11"/>
  <c r="AB18" i="11"/>
  <c r="AD18" i="11" s="1"/>
  <c r="U18" i="11"/>
  <c r="Q18" i="11"/>
  <c r="M18" i="11"/>
  <c r="I18" i="11"/>
  <c r="E18" i="11"/>
  <c r="AB17" i="11"/>
  <c r="AD17" i="11" s="1"/>
  <c r="U17" i="11"/>
  <c r="Q17" i="11"/>
  <c r="M17" i="11"/>
  <c r="I17" i="11"/>
  <c r="E17" i="11"/>
  <c r="AB16" i="11"/>
  <c r="AD16" i="11" s="1"/>
  <c r="Z16" i="11"/>
  <c r="U16" i="11"/>
  <c r="Q16" i="11"/>
  <c r="M16" i="11"/>
  <c r="I16" i="11"/>
  <c r="E16" i="11"/>
  <c r="AB15" i="11"/>
  <c r="AD15" i="11" s="1"/>
  <c r="Z15" i="11"/>
  <c r="X15" i="11"/>
  <c r="U15" i="11"/>
  <c r="Q15" i="11"/>
  <c r="M15" i="11"/>
  <c r="I15" i="11"/>
  <c r="E15" i="11"/>
  <c r="AB14" i="11"/>
  <c r="X14" i="11" s="1"/>
  <c r="U14" i="11"/>
  <c r="Q14" i="11"/>
  <c r="M14" i="11"/>
  <c r="I14" i="11"/>
  <c r="E14" i="11"/>
  <c r="AB13" i="11"/>
  <c r="AD13" i="11" s="1"/>
  <c r="X13" i="11"/>
  <c r="U13" i="11"/>
  <c r="Q13" i="11"/>
  <c r="M13" i="11"/>
  <c r="I13" i="11"/>
  <c r="E13" i="11"/>
  <c r="AB12" i="11"/>
  <c r="AD12" i="11" s="1"/>
  <c r="Z12" i="11"/>
  <c r="U12" i="11"/>
  <c r="Q12" i="11"/>
  <c r="M12" i="11"/>
  <c r="I12" i="11"/>
  <c r="E12" i="11"/>
  <c r="AB11" i="11"/>
  <c r="X11" i="11" s="1"/>
  <c r="U11" i="11"/>
  <c r="Q11" i="11"/>
  <c r="M11" i="11"/>
  <c r="I11" i="11"/>
  <c r="E11" i="11"/>
  <c r="AB10" i="11"/>
  <c r="AD10" i="11" s="1"/>
  <c r="U10" i="11"/>
  <c r="Q10" i="11"/>
  <c r="M10" i="11"/>
  <c r="I10" i="11"/>
  <c r="E10" i="11"/>
  <c r="AB9" i="11"/>
  <c r="AD9" i="11" s="1"/>
  <c r="U9" i="11"/>
  <c r="Q9" i="11"/>
  <c r="M9" i="11"/>
  <c r="I9" i="11"/>
  <c r="E9" i="11"/>
  <c r="AB8" i="11"/>
  <c r="X8" i="11" s="1"/>
  <c r="Z8" i="11"/>
  <c r="U8" i="11"/>
  <c r="Q8" i="11"/>
  <c r="M8" i="11"/>
  <c r="I8" i="11"/>
  <c r="E8" i="11"/>
  <c r="AB7" i="11"/>
  <c r="AD7" i="11" s="1"/>
  <c r="Z7" i="11"/>
  <c r="U7" i="11"/>
  <c r="Q7" i="11"/>
  <c r="M7" i="11"/>
  <c r="I7" i="11"/>
  <c r="E7" i="11"/>
  <c r="AB6" i="11"/>
  <c r="AD6" i="11" s="1"/>
  <c r="X6" i="11"/>
  <c r="U6" i="11"/>
  <c r="Q6" i="11"/>
  <c r="M6" i="11"/>
  <c r="I6" i="11"/>
  <c r="E6" i="11"/>
  <c r="AB5" i="11"/>
  <c r="X5" i="11" s="1"/>
  <c r="U5" i="11"/>
  <c r="Q5" i="11"/>
  <c r="M5" i="11"/>
  <c r="I5" i="11"/>
  <c r="E5" i="11"/>
  <c r="Z6" i="11" l="1"/>
  <c r="Z25" i="11"/>
  <c r="X37" i="11"/>
  <c r="AD8" i="11"/>
  <c r="X10" i="11"/>
  <c r="X24" i="11"/>
  <c r="X36" i="11"/>
  <c r="Q52" i="11"/>
  <c r="Z10" i="11"/>
  <c r="Z24" i="11"/>
  <c r="X31" i="11"/>
  <c r="Z36" i="11"/>
  <c r="T53" i="11"/>
  <c r="AB42" i="11"/>
  <c r="AD42" i="11" s="1"/>
  <c r="W53" i="11"/>
  <c r="Y53" i="11"/>
  <c r="L53" i="11"/>
  <c r="X28" i="11"/>
  <c r="X40" i="11"/>
  <c r="E52" i="11"/>
  <c r="P53" i="11"/>
  <c r="Q53" i="11" s="1"/>
  <c r="X43" i="11"/>
  <c r="D53" i="11"/>
  <c r="X16" i="11"/>
  <c r="AD39" i="11"/>
  <c r="U42" i="11"/>
  <c r="Z43" i="11"/>
  <c r="Z13" i="11"/>
  <c r="X18" i="11"/>
  <c r="X33" i="11"/>
  <c r="AB52" i="11"/>
  <c r="Z52" i="11" s="1"/>
  <c r="Z18" i="11"/>
  <c r="C53" i="11"/>
  <c r="X7" i="11"/>
  <c r="X12" i="11"/>
  <c r="X25" i="11"/>
  <c r="I42" i="11"/>
  <c r="T82" i="7"/>
  <c r="S82" i="7"/>
  <c r="R82" i="7"/>
  <c r="Q82" i="7"/>
  <c r="L84" i="7"/>
  <c r="X52" i="11"/>
  <c r="AD52" i="11"/>
  <c r="Z23" i="11"/>
  <c r="X23" i="11"/>
  <c r="Z41" i="11"/>
  <c r="X41" i="11"/>
  <c r="Z26" i="11"/>
  <c r="X26" i="11"/>
  <c r="E42" i="11"/>
  <c r="AD26" i="11"/>
  <c r="Z47" i="11"/>
  <c r="X47" i="11"/>
  <c r="X21" i="11"/>
  <c r="AD47" i="11"/>
  <c r="X9" i="11"/>
  <c r="Z14" i="11"/>
  <c r="Z20" i="11"/>
  <c r="X20" i="11"/>
  <c r="Z21" i="11"/>
  <c r="Z29" i="11"/>
  <c r="X29" i="11"/>
  <c r="Z30" i="11"/>
  <c r="Z38" i="11"/>
  <c r="X38" i="11"/>
  <c r="Z39" i="11"/>
  <c r="K53" i="11"/>
  <c r="M53" i="11" s="1"/>
  <c r="N17" i="11" s="1"/>
  <c r="S53" i="11"/>
  <c r="U53" i="11" s="1"/>
  <c r="V52" i="11" s="1"/>
  <c r="AD11" i="11"/>
  <c r="Z17" i="11"/>
  <c r="X17" i="11"/>
  <c r="AD45" i="11"/>
  <c r="X30" i="11"/>
  <c r="X42" i="11"/>
  <c r="Z5" i="11"/>
  <c r="Z9" i="11"/>
  <c r="Z42" i="11"/>
  <c r="G53" i="11"/>
  <c r="Z32" i="11"/>
  <c r="X32" i="11"/>
  <c r="H53" i="11"/>
  <c r="AD14" i="11"/>
  <c r="Z11" i="11"/>
  <c r="AD23" i="11"/>
  <c r="AD32" i="11"/>
  <c r="AD41" i="11"/>
  <c r="X45" i="11"/>
  <c r="Q42" i="11"/>
  <c r="Z44" i="11"/>
  <c r="X44" i="11"/>
  <c r="Z49" i="11"/>
  <c r="X49" i="11"/>
  <c r="N30" i="11"/>
  <c r="N39" i="11"/>
  <c r="AD44" i="11"/>
  <c r="AD49" i="11"/>
  <c r="AD5" i="11"/>
  <c r="Z35" i="11"/>
  <c r="X35" i="11"/>
  <c r="N13" i="11" l="1"/>
  <c r="AB53" i="11"/>
  <c r="Z53" i="11" s="1"/>
  <c r="E53" i="11"/>
  <c r="F36" i="11" s="1"/>
  <c r="F29" i="11"/>
  <c r="F50" i="11"/>
  <c r="F25" i="11"/>
  <c r="F16" i="11"/>
  <c r="F40" i="11"/>
  <c r="F10" i="11"/>
  <c r="F18" i="11"/>
  <c r="F34" i="11"/>
  <c r="F7" i="11"/>
  <c r="F14" i="11"/>
  <c r="F44" i="11"/>
  <c r="F38" i="11"/>
  <c r="F20" i="11"/>
  <c r="F46" i="11"/>
  <c r="F45" i="11"/>
  <c r="F37" i="11"/>
  <c r="F39" i="11"/>
  <c r="F49" i="11"/>
  <c r="F30" i="11"/>
  <c r="F28" i="11"/>
  <c r="F6" i="11"/>
  <c r="F17" i="11"/>
  <c r="F23" i="11"/>
  <c r="F31" i="11"/>
  <c r="F35" i="11"/>
  <c r="F51" i="11"/>
  <c r="F13" i="11"/>
  <c r="F11" i="11"/>
  <c r="R14" i="11"/>
  <c r="R17" i="11"/>
  <c r="R19" i="11"/>
  <c r="R6" i="11"/>
  <c r="R40" i="11"/>
  <c r="R53" i="11"/>
  <c r="R43" i="11"/>
  <c r="R7" i="11"/>
  <c r="R38" i="11"/>
  <c r="R21" i="11"/>
  <c r="R18" i="11"/>
  <c r="R31" i="11"/>
  <c r="R10" i="11"/>
  <c r="R28" i="11"/>
  <c r="R5" i="11"/>
  <c r="R25" i="11"/>
  <c r="R33" i="11"/>
  <c r="R8" i="11"/>
  <c r="R35" i="11"/>
  <c r="R13" i="11"/>
  <c r="R22" i="11"/>
  <c r="R50" i="11"/>
  <c r="R37" i="11"/>
  <c r="R15" i="11"/>
  <c r="R44" i="11"/>
  <c r="R29" i="11"/>
  <c r="R23" i="11"/>
  <c r="R26" i="11"/>
  <c r="R45" i="11"/>
  <c r="R12" i="11"/>
  <c r="R9" i="11"/>
  <c r="R49" i="11"/>
  <c r="R30" i="11"/>
  <c r="R11" i="11"/>
  <c r="R39" i="11"/>
  <c r="R51" i="11"/>
  <c r="R34" i="11"/>
  <c r="R46" i="11"/>
  <c r="R36" i="11"/>
  <c r="R16" i="11"/>
  <c r="R27" i="11"/>
  <c r="R32" i="11"/>
  <c r="R47" i="11"/>
  <c r="R20" i="11"/>
  <c r="R24" i="11"/>
  <c r="R41" i="11"/>
  <c r="R52" i="11"/>
  <c r="V39" i="11"/>
  <c r="V9" i="11"/>
  <c r="F42" i="11"/>
  <c r="V42" i="11"/>
  <c r="V6" i="11"/>
  <c r="V31" i="11"/>
  <c r="R42" i="11"/>
  <c r="V29" i="11"/>
  <c r="N9" i="11"/>
  <c r="I53" i="11"/>
  <c r="J28" i="11" s="1"/>
  <c r="V41" i="11"/>
  <c r="N32" i="11"/>
  <c r="V17" i="11"/>
  <c r="E35" i="14"/>
  <c r="E37" i="14" s="1"/>
  <c r="V32" i="11"/>
  <c r="N12" i="11"/>
  <c r="V11" i="11"/>
  <c r="N50" i="11"/>
  <c r="V38" i="11"/>
  <c r="V40" i="11"/>
  <c r="N34" i="11"/>
  <c r="N25" i="11"/>
  <c r="N45" i="11"/>
  <c r="V20" i="11"/>
  <c r="N33" i="11"/>
  <c r="V45" i="11"/>
  <c r="N28" i="11"/>
  <c r="N26" i="11"/>
  <c r="N7" i="11"/>
  <c r="N47" i="11"/>
  <c r="N52" i="11"/>
  <c r="F33" i="11"/>
  <c r="F53" i="11"/>
  <c r="F52" i="11"/>
  <c r="F47" i="11"/>
  <c r="F24" i="11"/>
  <c r="AA24" i="11" s="1"/>
  <c r="F15" i="11"/>
  <c r="F8" i="11"/>
  <c r="V5" i="11"/>
  <c r="F27" i="11"/>
  <c r="V22" i="11"/>
  <c r="F5" i="11"/>
  <c r="F12" i="11"/>
  <c r="V16" i="11"/>
  <c r="F26" i="11"/>
  <c r="N18" i="11"/>
  <c r="V35" i="11"/>
  <c r="V49" i="11"/>
  <c r="V14" i="11"/>
  <c r="V26" i="11"/>
  <c r="V25" i="11"/>
  <c r="N6" i="11"/>
  <c r="N35" i="11"/>
  <c r="V44" i="11"/>
  <c r="J24" i="11"/>
  <c r="N43" i="11"/>
  <c r="J49" i="11"/>
  <c r="N19" i="11"/>
  <c r="N10" i="11"/>
  <c r="V47" i="11"/>
  <c r="F43" i="11"/>
  <c r="F19" i="11"/>
  <c r="N14" i="11"/>
  <c r="N37" i="11"/>
  <c r="F21" i="11"/>
  <c r="F41" i="11"/>
  <c r="F32" i="11"/>
  <c r="V21" i="11"/>
  <c r="J51" i="11"/>
  <c r="J40" i="11"/>
  <c r="J37" i="11"/>
  <c r="J34" i="11"/>
  <c r="J31" i="11"/>
  <c r="J9" i="11"/>
  <c r="J30" i="11"/>
  <c r="J27" i="11"/>
  <c r="J47" i="11"/>
  <c r="J36" i="11"/>
  <c r="J35" i="11"/>
  <c r="J26" i="11"/>
  <c r="J13" i="11"/>
  <c r="J6" i="11"/>
  <c r="N21" i="11"/>
  <c r="N36" i="11"/>
  <c r="N27" i="11"/>
  <c r="J11" i="11"/>
  <c r="J8" i="11"/>
  <c r="N16" i="11"/>
  <c r="N29" i="11"/>
  <c r="N20" i="11"/>
  <c r="V53" i="11"/>
  <c r="V37" i="11"/>
  <c r="V12" i="11"/>
  <c r="V24" i="11"/>
  <c r="V51" i="11"/>
  <c r="V46" i="11"/>
  <c r="V36" i="11"/>
  <c r="V27" i="11"/>
  <c r="V10" i="11"/>
  <c r="V43" i="11"/>
  <c r="V33" i="11"/>
  <c r="V15" i="11"/>
  <c r="V19" i="11"/>
  <c r="V28" i="11"/>
  <c r="V18" i="11"/>
  <c r="V34" i="11"/>
  <c r="N5" i="11"/>
  <c r="V13" i="11"/>
  <c r="V7" i="11"/>
  <c r="AA40" i="11"/>
  <c r="N15" i="11"/>
  <c r="V50" i="11"/>
  <c r="AD53" i="11"/>
  <c r="X53" i="11"/>
  <c r="J23" i="11"/>
  <c r="V23" i="11"/>
  <c r="N24" i="11"/>
  <c r="V8" i="11"/>
  <c r="J45" i="11"/>
  <c r="AA45" i="11" s="1"/>
  <c r="N41" i="11"/>
  <c r="N38" i="11"/>
  <c r="V30" i="11"/>
  <c r="N31" i="11"/>
  <c r="N53" i="11"/>
  <c r="N8" i="11"/>
  <c r="N42" i="11"/>
  <c r="N51" i="11"/>
  <c r="N46" i="11"/>
  <c r="N49" i="11"/>
  <c r="N44" i="11"/>
  <c r="N11" i="11"/>
  <c r="N40" i="11"/>
  <c r="N22" i="11"/>
  <c r="N23" i="11"/>
  <c r="AA51" i="11" l="1"/>
  <c r="J6" i="10" s="1"/>
  <c r="K6" i="10" s="1"/>
  <c r="J14" i="11"/>
  <c r="J53" i="11"/>
  <c r="J50" i="11"/>
  <c r="AA35" i="11"/>
  <c r="J44" i="11"/>
  <c r="J41" i="11"/>
  <c r="J16" i="11"/>
  <c r="AA16" i="11" s="1"/>
  <c r="J32" i="11"/>
  <c r="J33" i="11"/>
  <c r="AA33" i="11" s="1"/>
  <c r="J7" i="11"/>
  <c r="AA7" i="11" s="1"/>
  <c r="J22" i="11"/>
  <c r="AA37" i="11"/>
  <c r="J20" i="11"/>
  <c r="AA14" i="11"/>
  <c r="AA9" i="11"/>
  <c r="J29" i="11"/>
  <c r="AA29" i="11" s="1"/>
  <c r="J12" i="11"/>
  <c r="J25" i="11"/>
  <c r="AA25" i="11" s="1"/>
  <c r="AA28" i="11"/>
  <c r="F22" i="11"/>
  <c r="AA22" i="11" s="1"/>
  <c r="J19" i="11"/>
  <c r="AA19" i="11" s="1"/>
  <c r="J17" i="11"/>
  <c r="AA17" i="11" s="1"/>
  <c r="F9" i="11"/>
  <c r="AA8" i="11"/>
  <c r="AA11" i="11"/>
  <c r="AA36" i="11"/>
  <c r="AA31" i="11"/>
  <c r="AA26" i="11"/>
  <c r="AA23" i="11"/>
  <c r="AA34" i="11"/>
  <c r="AA20" i="11"/>
  <c r="J15" i="11"/>
  <c r="AA15" i="11" s="1"/>
  <c r="J38" i="11"/>
  <c r="AA38" i="11" s="1"/>
  <c r="AA49" i="11"/>
  <c r="J4" i="10" s="1"/>
  <c r="K4" i="10" s="1"/>
  <c r="AA44" i="11"/>
  <c r="AA30" i="11"/>
  <c r="AA6" i="11"/>
  <c r="AA13" i="11"/>
  <c r="J10" i="11"/>
  <c r="AA10" i="11" s="1"/>
  <c r="J39" i="11"/>
  <c r="AA39" i="11" s="1"/>
  <c r="J43" i="11"/>
  <c r="AA43" i="11" s="1"/>
  <c r="J52" i="11"/>
  <c r="AA52" i="11" s="1"/>
  <c r="J18" i="11"/>
  <c r="AA18" i="11" s="1"/>
  <c r="J21" i="11"/>
  <c r="J46" i="11"/>
  <c r="AA46" i="11" s="1"/>
  <c r="J5" i="11"/>
  <c r="AA5" i="11" s="1"/>
  <c r="AA50" i="11"/>
  <c r="J5" i="10" s="1"/>
  <c r="K5" i="10" s="1"/>
  <c r="J42" i="11"/>
  <c r="AA42" i="11" s="1"/>
  <c r="AA47" i="11"/>
  <c r="AA53" i="11"/>
  <c r="AA12" i="11"/>
  <c r="AA32" i="11"/>
  <c r="AA41" i="11"/>
  <c r="AA21" i="11"/>
  <c r="AA27" i="11"/>
  <c r="K31" i="5" l="1"/>
  <c r="K32" i="5"/>
  <c r="AG8" i="17" l="1"/>
  <c r="AC8" i="17"/>
  <c r="T8" i="17"/>
  <c r="S8" i="17"/>
  <c r="N8" i="17"/>
  <c r="M8" i="17"/>
  <c r="J8" i="17"/>
  <c r="I8" i="17"/>
  <c r="H8" i="17"/>
  <c r="E8" i="17"/>
  <c r="D8" i="17"/>
  <c r="C8" i="17"/>
  <c r="Y7" i="17"/>
  <c r="V7" i="17"/>
  <c r="W7" i="17" s="1"/>
  <c r="O7" i="17"/>
  <c r="P7" i="17" s="1"/>
  <c r="Q7" i="17" s="1"/>
  <c r="K7" i="17"/>
  <c r="L7" i="17" s="1"/>
  <c r="G7" i="17"/>
  <c r="F7" i="17"/>
  <c r="Y6" i="17"/>
  <c r="V6" i="17"/>
  <c r="W6" i="17" s="1"/>
  <c r="P6" i="17"/>
  <c r="Q6" i="17" s="1"/>
  <c r="O6" i="17"/>
  <c r="K6" i="17"/>
  <c r="L6" i="17" s="1"/>
  <c r="F6" i="17"/>
  <c r="G6" i="17" s="1"/>
  <c r="Y5" i="17"/>
  <c r="Y8" i="17" s="1"/>
  <c r="V5" i="17"/>
  <c r="O5" i="17"/>
  <c r="O8" i="17" s="1"/>
  <c r="K5" i="17"/>
  <c r="L5" i="17" s="1"/>
  <c r="G5" i="17"/>
  <c r="F5" i="17"/>
  <c r="F8" i="17" s="1"/>
  <c r="G8" i="17" s="1"/>
  <c r="AH4" i="17"/>
  <c r="AG4" i="17"/>
  <c r="AD4" i="17"/>
  <c r="AC4" i="17"/>
  <c r="P4" i="17"/>
  <c r="O4" i="17"/>
  <c r="N4" i="17"/>
  <c r="M4" i="17"/>
  <c r="K4" i="17"/>
  <c r="J4" i="17"/>
  <c r="I4" i="17"/>
  <c r="H4" i="17"/>
  <c r="H17" i="5"/>
  <c r="W5" i="17" l="1"/>
  <c r="V8" i="17"/>
  <c r="W8" i="17" s="1"/>
  <c r="K8" i="17"/>
  <c r="L8" i="17" s="1"/>
  <c r="P5" i="17"/>
  <c r="U8" i="17"/>
  <c r="J27" i="5"/>
  <c r="M21" i="5"/>
  <c r="J12" i="5"/>
  <c r="Z37" i="5"/>
  <c r="Z38" i="5"/>
  <c r="Z36" i="5"/>
  <c r="Y37" i="5"/>
  <c r="Y38" i="5"/>
  <c r="Y36" i="5"/>
  <c r="P8" i="17" l="1"/>
  <c r="Q8" i="17" s="1"/>
  <c r="Q5" i="17"/>
  <c r="Y31" i="5"/>
  <c r="Y32" i="5"/>
  <c r="Y30" i="5"/>
  <c r="C39" i="5" l="1"/>
  <c r="C12" i="5" l="1"/>
  <c r="C6" i="5" s="1"/>
  <c r="A1" i="5"/>
  <c r="A1" i="17" l="1"/>
  <c r="A1" i="13"/>
  <c r="A1" i="11"/>
  <c r="A1" i="14"/>
  <c r="A1" i="7"/>
  <c r="R30" i="5"/>
  <c r="AH6" i="17" l="1"/>
  <c r="AI6" i="17" s="1"/>
  <c r="AJ6" i="17" s="1"/>
  <c r="AH7" i="17"/>
  <c r="AI7" i="17" s="1"/>
  <c r="AJ7" i="17" s="1"/>
  <c r="AH5" i="17"/>
  <c r="AD6" i="17"/>
  <c r="AD7" i="17"/>
  <c r="AD5" i="17"/>
  <c r="I13" i="5"/>
  <c r="I7" i="5" s="1"/>
  <c r="J13" i="5"/>
  <c r="J7" i="5" s="1"/>
  <c r="I14" i="5"/>
  <c r="I8" i="5" s="1"/>
  <c r="J14" i="5"/>
  <c r="J8" i="5" s="1"/>
  <c r="L13" i="5"/>
  <c r="L7" i="5" s="1"/>
  <c r="M13" i="5"/>
  <c r="L14" i="5"/>
  <c r="L8" i="5" s="1"/>
  <c r="M14" i="5"/>
  <c r="M8" i="5" s="1"/>
  <c r="L39" i="5"/>
  <c r="M39" i="5"/>
  <c r="I39" i="5"/>
  <c r="J39" i="5"/>
  <c r="M12" i="5"/>
  <c r="M6" i="5" s="1"/>
  <c r="L12" i="5"/>
  <c r="L6" i="5" s="1"/>
  <c r="J6" i="5"/>
  <c r="L27" i="5"/>
  <c r="M27" i="5"/>
  <c r="I27" i="5"/>
  <c r="L21" i="5"/>
  <c r="I21" i="5"/>
  <c r="J21" i="5"/>
  <c r="I12" i="5"/>
  <c r="I6" i="5" s="1"/>
  <c r="S31" i="5"/>
  <c r="S32" i="5"/>
  <c r="S30" i="5"/>
  <c r="R31" i="5"/>
  <c r="R32" i="5"/>
  <c r="L33" i="5"/>
  <c r="M33" i="5"/>
  <c r="I33" i="5"/>
  <c r="J33" i="5"/>
  <c r="H25" i="5"/>
  <c r="H26" i="5"/>
  <c r="K25" i="5"/>
  <c r="K26" i="5"/>
  <c r="K24" i="5"/>
  <c r="H24" i="5"/>
  <c r="H19" i="5"/>
  <c r="H20" i="5"/>
  <c r="H18" i="5"/>
  <c r="K19" i="5"/>
  <c r="K20" i="5"/>
  <c r="K18" i="5"/>
  <c r="H31" i="5"/>
  <c r="H32" i="5"/>
  <c r="H30" i="5"/>
  <c r="K30" i="5"/>
  <c r="K37" i="5"/>
  <c r="K38" i="5"/>
  <c r="K36" i="5"/>
  <c r="H37" i="5"/>
  <c r="H38" i="5"/>
  <c r="H36" i="5"/>
  <c r="Z5" i="17" l="1"/>
  <c r="AD8" i="17"/>
  <c r="AE5" i="17"/>
  <c r="Z7" i="17"/>
  <c r="AA7" i="17" s="1"/>
  <c r="AB7" i="17" s="1"/>
  <c r="AE7" i="17"/>
  <c r="AF7" i="17" s="1"/>
  <c r="AE6" i="17"/>
  <c r="AF6" i="17" s="1"/>
  <c r="Z6" i="17"/>
  <c r="AA6" i="17" s="1"/>
  <c r="AB6" i="17" s="1"/>
  <c r="AI5" i="17"/>
  <c r="AH8" i="17"/>
  <c r="N30" i="5"/>
  <c r="K14" i="5"/>
  <c r="K12" i="5"/>
  <c r="N24" i="5"/>
  <c r="D24" i="5" s="1"/>
  <c r="H12" i="5"/>
  <c r="N18" i="5"/>
  <c r="D18" i="5" s="1"/>
  <c r="I9" i="5"/>
  <c r="L15" i="5"/>
  <c r="J9" i="5"/>
  <c r="L9" i="5"/>
  <c r="M15" i="5"/>
  <c r="I15" i="5"/>
  <c r="M7" i="5"/>
  <c r="M9" i="5" s="1"/>
  <c r="J15" i="5"/>
  <c r="AJ5" i="17" l="1"/>
  <c r="AI8" i="17"/>
  <c r="AJ8" i="17" s="1"/>
  <c r="AF5" i="17"/>
  <c r="AE8" i="17"/>
  <c r="AF8" i="17" s="1"/>
  <c r="AA5" i="17"/>
  <c r="Z8" i="17"/>
  <c r="N12" i="5"/>
  <c r="D12" i="5" s="1"/>
  <c r="H6" i="5"/>
  <c r="AB5" i="17" l="1"/>
  <c r="AA8" i="17"/>
  <c r="AB8" i="17" s="1"/>
  <c r="C4" i="5"/>
  <c r="U4" i="5" l="1"/>
  <c r="T4" i="5"/>
  <c r="S4" i="5"/>
  <c r="R4" i="5"/>
  <c r="Q4" i="5"/>
  <c r="P4" i="5"/>
  <c r="N4" i="5"/>
  <c r="K4" i="5"/>
  <c r="H4" i="5"/>
  <c r="D4" i="5"/>
  <c r="D42" i="5" l="1"/>
  <c r="E42" i="5" s="1"/>
  <c r="C21" i="5"/>
  <c r="AA38" i="5"/>
  <c r="AB38" i="5" s="1"/>
  <c r="Z31" i="5"/>
  <c r="Z32" i="5"/>
  <c r="Z30" i="5"/>
  <c r="Y25" i="5"/>
  <c r="Y26" i="5"/>
  <c r="Y24" i="5"/>
  <c r="Y19" i="5"/>
  <c r="Y20" i="5"/>
  <c r="Y18" i="5"/>
  <c r="AA30" i="5" l="1"/>
  <c r="AB30" i="5" s="1"/>
  <c r="AA32" i="5"/>
  <c r="AB32" i="5" s="1"/>
  <c r="AA37" i="5"/>
  <c r="AB37" i="5" s="1"/>
  <c r="AA36" i="5"/>
  <c r="Z33" i="5"/>
  <c r="Y39" i="5"/>
  <c r="Y21" i="5"/>
  <c r="F42" i="5"/>
  <c r="Y33" i="5"/>
  <c r="Y27" i="5"/>
  <c r="AA31" i="5"/>
  <c r="AB31" i="5" s="1"/>
  <c r="Z39" i="5"/>
  <c r="AA39" i="5" l="1"/>
  <c r="AB39" i="5" s="1"/>
  <c r="AA33" i="5"/>
  <c r="AB33" i="5" s="1"/>
  <c r="AB36" i="5"/>
  <c r="K39" i="5" l="1"/>
  <c r="H39" i="5"/>
  <c r="N38" i="5"/>
  <c r="D38" i="5" s="1"/>
  <c r="E38" i="5" s="1"/>
  <c r="F38" i="5" s="1"/>
  <c r="N37" i="5"/>
  <c r="D37" i="5" s="1"/>
  <c r="E37" i="5" s="1"/>
  <c r="F37" i="5" s="1"/>
  <c r="N36" i="5"/>
  <c r="D36" i="5" s="1"/>
  <c r="H35" i="5"/>
  <c r="K33" i="5"/>
  <c r="H33" i="5"/>
  <c r="N32" i="5"/>
  <c r="D32" i="5" s="1"/>
  <c r="E32" i="5" s="1"/>
  <c r="F32" i="5" s="1"/>
  <c r="N31" i="5"/>
  <c r="D31" i="5" s="1"/>
  <c r="E31" i="5" s="1"/>
  <c r="F31" i="5" s="1"/>
  <c r="D30" i="5"/>
  <c r="K27" i="5"/>
  <c r="H27" i="5"/>
  <c r="N26" i="5"/>
  <c r="D26" i="5" s="1"/>
  <c r="N25" i="5"/>
  <c r="D25" i="5" s="1"/>
  <c r="E24" i="5"/>
  <c r="F24" i="5" s="1"/>
  <c r="H23" i="5"/>
  <c r="K21" i="5"/>
  <c r="H21" i="5"/>
  <c r="N20" i="5"/>
  <c r="D20" i="5" s="1"/>
  <c r="N19" i="5"/>
  <c r="D19" i="5" s="1"/>
  <c r="K8" i="5"/>
  <c r="H14" i="5"/>
  <c r="H8" i="5" s="1"/>
  <c r="K13" i="5"/>
  <c r="H13" i="5"/>
  <c r="H7" i="5" s="1"/>
  <c r="H5" i="5"/>
  <c r="D55" i="5"/>
  <c r="D56" i="5"/>
  <c r="D54" i="5"/>
  <c r="D49" i="5"/>
  <c r="E49" i="5" s="1"/>
  <c r="F49" i="5" s="1"/>
  <c r="D50" i="5"/>
  <c r="E50" i="5" s="1"/>
  <c r="F50" i="5" s="1"/>
  <c r="D48" i="5"/>
  <c r="E48" i="5" s="1"/>
  <c r="D43" i="5"/>
  <c r="E43" i="5" s="1"/>
  <c r="D44" i="5"/>
  <c r="E44" i="5" s="1"/>
  <c r="F44" i="5" s="1"/>
  <c r="C57" i="5"/>
  <c r="C51" i="5"/>
  <c r="C45" i="5"/>
  <c r="E30" i="5" l="1"/>
  <c r="F30" i="5" s="1"/>
  <c r="D33" i="5"/>
  <c r="E36" i="5"/>
  <c r="E39" i="5" s="1"/>
  <c r="D6" i="5"/>
  <c r="K6" i="5"/>
  <c r="N6" i="5" s="1"/>
  <c r="N13" i="5"/>
  <c r="D13" i="5" s="1"/>
  <c r="D7" i="5" s="1"/>
  <c r="F43" i="5"/>
  <c r="E45" i="5"/>
  <c r="F45" i="5" s="1"/>
  <c r="F48" i="5"/>
  <c r="E51" i="5"/>
  <c r="F51" i="5" s="1"/>
  <c r="F36" i="5"/>
  <c r="N27" i="5"/>
  <c r="N33" i="5"/>
  <c r="D51" i="5"/>
  <c r="D45" i="5"/>
  <c r="H15" i="5"/>
  <c r="K15" i="5"/>
  <c r="K7" i="5"/>
  <c r="N7" i="5" s="1"/>
  <c r="N8" i="5"/>
  <c r="N21" i="5"/>
  <c r="N14" i="5"/>
  <c r="N39" i="5"/>
  <c r="D57" i="5"/>
  <c r="N9" i="5" l="1"/>
  <c r="E12" i="5"/>
  <c r="F12" i="5" s="1"/>
  <c r="D14" i="5"/>
  <c r="K9" i="5"/>
  <c r="H9" i="5"/>
  <c r="N15" i="5"/>
  <c r="D39" i="5" l="1"/>
  <c r="L7" i="10" l="1"/>
  <c r="A1" i="10" l="1"/>
  <c r="C14" i="5" l="1"/>
  <c r="C13" i="5"/>
  <c r="E13" i="5" l="1"/>
  <c r="C7" i="5"/>
  <c r="E14" i="5"/>
  <c r="F14" i="5" s="1"/>
  <c r="C8" i="5"/>
  <c r="C7" i="13"/>
  <c r="T37" i="5"/>
  <c r="T36" i="5"/>
  <c r="C9" i="5" l="1"/>
  <c r="F13" i="5"/>
  <c r="E15" i="5"/>
  <c r="P36" i="5"/>
  <c r="U37" i="5"/>
  <c r="V37" i="5" s="1"/>
  <c r="W37" i="5" s="1"/>
  <c r="P37" i="5"/>
  <c r="T38" i="5"/>
  <c r="U36" i="5"/>
  <c r="D7" i="13"/>
  <c r="V36" i="5" l="1"/>
  <c r="W36" i="5" s="1"/>
  <c r="C8" i="10"/>
  <c r="Q36" i="5"/>
  <c r="P38" i="5"/>
  <c r="U38" i="5"/>
  <c r="V38" i="5" s="1"/>
  <c r="Q37" i="5"/>
  <c r="W38" i="5" l="1"/>
  <c r="V39" i="5"/>
  <c r="W39" i="5" s="1"/>
  <c r="U39" i="5"/>
  <c r="Q38" i="5"/>
  <c r="K7" i="10" l="1"/>
  <c r="E54" i="5" l="1"/>
  <c r="Q39" i="5"/>
  <c r="R57" i="5"/>
  <c r="R51" i="5"/>
  <c r="R45" i="5"/>
  <c r="R33" i="5"/>
  <c r="S57" i="5"/>
  <c r="S51" i="5"/>
  <c r="S45" i="5"/>
  <c r="T39" i="5"/>
  <c r="P39" i="5"/>
  <c r="F39" i="5"/>
  <c r="S33" i="5"/>
  <c r="C33" i="5"/>
  <c r="F54" i="5" l="1"/>
  <c r="E55" i="5"/>
  <c r="C27" i="5"/>
  <c r="E56" i="5" l="1"/>
  <c r="F56" i="5" s="1"/>
  <c r="F55" i="5"/>
  <c r="E57" i="5"/>
  <c r="F57" i="5" s="1"/>
  <c r="E33" i="5"/>
  <c r="F33" i="5" s="1"/>
  <c r="Z24" i="5" l="1"/>
  <c r="AA24" i="5" s="1"/>
  <c r="AB24" i="5" s="1"/>
  <c r="Z26" i="5"/>
  <c r="AA26" i="5" s="1"/>
  <c r="AB26" i="5" s="1"/>
  <c r="Z25" i="5"/>
  <c r="AA25" i="5" s="1"/>
  <c r="AB25" i="5" s="1"/>
  <c r="Z20" i="5"/>
  <c r="AA20" i="5" s="1"/>
  <c r="AB20" i="5" s="1"/>
  <c r="P18" i="5"/>
  <c r="Q18" i="5" l="1"/>
  <c r="U18" i="5" s="1"/>
  <c r="T18" i="5"/>
  <c r="Z27" i="5"/>
  <c r="AA27" i="5"/>
  <c r="AB27" i="5" s="1"/>
  <c r="Z19" i="5"/>
  <c r="AA19" i="5" s="1"/>
  <c r="Z18" i="5"/>
  <c r="P24" i="5"/>
  <c r="P19" i="5"/>
  <c r="P26" i="5"/>
  <c r="P20" i="5"/>
  <c r="P25" i="5"/>
  <c r="T25" i="5" l="1"/>
  <c r="Z21" i="5"/>
  <c r="AA18" i="5"/>
  <c r="AB18" i="5" s="1"/>
  <c r="AB19" i="5"/>
  <c r="T26" i="5"/>
  <c r="P12" i="5"/>
  <c r="P27" i="5"/>
  <c r="P13" i="5"/>
  <c r="Q25" i="5"/>
  <c r="Q26" i="5"/>
  <c r="Q24" i="5"/>
  <c r="Q12" i="5" s="1"/>
  <c r="Q19" i="5"/>
  <c r="Q20" i="5"/>
  <c r="P14" i="5"/>
  <c r="C15" i="5"/>
  <c r="F15" i="5" s="1"/>
  <c r="AA21" i="5" l="1"/>
  <c r="AB21" i="5" s="1"/>
  <c r="R14" i="5"/>
  <c r="R8" i="5" s="1"/>
  <c r="R13" i="5"/>
  <c r="R7" i="5" s="1"/>
  <c r="R12" i="5"/>
  <c r="T20" i="5"/>
  <c r="R27" i="5"/>
  <c r="Q14" i="5"/>
  <c r="Q13" i="5"/>
  <c r="Q27" i="5"/>
  <c r="R21" i="5"/>
  <c r="T19" i="5"/>
  <c r="T24" i="5"/>
  <c r="Q21" i="5"/>
  <c r="S14" i="5" l="1"/>
  <c r="S8" i="5" s="1"/>
  <c r="S12" i="5"/>
  <c r="S13" i="5"/>
  <c r="S7" i="5" s="1"/>
  <c r="T21" i="5"/>
  <c r="Q15" i="5"/>
  <c r="R6" i="5"/>
  <c r="R9" i="5" s="1"/>
  <c r="R15" i="5"/>
  <c r="U25" i="5"/>
  <c r="T27" i="5"/>
  <c r="U26" i="5"/>
  <c r="V26" i="5" s="1"/>
  <c r="T13" i="5"/>
  <c r="S21" i="5"/>
  <c r="T14" i="5"/>
  <c r="U24" i="5"/>
  <c r="U12" i="5" s="1"/>
  <c r="S27" i="5"/>
  <c r="U19" i="5"/>
  <c r="V19" i="5" s="1"/>
  <c r="W19" i="5" s="1"/>
  <c r="U20" i="5"/>
  <c r="V20" i="5" s="1"/>
  <c r="P21" i="5"/>
  <c r="V18" i="5" l="1"/>
  <c r="W18" i="5" s="1"/>
  <c r="V25" i="5"/>
  <c r="W25" i="5" s="1"/>
  <c r="V24" i="5"/>
  <c r="W24" i="5" s="1"/>
  <c r="W20" i="5"/>
  <c r="W26" i="5"/>
  <c r="P15" i="5"/>
  <c r="U14" i="5"/>
  <c r="U13" i="5"/>
  <c r="V13" i="5" s="1"/>
  <c r="W13" i="5" s="1"/>
  <c r="E26" i="5"/>
  <c r="E25" i="5"/>
  <c r="S6" i="5"/>
  <c r="S9" i="5" s="1"/>
  <c r="S15" i="5"/>
  <c r="U27" i="5"/>
  <c r="U21" i="5"/>
  <c r="T12" i="5"/>
  <c r="V12" i="5" s="1"/>
  <c r="V27" i="5" l="1"/>
  <c r="W27" i="5" s="1"/>
  <c r="V14" i="5"/>
  <c r="W14" i="5" s="1"/>
  <c r="V21" i="5"/>
  <c r="W21" i="5" s="1"/>
  <c r="W12" i="5"/>
  <c r="U15" i="5"/>
  <c r="D27" i="5"/>
  <c r="F25" i="5"/>
  <c r="F26" i="5"/>
  <c r="T15" i="5"/>
  <c r="V15" i="5" l="1"/>
  <c r="W15" i="5" s="1"/>
  <c r="E20" i="5"/>
  <c r="E19" i="5"/>
  <c r="F20" i="5" l="1"/>
  <c r="F19" i="5"/>
  <c r="E27" i="5" l="1"/>
  <c r="F27" i="5" l="1"/>
  <c r="D8" i="5"/>
  <c r="E8" i="5" s="1"/>
  <c r="F8" i="5" s="1"/>
  <c r="E7" i="5"/>
  <c r="F7" i="5" s="1"/>
  <c r="E18" i="5"/>
  <c r="E21" i="5" s="1"/>
  <c r="F21" i="5" s="1"/>
  <c r="D21" i="5"/>
  <c r="D9" i="5" l="1"/>
  <c r="E6" i="5"/>
  <c r="D15" i="5"/>
  <c r="F18" i="5"/>
  <c r="F6" i="5" l="1"/>
  <c r="E9" i="5"/>
  <c r="F9" i="5" s="1"/>
  <c r="F7" i="10" l="1"/>
  <c r="T32" i="5" l="1"/>
  <c r="P32" i="5" s="1"/>
  <c r="T31" i="5"/>
  <c r="E7" i="10"/>
  <c r="C7" i="10" l="1"/>
  <c r="L21" i="10" s="1"/>
  <c r="L22" i="10" s="1"/>
  <c r="U32" i="5"/>
  <c r="U31" i="5"/>
  <c r="V31" i="5" s="1"/>
  <c r="W31" i="5" s="1"/>
  <c r="P31" i="5"/>
  <c r="P7" i="5" s="1"/>
  <c r="T7" i="5"/>
  <c r="D7" i="10"/>
  <c r="T30" i="5"/>
  <c r="I7" i="10"/>
  <c r="P8" i="5"/>
  <c r="T8" i="5"/>
  <c r="H7" i="10"/>
  <c r="C9" i="10" l="1"/>
  <c r="V32" i="5"/>
  <c r="W32" i="5" s="1"/>
  <c r="U8" i="5"/>
  <c r="V8" i="5" s="1"/>
  <c r="W8" i="5" s="1"/>
  <c r="Q32" i="5"/>
  <c r="Q8" i="5" s="1"/>
  <c r="U7" i="5"/>
  <c r="V7" i="5" s="1"/>
  <c r="W7" i="5" s="1"/>
  <c r="Q31" i="5"/>
  <c r="Q7" i="5" s="1"/>
  <c r="U30" i="5"/>
  <c r="U6" i="5" s="1"/>
  <c r="G7" i="10"/>
  <c r="P30" i="5"/>
  <c r="T33" i="5"/>
  <c r="T6" i="5"/>
  <c r="V6" i="5" l="1"/>
  <c r="Q30" i="5"/>
  <c r="V30" i="5"/>
  <c r="W30" i="5" s="1"/>
  <c r="P33" i="5"/>
  <c r="P6" i="5"/>
  <c r="P9" i="5" s="1"/>
  <c r="T9" i="5"/>
  <c r="U9" i="5"/>
  <c r="U33" i="5"/>
  <c r="V33" i="5" l="1"/>
  <c r="W33" i="5" s="1"/>
  <c r="V9" i="5"/>
  <c r="W9" i="5" s="1"/>
  <c r="Q33" i="5"/>
  <c r="Q6" i="5"/>
  <c r="Q9" i="5" s="1"/>
  <c r="W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GilmoreRD</author>
  </authors>
  <commentList>
    <comment ref="D17" authorId="0" shapeId="0" xr:uid="{B07C26CC-BE3A-4319-BF61-93F0ABF13308}">
      <text>
        <r>
          <rPr>
            <sz val="9"/>
            <color indexed="81"/>
            <rFont val="Tahoma"/>
            <family val="2"/>
          </rPr>
          <t>Contact hours include Dev Fund 29</t>
        </r>
      </text>
    </comment>
    <comment ref="E17" authorId="0" shapeId="0" xr:uid="{21A5EF84-FDD9-40B1-99AF-BC82FBF47C24}">
      <text>
        <r>
          <rPr>
            <sz val="9"/>
            <color indexed="81"/>
            <rFont val="Tahoma"/>
            <family val="2"/>
          </rPr>
          <t>Contains Dev. Reading writing costs. Fund 29</t>
        </r>
      </text>
    </comment>
    <comment ref="D24" authorId="0" shapeId="0" xr:uid="{ED45309C-559F-431D-B093-EC427F4AEFA2}">
      <text>
        <r>
          <rPr>
            <sz val="9"/>
            <color indexed="81"/>
            <rFont val="Tahoma"/>
            <family val="2"/>
          </rPr>
          <t xml:space="preserve">Contact hours include Dev Fund 28
</t>
        </r>
      </text>
    </comment>
    <comment ref="E24" authorId="0" shapeId="0" xr:uid="{D16C1225-5A02-40B9-A7F4-7F6A281E9A4C}">
      <text>
        <r>
          <rPr>
            <sz val="9"/>
            <color indexed="81"/>
            <rFont val="Tahoma"/>
            <family val="2"/>
          </rPr>
          <t>Contains Dev Math Fund 28</t>
        </r>
      </text>
    </comment>
  </commentList>
</comments>
</file>

<file path=xl/sharedStrings.xml><?xml version="1.0" encoding="utf-8"?>
<sst xmlns="http://schemas.openxmlformats.org/spreadsheetml/2006/main" count="1131" uniqueCount="286">
  <si>
    <t>Institution</t>
  </si>
  <si>
    <t>Total</t>
  </si>
  <si>
    <t>FICE</t>
  </si>
  <si>
    <t>Vocational/Technical Education</t>
  </si>
  <si>
    <t>Fund</t>
  </si>
  <si>
    <t>Rate</t>
  </si>
  <si>
    <t>Academic</t>
  </si>
  <si>
    <t xml:space="preserve">Academic Critical </t>
  </si>
  <si>
    <t>Academic Developmental Education Critical</t>
  </si>
  <si>
    <t>Academic Developmental Education</t>
  </si>
  <si>
    <t>Technical</t>
  </si>
  <si>
    <t>Technical Critical</t>
  </si>
  <si>
    <t>Technical Continuing Education</t>
  </si>
  <si>
    <t>Technical Continuing Education Critical</t>
  </si>
  <si>
    <t>Academic - Critical</t>
  </si>
  <si>
    <t>Technical - Critical</t>
  </si>
  <si>
    <t>Academic - Total</t>
  </si>
  <si>
    <t>Technical - Total</t>
  </si>
  <si>
    <t>Allocation Summary</t>
  </si>
  <si>
    <t>Difference</t>
  </si>
  <si>
    <t>Percent Change</t>
  </si>
  <si>
    <t>Small Institution Supplement</t>
  </si>
  <si>
    <t>Total General Revenue Dedicated</t>
  </si>
  <si>
    <t>General Revenue Dedicated - Texas Public Education Grants</t>
  </si>
  <si>
    <t>General Revenue Dedicated - Staff Group Insurance Premiums</t>
  </si>
  <si>
    <t>Educational and General Space Support (Infrastructure Formula)</t>
  </si>
  <si>
    <t>O&amp;M 
Funding</t>
  </si>
  <si>
    <t>Utility 
Funding</t>
  </si>
  <si>
    <t>Utility Rate Adjustment</t>
  </si>
  <si>
    <t>Adjusted Utility Square Feet</t>
  </si>
  <si>
    <t>Total Universities</t>
  </si>
  <si>
    <t>Total TSTC and Lamar</t>
  </si>
  <si>
    <t>Small Institution Set-Aside</t>
  </si>
  <si>
    <t>Not included in table above</t>
  </si>
  <si>
    <t>Rates</t>
  </si>
  <si>
    <t>Electricity</t>
  </si>
  <si>
    <t>Natural Gas</t>
  </si>
  <si>
    <t>Water</t>
  </si>
  <si>
    <t>Thermal Energy</t>
  </si>
  <si>
    <t>Debt Service</t>
  </si>
  <si>
    <t>All Other Cost</t>
  </si>
  <si>
    <t>Total 
Cost</t>
  </si>
  <si>
    <t>Total Non-Utility Cost</t>
  </si>
  <si>
    <t>KWH</t>
  </si>
  <si>
    <t>Cost</t>
  </si>
  <si>
    <t>Weighted Rate</t>
  </si>
  <si>
    <t>MCF</t>
  </si>
  <si>
    <t>1000 
Gallon
Units</t>
  </si>
  <si>
    <t>BTUs 
(MM)</t>
  </si>
  <si>
    <t>Weight</t>
  </si>
  <si>
    <t>Biennial Funding</t>
  </si>
  <si>
    <t>Annual Funding</t>
  </si>
  <si>
    <t>Total Formula Funding</t>
  </si>
  <si>
    <t>Year 1</t>
  </si>
  <si>
    <t>Year 2</t>
  </si>
  <si>
    <t>Lamar-IOT</t>
  </si>
  <si>
    <t>Lamar-Orange</t>
  </si>
  <si>
    <t>Lamar-Port Arthur</t>
  </si>
  <si>
    <t>036273</t>
  </si>
  <si>
    <t>023582</t>
  </si>
  <si>
    <t>023485</t>
  </si>
  <si>
    <t>Percent Funded</t>
  </si>
  <si>
    <t>Contact Hours</t>
  </si>
  <si>
    <t>Expense</t>
  </si>
  <si>
    <t>Reported Expense per Contact Hour</t>
  </si>
  <si>
    <t>Funded Expense per Contact Hour</t>
  </si>
  <si>
    <t>Agriculture</t>
  </si>
  <si>
    <t>Architecture and Precision Production Trades</t>
  </si>
  <si>
    <t>Biology, Physical Sciences, and Science Technology</t>
  </si>
  <si>
    <t>Business Management, Marketing, and Administrative Services</t>
  </si>
  <si>
    <t>Career Pilot</t>
  </si>
  <si>
    <t>Communications</t>
  </si>
  <si>
    <t>Computer and Information Sciences</t>
  </si>
  <si>
    <t>Construction Trades</t>
  </si>
  <si>
    <t>Consumer and Homemaking Education</t>
  </si>
  <si>
    <t>Engineering</t>
  </si>
  <si>
    <t>Engineering Related</t>
  </si>
  <si>
    <t>English Language, Lit, Philosophy, Humanities, &amp; Interdisciplinary</t>
  </si>
  <si>
    <t>Foreign Languages</t>
  </si>
  <si>
    <t>Health Occupations - Dental Assistants, Medical Lab, and Assoc. Degree Nursing</t>
  </si>
  <si>
    <t>Health Occupations - Dental Hygiene</t>
  </si>
  <si>
    <t>Health Occupations - Other</t>
  </si>
  <si>
    <t>Health Occupations - Respiratory Therapy</t>
  </si>
  <si>
    <t>Health Occupations - Vocational Nursing</t>
  </si>
  <si>
    <t>Mathematics</t>
  </si>
  <si>
    <t>Mechanics and Repairers - Automotive</t>
  </si>
  <si>
    <t>Mechanics and Repairers - Diesel, Aviation Mechanics, and Transportation Workers</t>
  </si>
  <si>
    <t>Mechanics and Repairers - Electronics</t>
  </si>
  <si>
    <t>Physical Education and Fitness</t>
  </si>
  <si>
    <t>Protective Services and Public Administration</t>
  </si>
  <si>
    <t>Psychology, Social Sciences, and History</t>
  </si>
  <si>
    <t>Visual and Performing Arts</t>
  </si>
  <si>
    <t>Developmental Education Annual Funding</t>
  </si>
  <si>
    <t>Academic Funding</t>
  </si>
  <si>
    <t>Technical Funding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</si>
  <si>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</si>
  <si>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</si>
  <si>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</si>
  <si>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</si>
  <si>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</si>
  <si>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</si>
  <si>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</si>
  <si>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</si>
  <si>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</si>
  <si>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</si>
  <si>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</si>
  <si>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</si>
  <si>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</si>
  <si>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</si>
  <si>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</si>
  <si>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</si>
  <si>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</si>
  <si>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</si>
  <si>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</si>
  <si>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</si>
  <si>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</si>
  <si>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</si>
  <si>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</si>
  <si>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</si>
  <si>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</si>
  <si>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</si>
  <si>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</si>
  <si>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</si>
  <si>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Semester Credit Hours</t>
  </si>
  <si>
    <t>31</t>
  </si>
  <si>
    <t>32</t>
  </si>
  <si>
    <t>36</t>
  </si>
  <si>
    <t>39</t>
  </si>
  <si>
    <t>Ratio of Utility to Total OMP</t>
  </si>
  <si>
    <t>Contact Hour Funding Strategy</t>
  </si>
  <si>
    <t>Biennial Average Contact Hour Rate</t>
  </si>
  <si>
    <t>Comparison - SCH and Headcount</t>
  </si>
  <si>
    <t>Semester Credit Hours (State Funded)</t>
  </si>
  <si>
    <t>Headcount</t>
  </si>
  <si>
    <t>Predicted Square Feet</t>
  </si>
  <si>
    <t>PCT CHG</t>
  </si>
  <si>
    <t>TOTAL</t>
  </si>
  <si>
    <t xml:space="preserve"> </t>
  </si>
  <si>
    <t>46</t>
  </si>
  <si>
    <t>All Funds Difference</t>
  </si>
  <si>
    <t>Totals allocated by the Formula</t>
  </si>
  <si>
    <t>Metrics</t>
  </si>
  <si>
    <t>Rate Adjustment</t>
  </si>
  <si>
    <t>Fall 2020</t>
  </si>
  <si>
    <t>2022-2023 Biennium</t>
  </si>
  <si>
    <t>Summary of Expenses Divided by Contact Hours</t>
  </si>
  <si>
    <t xml:space="preserve"> Predicted Space</t>
  </si>
  <si>
    <t>Headcount By Institution</t>
  </si>
  <si>
    <t>Academic Contact Hours</t>
  </si>
  <si>
    <t>Technical Contact Hours</t>
  </si>
  <si>
    <t xml:space="preserve">Academic Education (GRD Excluded from Formula Funding Amounts) </t>
  </si>
  <si>
    <t>Community and Technical Colleges, Report of Fundable Operating Expenses, Fiscal Year (FY) 2022</t>
  </si>
  <si>
    <t>Contact Hours for Fall 2021 and Spring and Summer 2022</t>
  </si>
  <si>
    <t>Total Expense by
 Discipline</t>
  </si>
  <si>
    <t>FY 2024-2025 Funding</t>
  </si>
  <si>
    <t>Avg Rate on Predicted SF</t>
  </si>
  <si>
    <r>
      <t>Percentages</t>
    </r>
    <r>
      <rPr>
        <b/>
        <vertAlign val="superscript"/>
        <sz val="11"/>
        <rFont val="Overpass"/>
      </rPr>
      <t>2</t>
    </r>
  </si>
  <si>
    <t>2. Sources and Uses Fiscal Year 2022 Utility Study.</t>
  </si>
  <si>
    <t xml:space="preserve">1. Fall 2022 Space Projection Model, Published February 2021. </t>
  </si>
  <si>
    <r>
      <t>Predicted
Square Feet</t>
    </r>
    <r>
      <rPr>
        <b/>
        <vertAlign val="superscript"/>
        <sz val="11"/>
        <rFont val="Overpass"/>
      </rPr>
      <t>1</t>
    </r>
    <r>
      <rPr>
        <b/>
        <sz val="11"/>
        <rFont val="Overpass"/>
      </rPr>
      <t xml:space="preserve"> </t>
    </r>
  </si>
  <si>
    <r>
      <t>TSTC-North Texas</t>
    </r>
    <r>
      <rPr>
        <vertAlign val="superscript"/>
        <sz val="11"/>
        <color indexed="8"/>
        <rFont val="Overpass"/>
      </rPr>
      <t>2</t>
    </r>
  </si>
  <si>
    <r>
      <rPr>
        <vertAlign val="superscript"/>
        <sz val="11"/>
        <rFont val="Overpass"/>
      </rPr>
      <t>1</t>
    </r>
    <r>
      <rPr>
        <sz val="11"/>
        <rFont val="Overpass"/>
      </rPr>
      <t>Source: Sources and Uses Survey, FY 2022</t>
    </r>
  </si>
  <si>
    <r>
      <rPr>
        <vertAlign val="superscript"/>
        <sz val="11"/>
        <rFont val="Overpass"/>
      </rPr>
      <t>2</t>
    </r>
    <r>
      <rPr>
        <sz val="11"/>
        <rFont val="Overpass"/>
      </rPr>
      <t>The utilities for TSTC North Texas are provided by the Red Oak ISD, so TSTC North Texas incurs no costs for electricity, natural gas and water/waste water.</t>
    </r>
  </si>
  <si>
    <r>
      <t>FTSE Count</t>
    </r>
    <r>
      <rPr>
        <b/>
        <vertAlign val="superscript"/>
        <sz val="11"/>
        <rFont val="Overpass"/>
      </rPr>
      <t>1</t>
    </r>
  </si>
  <si>
    <t>Base Year Contact Hours - Total</t>
  </si>
  <si>
    <t>Base Year Contact Hours - Academic</t>
  </si>
  <si>
    <t>Base Year Contact Hours - Technical</t>
  </si>
  <si>
    <t>Fall 2021</t>
  </si>
  <si>
    <t>Fall 2022</t>
  </si>
  <si>
    <t>Difference Fall 2022 less Fall 2020</t>
  </si>
  <si>
    <t>Fall 2022 Less Fall 2020</t>
  </si>
  <si>
    <t>2024-2025 Biennium</t>
  </si>
  <si>
    <t>Source: SCH – CBM0CS; Headcount – CBM0C1; FTSE – CBM0CS</t>
  </si>
  <si>
    <r>
      <rPr>
        <vertAlign val="superscript"/>
        <sz val="11"/>
        <rFont val="Overpass"/>
      </rPr>
      <t>1</t>
    </r>
    <r>
      <rPr>
        <sz val="11"/>
        <rFont val="Overpass"/>
      </rPr>
      <t>Fall 2020 and Fall 2021 FTSE are actual data. 2022 data are derived from calculations based on semester credit hours.</t>
    </r>
  </si>
  <si>
    <t>BY 2023 Funded Hours for CTCs by Institution by Fund -- Run 17 Apr 2023 at 19:54 -- Sum_I 2022 through Spring 2023</t>
  </si>
  <si>
    <t>Hours Funded for 036273 - LAMAR INSTITUTE OF TECHNOLOGY</t>
  </si>
  <si>
    <t>title</t>
  </si>
  <si>
    <t>Hrs_Acad</t>
  </si>
  <si>
    <t>Hrs_AcadCrit</t>
  </si>
  <si>
    <t>CH_Dev</t>
  </si>
  <si>
    <t>CH_DevCrit</t>
  </si>
  <si>
    <t>CH_Tech</t>
  </si>
  <si>
    <t>CH_TechCrit</t>
  </si>
  <si>
    <t>CH_CE</t>
  </si>
  <si>
    <t>CH_CECrit</t>
  </si>
  <si>
    <t>AGRICULTURE</t>
  </si>
  <si>
    <t>ARCHITECTURE AND PRECISION PRODUCTION TRADES</t>
  </si>
  <si>
    <t>BIOLOGY, PHYSICAL SCIENCES, &amp; SCIENCE TECH</t>
  </si>
  <si>
    <t>BUSINESS MANAGEMENT, MARKETING &amp; ADMIN SERVICES</t>
  </si>
  <si>
    <t>CAREER PILOT</t>
  </si>
  <si>
    <t>COMMUNICATIONS</t>
  </si>
  <si>
    <t>COMPUTER AND INFORMATION SCIENCES</t>
  </si>
  <si>
    <t>CONSTRUCTION TRADES</t>
  </si>
  <si>
    <t>CONSUMER AND HOMEMAKING EDUCATION</t>
  </si>
  <si>
    <t>ENGINEERING</t>
  </si>
  <si>
    <t>ENGINEERING RELATED</t>
  </si>
  <si>
    <t>ENG LANG, LIT, PHILOSOPHY, HUMANITIES, INTERDISCIP</t>
  </si>
  <si>
    <t>FOREIGN LANGUAGES</t>
  </si>
  <si>
    <t>HEALTH OCCUPATIONS-DENTAL ASST, MED LAB, ADN</t>
  </si>
  <si>
    <t>HEALTH OCCUPATIONS-DENTAL HYGIENE</t>
  </si>
  <si>
    <t>HEALTH OCCUPATIONS-OTHER</t>
  </si>
  <si>
    <t>HEALTH OCCUPATIONS-RESPIRATORY THERAPY</t>
  </si>
  <si>
    <t>HEALTH OCCUPATIONS-VOCATIONAL NURSING</t>
  </si>
  <si>
    <t>MATHEMATICS</t>
  </si>
  <si>
    <t>MECHANICS AND REPAIRERS-AUTOMOTIVE</t>
  </si>
  <si>
    <t>MECHANICS &amp; REPAIRERS-DIESEL, AVIATION, TRANS WRKR</t>
  </si>
  <si>
    <t>MECHANICS AND REPAIRERS-ELECTRONICS</t>
  </si>
  <si>
    <t>PHYSICAL EDUCATION AND FITNESS</t>
  </si>
  <si>
    <t>PROTECTIVE SERVICES AND PUBLIC ADMINISTRATION</t>
  </si>
  <si>
    <t>PSYCHOLOGY, SOCIAL SERVICES, AND HISTORY</t>
  </si>
  <si>
    <t>VISUAL AND PERFORMING ARTS</t>
  </si>
  <si>
    <t>UNABLE TO IDENTIFY</t>
  </si>
  <si>
    <t>TOTAL CONTACT HOURS</t>
  </si>
  <si>
    <t>30</t>
  </si>
  <si>
    <t>.</t>
  </si>
  <si>
    <t>BAT LIBERAL ARTS</t>
  </si>
  <si>
    <t>BAT SCIENCE</t>
  </si>
  <si>
    <t>34</t>
  </si>
  <si>
    <t>BAT EDUCATION</t>
  </si>
  <si>
    <t>BAT BUSINESS ADMINISTRATION</t>
  </si>
  <si>
    <t>BAT TECHNOLOGY</t>
  </si>
  <si>
    <t>BAT HEALTH</t>
  </si>
  <si>
    <t>50</t>
  </si>
  <si>
    <t>BAT NURSING</t>
  </si>
  <si>
    <t>51</t>
  </si>
  <si>
    <t>TOTAL SEMESTER CREDIT HOURS</t>
  </si>
  <si>
    <t>Hours Funded for 023582 - LAMAR STATE COLL-ORANGE</t>
  </si>
  <si>
    <t>Hours Funded for 023485 - LAMAR STATE COLL-PORT ARTHUR</t>
  </si>
  <si>
    <t>General Revenue - 2024</t>
  </si>
  <si>
    <t>General Revenue Dedicated - 2024</t>
  </si>
  <si>
    <t>General Revenue - 2025</t>
  </si>
  <si>
    <t>General Revenue Dedicated - 2025</t>
  </si>
  <si>
    <r>
      <t>Utilities Expenditures FY 2022</t>
    </r>
    <r>
      <rPr>
        <b/>
        <vertAlign val="superscript"/>
        <sz val="11"/>
        <rFont val="Overpass"/>
      </rPr>
      <t>1</t>
    </r>
  </si>
  <si>
    <r>
      <t>Waste Water</t>
    </r>
    <r>
      <rPr>
        <b/>
        <vertAlign val="superscript"/>
        <sz val="11"/>
        <color theme="0"/>
        <rFont val="Overpass"/>
      </rPr>
      <t>3</t>
    </r>
  </si>
  <si>
    <r>
      <t xml:space="preserve">3 </t>
    </r>
    <r>
      <rPr>
        <sz val="11"/>
        <rFont val="Overpass"/>
      </rPr>
      <t>Certain institutions are charged a flat rate for waste water and usage data is not available. Water consumption values are used as a proxy in these situations. These institutions include UT-Tyler, Prairie View, WTAMU, TAMU-Texarkana, UH-Downtown, UNT-Dallas, Lamar, Sul Ross, TSTC Harlingen, TSTC-Waco, TSTC-Fort Bend, Lamar-IOT, and Lamar-Orange.</t>
    </r>
  </si>
  <si>
    <t>CBM0CS/CBM00C certified contact hours for Summer, Fall 2022 and Spring 2023</t>
  </si>
  <si>
    <t>Fall 2022 Headcount (Certified)</t>
  </si>
  <si>
    <t>UT-Arlington</t>
  </si>
  <si>
    <t>UT-Austin</t>
  </si>
  <si>
    <t>UT-Dallas</t>
  </si>
  <si>
    <t>UT-El Paso</t>
  </si>
  <si>
    <t>UT-Rio Grande Valley</t>
  </si>
  <si>
    <t>UT-Permian Basin</t>
  </si>
  <si>
    <t>UT-San Antonio</t>
  </si>
  <si>
    <t>UT-Tyler</t>
  </si>
  <si>
    <t>TAMU</t>
  </si>
  <si>
    <t>TAMU-Galveston</t>
  </si>
  <si>
    <t>Prairie View</t>
  </si>
  <si>
    <t>Tarleton</t>
  </si>
  <si>
    <t>TAMU-Central</t>
  </si>
  <si>
    <t>TAMU-CC</t>
  </si>
  <si>
    <t>TAMU-Kingsville</t>
  </si>
  <si>
    <t>TAMU-San Antonio</t>
  </si>
  <si>
    <t>TAMI</t>
  </si>
  <si>
    <t>WTAMU</t>
  </si>
  <si>
    <t>TAMU-Commerce</t>
  </si>
  <si>
    <t>TAMU-Texarkana</t>
  </si>
  <si>
    <t>UH</t>
  </si>
  <si>
    <t>UH-Clear Lake</t>
  </si>
  <si>
    <t>UH-Downtown</t>
  </si>
  <si>
    <t>UH-Victoria</t>
  </si>
  <si>
    <t>Midwestern</t>
  </si>
  <si>
    <t>UNT</t>
  </si>
  <si>
    <t>UNT-Dallas</t>
  </si>
  <si>
    <t>SFA</t>
  </si>
  <si>
    <t>TSU</t>
  </si>
  <si>
    <t>TTU</t>
  </si>
  <si>
    <t>Angelo</t>
  </si>
  <si>
    <t>TWU</t>
  </si>
  <si>
    <t>Lamar</t>
  </si>
  <si>
    <t>Sam Houston</t>
  </si>
  <si>
    <t>TXST</t>
  </si>
  <si>
    <t>Sul Ross</t>
  </si>
  <si>
    <t>Sul Ross-Rio Grande</t>
  </si>
  <si>
    <t>TSTC-Harlingen</t>
  </si>
  <si>
    <t>TSTC-West Tx</t>
  </si>
  <si>
    <t>TSTC-Marshall</t>
  </si>
  <si>
    <t>TSTC-Waco</t>
  </si>
  <si>
    <t>TSTC-Fort Bend</t>
  </si>
  <si>
    <t>Board Recommended Rate</t>
  </si>
  <si>
    <t>GAA</t>
  </si>
  <si>
    <t>Note:  Institutions with a headcount of less than 10,000 receive an annual Small Institution Supplement. General Academic Institutions, Texas State Technical Colleges, and Lamar State Colleges with a headcount of less than 5,000 receive up to $2,633,133 each biennium. Institutions with a headcount of less than 10,000 and more than 5,000 receive a portion of the supplement equal to the inverse percentage of the range. [(1-(5,000 - Head Count)/(10,000 - 5,000)) X Small Institution Supplement].</t>
  </si>
  <si>
    <r>
      <t>Instruction and Operations  (GRD Excluded from Formula Funding Amounts)</t>
    </r>
    <r>
      <rPr>
        <b/>
        <vertAlign val="superscript"/>
        <sz val="11"/>
        <rFont val="Overpass"/>
      </rPr>
      <t>1</t>
    </r>
  </si>
  <si>
    <r>
      <t>Educational and General Space Support (Infrastructure)</t>
    </r>
    <r>
      <rPr>
        <b/>
        <vertAlign val="superscript"/>
        <sz val="11"/>
        <rFont val="Overpass"/>
      </rPr>
      <t>1</t>
    </r>
  </si>
  <si>
    <r>
      <rPr>
        <vertAlign val="superscript"/>
        <sz val="11"/>
        <color theme="1"/>
        <rFont val="Overpass"/>
      </rPr>
      <t xml:space="preserve">1 </t>
    </r>
    <r>
      <rPr>
        <sz val="11"/>
        <color theme="1"/>
        <rFont val="Overpass"/>
      </rPr>
      <t>Infrastructure General Revenue Dedicated is a set 10 percent of the GRD remaining after deducting TPEG and SGIP. Instruction and Operations All Funds for Lamar State Colleges contains General Revenue only; General Revenue-Dedicated 770 does not count against them in the I&amp;O formula.</t>
    </r>
  </si>
  <si>
    <r>
      <t xml:space="preserve">Instruction and Operations  (GRD Excluded from Formula Funding Amounts) </t>
    </r>
    <r>
      <rPr>
        <b/>
        <vertAlign val="superscript"/>
        <sz val="11"/>
        <rFont val="Overpass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</si>
</sst>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_)"/>
    <numFmt numFmtId="166" formatCode="0.0%"/>
    <numFmt numFmtId="167" formatCode="000000"/>
    <numFmt numFmtId="168" formatCode="##,###,##0"/>
    <numFmt numFmtId="169" formatCode="00"/>
    <numFmt numFmtId="170" formatCode="&quot;$&quot;#,##0.000_);\(&quot;$&quot;#,##0.000\)"/>
    <numFmt numFmtId="171" formatCode="_(* #,##0.0000000_);_(* \(#,##0.0000000\);_(* &quot;-&quot;??_);_(@_)"/>
    <numFmt numFmtId="172" formatCode="#,##0.000_);\(#,##0.000\)"/>
    <numFmt numFmtId="173" formatCode="_(&quot;$&quot;* #,##0_);_(&quot;$&quot;* \(#,##0\);_(&quot;$&quot;* &quot;-&quot;??_);_(@_)"/>
    <numFmt numFmtId="174" formatCode="&quot;$&quot;#,##0.00"/>
    <numFmt numFmtId="175" formatCode="_(&quot;$&quot;* #,##0.0000_);_(&quot;$&quot;* \(#,##0.0000\);_(&quot;$&quot;* &quot;-&quot;??_);_(@_)"/>
    <numFmt numFmtId="176" formatCode="#,##0.0%_);[Red]\(#,##0.0%\)"/>
    <numFmt numFmtId="177" formatCode="#,##0.0%_);\(#,##0.0%\)"/>
    <numFmt numFmtId="178" formatCode="#,##0.0%;[Black]\(#,##0.0%\)"/>
    <numFmt numFmtId="179" formatCode="&quot;$&quot;#,##0.0000000000_);\(&quot;$&quot;#,##0.0000000000\)"/>
    <numFmt numFmtId="180" formatCode="##,###,###,##0"/>
    <numFmt numFmtId="181" formatCode="&quot;$&quot;#,##0.000000_);\(&quot;$&quot;#,##0.000000\)"/>
  </numFmts>
  <fonts count="35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theme="1"/>
      <name val="Tahoma"/>
      <family val="2"/>
    </font>
    <font>
      <sz val="10"/>
      <name val="System"/>
      <family val="2"/>
    </font>
    <font>
      <sz val="9"/>
      <color indexed="81"/>
      <name val="Tahoma"/>
      <family val="2"/>
    </font>
    <font>
      <b/>
      <sz val="11"/>
      <color theme="1"/>
      <name val="Overpass"/>
    </font>
    <font>
      <sz val="11"/>
      <color theme="1"/>
      <name val="Overpass"/>
    </font>
    <font>
      <b/>
      <sz val="11"/>
      <name val="Overpass"/>
    </font>
    <font>
      <sz val="11"/>
      <name val="Overpass"/>
    </font>
    <font>
      <b/>
      <u/>
      <sz val="11"/>
      <color theme="1"/>
      <name val="Overpass"/>
    </font>
    <font>
      <b/>
      <vertAlign val="superscript"/>
      <sz val="11"/>
      <name val="Overpass"/>
    </font>
    <font>
      <sz val="11"/>
      <color indexed="8"/>
      <name val="Overpass"/>
    </font>
    <font>
      <b/>
      <sz val="11"/>
      <color indexed="8"/>
      <name val="Overpass"/>
    </font>
    <font>
      <sz val="11"/>
      <color indexed="12"/>
      <name val="Overpass"/>
    </font>
    <font>
      <sz val="11"/>
      <color rgb="FFFF0000"/>
      <name val="Overpass"/>
    </font>
    <font>
      <sz val="11"/>
      <color theme="0"/>
      <name val="Overpass"/>
    </font>
    <font>
      <b/>
      <sz val="11"/>
      <color theme="0"/>
      <name val="Overpass"/>
    </font>
    <font>
      <sz val="11"/>
      <color indexed="10"/>
      <name val="Overpass"/>
    </font>
    <font>
      <vertAlign val="superscript"/>
      <sz val="11"/>
      <color indexed="8"/>
      <name val="Overpass"/>
    </font>
    <font>
      <vertAlign val="superscript"/>
      <sz val="11"/>
      <name val="Overpass"/>
    </font>
    <font>
      <b/>
      <vertAlign val="superscript"/>
      <sz val="11"/>
      <color theme="0"/>
      <name val="Overpass"/>
    </font>
    <font>
      <sz val="10"/>
      <name val="Overpass"/>
    </font>
    <font>
      <vertAlign val="superscript"/>
      <sz val="11"/>
      <color theme="1"/>
      <name val="Overpass"/>
    </font>
    <font>
      <b/>
      <sz val="10"/>
      <color theme="1"/>
      <name val="Overpass"/>
    </font>
    <font>
      <sz val="10"/>
      <color theme="1"/>
      <name val="Overpass"/>
    </font>
    <font>
      <b/>
      <sz val="10"/>
      <name val="Overpass"/>
    </font>
    <font>
      <b/>
      <sz val="11"/>
      <color rgb="FF112277"/>
      <name val="Overpass"/>
    </font>
    <font>
      <b/>
      <sz val="9.5"/>
      <color rgb="FF000000"/>
      <name val="Overpass"/>
    </font>
    <font>
      <b/>
      <sz val="9.5"/>
      <color rgb="FF112277"/>
      <name val="Overpass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9"/>
      </patternFill>
    </fill>
    <fill>
      <patternFill patternType="solid">
        <fgColor rgb="FFFAFBFE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5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44" fontId="5" fillId="0" borderId="0" applyFon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3" fontId="5" fillId="0" borderId="0"/>
    <xf numFmtId="3" fontId="5" fillId="0" borderId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0" borderId="0"/>
    <xf numFmtId="0" fontId="5" fillId="0" borderId="0"/>
    <xf numFmtId="0" fontId="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" fillId="0" borderId="0"/>
    <xf numFmtId="0" fontId="8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37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59">
    <xf numFmtId="0" fontId="0" fillId="0" borderId="0" xfId="0"/>
    <xf numFmtId="0" fontId="11" fillId="0" borderId="0" xfId="54" applyFont="1"/>
    <xf numFmtId="0" fontId="12" fillId="0" borderId="0" xfId="54" applyFont="1"/>
    <xf numFmtId="37" fontId="13" fillId="0" borderId="0" xfId="55" applyFont="1" applyAlignment="1">
      <alignment horizontal="center"/>
    </xf>
    <xf numFmtId="37" fontId="13" fillId="0" borderId="0" xfId="55" applyFont="1" applyAlignment="1">
      <alignment horizontal="right"/>
    </xf>
    <xf numFmtId="10" fontId="12" fillId="0" borderId="0" xfId="17" applyNumberFormat="1" applyFont="1"/>
    <xf numFmtId="167" fontId="13" fillId="7" borderId="16" xfId="5" applyNumberFormat="1" applyFont="1" applyFill="1" applyBorder="1" applyAlignment="1">
      <alignment horizontal="center" wrapText="1"/>
    </xf>
    <xf numFmtId="167" fontId="13" fillId="7" borderId="17" xfId="5" applyNumberFormat="1" applyFont="1" applyFill="1" applyBorder="1" applyAlignment="1">
      <alignment horizontal="center" wrapText="1"/>
    </xf>
    <xf numFmtId="0" fontId="14" fillId="0" borderId="23" xfId="11" applyFont="1" applyBorder="1" applyAlignment="1">
      <alignment horizontal="center"/>
    </xf>
    <xf numFmtId="37" fontId="12" fillId="0" borderId="1" xfId="10" applyNumberFormat="1" applyFont="1" applyBorder="1"/>
    <xf numFmtId="42" fontId="12" fillId="0" borderId="1" xfId="4" applyNumberFormat="1" applyFont="1" applyBorder="1"/>
    <xf numFmtId="44" fontId="12" fillId="0" borderId="9" xfId="4" applyFont="1" applyBorder="1"/>
    <xf numFmtId="44" fontId="12" fillId="0" borderId="46" xfId="4" applyFont="1" applyBorder="1"/>
    <xf numFmtId="43" fontId="12" fillId="0" borderId="1" xfId="56" applyFont="1" applyBorder="1"/>
    <xf numFmtId="43" fontId="12" fillId="0" borderId="24" xfId="4" applyNumberFormat="1" applyFont="1" applyBorder="1"/>
    <xf numFmtId="37" fontId="12" fillId="0" borderId="1" xfId="10" applyNumberFormat="1" applyFont="1" applyFill="1" applyBorder="1"/>
    <xf numFmtId="42" fontId="12" fillId="0" borderId="1" xfId="4" applyNumberFormat="1" applyFont="1" applyFill="1" applyBorder="1"/>
    <xf numFmtId="0" fontId="14" fillId="0" borderId="27" xfId="11" applyFont="1" applyBorder="1" applyAlignment="1">
      <alignment horizontal="center"/>
    </xf>
    <xf numFmtId="37" fontId="12" fillId="0" borderId="32" xfId="10" applyNumberFormat="1" applyFont="1" applyBorder="1"/>
    <xf numFmtId="42" fontId="12" fillId="0" borderId="32" xfId="4" applyNumberFormat="1" applyFont="1" applyBorder="1"/>
    <xf numFmtId="43" fontId="12" fillId="0" borderId="32" xfId="56" applyFont="1" applyBorder="1"/>
    <xf numFmtId="43" fontId="12" fillId="0" borderId="28" xfId="4" applyNumberFormat="1" applyFont="1" applyBorder="1"/>
    <xf numFmtId="0" fontId="12" fillId="0" borderId="0" xfId="54" applyFont="1" applyAlignment="1">
      <alignment horizontal="right"/>
    </xf>
    <xf numFmtId="3" fontId="12" fillId="0" borderId="0" xfId="10" applyNumberFormat="1" applyFont="1"/>
    <xf numFmtId="42" fontId="12" fillId="0" borderId="0" xfId="4" applyNumberFormat="1" applyFont="1"/>
    <xf numFmtId="44" fontId="12" fillId="0" borderId="0" xfId="4" applyFont="1"/>
    <xf numFmtId="164" fontId="12" fillId="0" borderId="0" xfId="10" applyNumberFormat="1" applyFont="1"/>
    <xf numFmtId="173" fontId="12" fillId="0" borderId="0" xfId="4" applyNumberFormat="1" applyFont="1"/>
    <xf numFmtId="0" fontId="15" fillId="0" borderId="0" xfId="54" applyFont="1"/>
    <xf numFmtId="174" fontId="12" fillId="0" borderId="0" xfId="4" applyNumberFormat="1" applyFont="1"/>
    <xf numFmtId="44" fontId="12" fillId="0" borderId="0" xfId="54" applyNumberFormat="1" applyFont="1"/>
    <xf numFmtId="174" fontId="12" fillId="0" borderId="0" xfId="54" applyNumberFormat="1" applyFont="1"/>
    <xf numFmtId="173" fontId="12" fillId="0" borderId="0" xfId="5" applyNumberFormat="1" applyFont="1"/>
    <xf numFmtId="175" fontId="12" fillId="0" borderId="0" xfId="54" applyNumberFormat="1" applyFont="1"/>
    <xf numFmtId="173" fontId="12" fillId="0" borderId="0" xfId="54" applyNumberFormat="1" applyFont="1"/>
    <xf numFmtId="0" fontId="13" fillId="0" borderId="0" xfId="20" applyFont="1"/>
    <xf numFmtId="0" fontId="14" fillId="0" borderId="0" xfId="20" applyFont="1"/>
    <xf numFmtId="0" fontId="17" fillId="0" borderId="0" xfId="20" applyFont="1"/>
    <xf numFmtId="0" fontId="18" fillId="0" borderId="0" xfId="20" applyFont="1" applyAlignment="1">
      <alignment horizontal="center"/>
    </xf>
    <xf numFmtId="0" fontId="13" fillId="7" borderId="18" xfId="20" applyFont="1" applyFill="1" applyBorder="1" applyAlignment="1">
      <alignment horizontal="center" wrapText="1"/>
    </xf>
    <xf numFmtId="0" fontId="13" fillId="7" borderId="19" xfId="20" applyFont="1" applyFill="1" applyBorder="1" applyAlignment="1">
      <alignment horizontal="center" wrapText="1"/>
    </xf>
    <xf numFmtId="0" fontId="13" fillId="7" borderId="22" xfId="20" applyFont="1" applyFill="1" applyBorder="1" applyAlignment="1">
      <alignment horizontal="center" wrapText="1"/>
    </xf>
    <xf numFmtId="0" fontId="14" fillId="0" borderId="0" xfId="20" applyFont="1" applyAlignment="1">
      <alignment horizontal="center" wrapText="1"/>
    </xf>
    <xf numFmtId="167" fontId="14" fillId="0" borderId="23" xfId="21" applyNumberFormat="1" applyFont="1" applyBorder="1" applyAlignment="1">
      <alignment horizontal="right" indent="1" shrinkToFit="1"/>
    </xf>
    <xf numFmtId="0" fontId="17" fillId="0" borderId="1" xfId="20" applyFont="1" applyBorder="1" applyAlignment="1">
      <alignment horizontal="left" wrapText="1"/>
    </xf>
    <xf numFmtId="37" fontId="17" fillId="4" borderId="1" xfId="20" applyNumberFormat="1" applyFont="1" applyFill="1" applyBorder="1"/>
    <xf numFmtId="37" fontId="17" fillId="4" borderId="24" xfId="20" applyNumberFormat="1" applyFont="1" applyFill="1" applyBorder="1"/>
    <xf numFmtId="38" fontId="17" fillId="3" borderId="24" xfId="20" applyNumberFormat="1" applyFont="1" applyFill="1" applyBorder="1" applyProtection="1">
      <protection locked="0"/>
    </xf>
    <xf numFmtId="164" fontId="14" fillId="0" borderId="0" xfId="9" applyNumberFormat="1" applyFont="1" applyBorder="1" applyProtection="1"/>
    <xf numFmtId="43" fontId="14" fillId="0" borderId="0" xfId="1" applyFont="1" applyBorder="1" applyProtection="1"/>
    <xf numFmtId="164" fontId="14" fillId="0" borderId="0" xfId="17" applyNumberFormat="1" applyFont="1" applyBorder="1" applyProtection="1"/>
    <xf numFmtId="10" fontId="14" fillId="0" borderId="0" xfId="17" applyNumberFormat="1" applyFont="1" applyBorder="1" applyProtection="1"/>
    <xf numFmtId="164" fontId="14" fillId="0" borderId="0" xfId="1" applyNumberFormat="1" applyFont="1" applyBorder="1" applyProtection="1"/>
    <xf numFmtId="167" fontId="14" fillId="0" borderId="27" xfId="21" applyNumberFormat="1" applyFont="1" applyBorder="1" applyAlignment="1">
      <alignment horizontal="right" indent="1" shrinkToFit="1"/>
    </xf>
    <xf numFmtId="0" fontId="17" fillId="0" borderId="32" xfId="20" applyFont="1" applyBorder="1" applyAlignment="1">
      <alignment horizontal="left" wrapText="1"/>
    </xf>
    <xf numFmtId="38" fontId="17" fillId="3" borderId="28" xfId="20" applyNumberFormat="1" applyFont="1" applyFill="1" applyBorder="1" applyProtection="1">
      <protection locked="0"/>
    </xf>
    <xf numFmtId="0" fontId="17" fillId="0" borderId="0" xfId="20" applyFont="1" applyAlignment="1">
      <alignment horizontal="right"/>
    </xf>
    <xf numFmtId="164" fontId="17" fillId="0" borderId="0" xfId="20" applyNumberFormat="1" applyFont="1"/>
    <xf numFmtId="5" fontId="17" fillId="0" borderId="0" xfId="20" applyNumberFormat="1" applyFont="1"/>
    <xf numFmtId="10" fontId="19" fillId="0" borderId="0" xfId="20" applyNumberFormat="1" applyFont="1"/>
    <xf numFmtId="9" fontId="14" fillId="0" borderId="0" xfId="17" applyFont="1" applyFill="1" applyBorder="1" applyProtection="1"/>
    <xf numFmtId="5" fontId="17" fillId="0" borderId="0" xfId="20" applyNumberFormat="1" applyFont="1" applyAlignment="1">
      <alignment horizontal="right"/>
    </xf>
    <xf numFmtId="164" fontId="17" fillId="0" borderId="0" xfId="9" applyNumberFormat="1" applyFont="1" applyFill="1" applyBorder="1" applyProtection="1"/>
    <xf numFmtId="10" fontId="20" fillId="0" borderId="0" xfId="17" applyNumberFormat="1" applyFont="1" applyFill="1" applyBorder="1" applyProtection="1"/>
    <xf numFmtId="164" fontId="14" fillId="0" borderId="0" xfId="20" applyNumberFormat="1" applyFont="1"/>
    <xf numFmtId="38" fontId="14" fillId="0" borderId="0" xfId="20" applyNumberFormat="1" applyFont="1"/>
    <xf numFmtId="43" fontId="17" fillId="0" borderId="0" xfId="1" applyFont="1" applyFill="1" applyBorder="1" applyProtection="1"/>
    <xf numFmtId="170" fontId="17" fillId="0" borderId="0" xfId="20" applyNumberFormat="1" applyFont="1"/>
    <xf numFmtId="164" fontId="17" fillId="0" borderId="0" xfId="9" applyNumberFormat="1" applyFont="1" applyFill="1" applyBorder="1" applyAlignment="1" applyProtection="1">
      <alignment horizontal="right"/>
    </xf>
    <xf numFmtId="164" fontId="14" fillId="3" borderId="13" xfId="16" applyNumberFormat="1" applyFont="1" applyFill="1" applyBorder="1"/>
    <xf numFmtId="0" fontId="14" fillId="0" borderId="15" xfId="21" quotePrefix="1" applyFont="1" applyBorder="1" applyAlignment="1">
      <alignment horizontal="left"/>
    </xf>
    <xf numFmtId="0" fontId="14" fillId="0" borderId="15" xfId="21" applyFont="1" applyBorder="1"/>
    <xf numFmtId="0" fontId="14" fillId="0" borderId="12" xfId="21" applyFont="1" applyBorder="1"/>
    <xf numFmtId="5" fontId="14" fillId="0" borderId="0" xfId="9" applyNumberFormat="1" applyFont="1" applyBorder="1" applyProtection="1"/>
    <xf numFmtId="179" fontId="17" fillId="9" borderId="22" xfId="20" applyNumberFormat="1" applyFont="1" applyFill="1" applyBorder="1" applyProtection="1">
      <protection locked="0"/>
    </xf>
    <xf numFmtId="0" fontId="17" fillId="0" borderId="50" xfId="20" applyFont="1" applyBorder="1"/>
    <xf numFmtId="0" fontId="14" fillId="0" borderId="38" xfId="20" applyFont="1" applyBorder="1"/>
    <xf numFmtId="173" fontId="14" fillId="0" borderId="0" xfId="4" applyNumberFormat="1" applyFont="1" applyBorder="1" applyProtection="1"/>
    <xf numFmtId="173" fontId="14" fillId="0" borderId="0" xfId="20" applyNumberFormat="1" applyFont="1"/>
    <xf numFmtId="7" fontId="14" fillId="0" borderId="0" xfId="20" applyNumberFormat="1" applyFont="1"/>
    <xf numFmtId="10" fontId="17" fillId="0" borderId="32" xfId="20" applyNumberFormat="1" applyFont="1" applyBorder="1"/>
    <xf numFmtId="10" fontId="14" fillId="0" borderId="32" xfId="20" applyNumberFormat="1" applyFont="1" applyBorder="1"/>
    <xf numFmtId="0" fontId="17" fillId="0" borderId="51" xfId="20" applyFont="1" applyBorder="1"/>
    <xf numFmtId="5" fontId="17" fillId="0" borderId="43" xfId="20" applyNumberFormat="1" applyFont="1" applyBorder="1"/>
    <xf numFmtId="44" fontId="14" fillId="0" borderId="30" xfId="22" applyFont="1" applyBorder="1" applyProtection="1"/>
    <xf numFmtId="5" fontId="14" fillId="0" borderId="0" xfId="20" applyNumberFormat="1" applyFont="1"/>
    <xf numFmtId="0" fontId="14" fillId="0" borderId="0" xfId="20" quotePrefix="1" applyFont="1" applyAlignment="1">
      <alignment horizontal="left"/>
    </xf>
    <xf numFmtId="164" fontId="14" fillId="0" borderId="0" xfId="9" applyNumberFormat="1" applyFont="1" applyBorder="1" applyAlignment="1" applyProtection="1"/>
    <xf numFmtId="0" fontId="14" fillId="0" borderId="0" xfId="23" applyFont="1"/>
    <xf numFmtId="166" fontId="14" fillId="0" borderId="0" xfId="17" applyNumberFormat="1" applyFont="1" applyAlignment="1"/>
    <xf numFmtId="0" fontId="12" fillId="0" borderId="0" xfId="20" applyFont="1"/>
    <xf numFmtId="0" fontId="21" fillId="0" borderId="0" xfId="20" applyFont="1"/>
    <xf numFmtId="173" fontId="21" fillId="0" borderId="0" xfId="22" applyNumberFormat="1" applyFont="1" applyBorder="1" applyProtection="1"/>
    <xf numFmtId="164" fontId="21" fillId="0" borderId="0" xfId="20" applyNumberFormat="1" applyFont="1"/>
    <xf numFmtId="173" fontId="21" fillId="0" borderId="0" xfId="20" applyNumberFormat="1" applyFont="1"/>
    <xf numFmtId="171" fontId="14" fillId="0" borderId="21" xfId="20" quotePrefix="1" applyNumberFormat="1" applyFont="1" applyBorder="1" applyAlignment="1">
      <alignment horizontal="right"/>
    </xf>
    <xf numFmtId="10" fontId="17" fillId="0" borderId="36" xfId="20" applyNumberFormat="1" applyFont="1" applyBorder="1"/>
    <xf numFmtId="0" fontId="13" fillId="0" borderId="55" xfId="20" applyFont="1" applyBorder="1"/>
    <xf numFmtId="0" fontId="13" fillId="0" borderId="13" xfId="20" applyFont="1" applyBorder="1"/>
    <xf numFmtId="0" fontId="22" fillId="8" borderId="36" xfId="20" applyFont="1" applyFill="1" applyBorder="1" applyAlignment="1" applyProtection="1">
      <alignment horizontal="center" wrapText="1"/>
      <protection locked="0"/>
    </xf>
    <xf numFmtId="5" fontId="22" fillId="8" borderId="32" xfId="20" applyNumberFormat="1" applyFont="1" applyFill="1" applyBorder="1" applyAlignment="1" applyProtection="1">
      <alignment horizontal="center" wrapText="1"/>
      <protection locked="0"/>
    </xf>
    <xf numFmtId="0" fontId="22" fillId="8" borderId="32" xfId="20" applyFont="1" applyFill="1" applyBorder="1" applyAlignment="1">
      <alignment horizontal="center" wrapText="1"/>
    </xf>
    <xf numFmtId="0" fontId="22" fillId="8" borderId="28" xfId="20" applyFont="1" applyFill="1" applyBorder="1" applyAlignment="1">
      <alignment horizontal="center" wrapText="1"/>
    </xf>
    <xf numFmtId="0" fontId="22" fillId="8" borderId="27" xfId="20" applyFont="1" applyFill="1" applyBorder="1" applyAlignment="1" applyProtection="1">
      <alignment horizontal="center" wrapText="1"/>
      <protection locked="0"/>
    </xf>
    <xf numFmtId="5" fontId="22" fillId="8" borderId="27" xfId="20" applyNumberFormat="1" applyFont="1" applyFill="1" applyBorder="1" applyAlignment="1" applyProtection="1">
      <alignment horizontal="center" wrapText="1"/>
      <protection locked="0"/>
    </xf>
    <xf numFmtId="167" fontId="14" fillId="0" borderId="45" xfId="21" applyNumberFormat="1" applyFont="1" applyBorder="1" applyAlignment="1">
      <alignment horizontal="right" indent="1" shrinkToFit="1"/>
    </xf>
    <xf numFmtId="0" fontId="17" fillId="0" borderId="46" xfId="20" applyFont="1" applyBorder="1" applyAlignment="1">
      <alignment horizontal="left" wrapText="1"/>
    </xf>
    <xf numFmtId="37" fontId="17" fillId="5" borderId="8" xfId="20" applyNumberFormat="1" applyFont="1" applyFill="1" applyBorder="1" applyProtection="1">
      <protection locked="0"/>
    </xf>
    <xf numFmtId="170" fontId="17" fillId="0" borderId="9" xfId="20" applyNumberFormat="1" applyFont="1" applyBorder="1"/>
    <xf numFmtId="10" fontId="19" fillId="0" borderId="46" xfId="20" applyNumberFormat="1" applyFont="1" applyBorder="1"/>
    <xf numFmtId="7" fontId="17" fillId="0" borderId="9" xfId="20" applyNumberFormat="1" applyFont="1" applyBorder="1"/>
    <xf numFmtId="166" fontId="23" fillId="0" borderId="46" xfId="20" applyNumberFormat="1" applyFont="1" applyBorder="1"/>
    <xf numFmtId="166" fontId="23" fillId="0" borderId="19" xfId="20" applyNumberFormat="1" applyFont="1" applyBorder="1"/>
    <xf numFmtId="10" fontId="19" fillId="0" borderId="47" xfId="20" applyNumberFormat="1" applyFont="1" applyBorder="1"/>
    <xf numFmtId="5" fontId="17" fillId="0" borderId="20" xfId="20" applyNumberFormat="1" applyFont="1" applyBorder="1"/>
    <xf numFmtId="9" fontId="17" fillId="0" borderId="20" xfId="17" applyFont="1" applyFill="1" applyBorder="1" applyProtection="1"/>
    <xf numFmtId="0" fontId="17" fillId="0" borderId="24" xfId="20" applyFont="1" applyBorder="1" applyAlignment="1">
      <alignment horizontal="left" wrapText="1"/>
    </xf>
    <xf numFmtId="172" fontId="17" fillId="0" borderId="1" xfId="20" applyNumberFormat="1" applyFont="1" applyBorder="1"/>
    <xf numFmtId="10" fontId="19" fillId="0" borderId="24" xfId="20" applyNumberFormat="1" applyFont="1" applyBorder="1"/>
    <xf numFmtId="39" fontId="17" fillId="0" borderId="1" xfId="20" applyNumberFormat="1" applyFont="1" applyBorder="1"/>
    <xf numFmtId="166" fontId="23" fillId="0" borderId="24" xfId="20" applyNumberFormat="1" applyFont="1" applyBorder="1"/>
    <xf numFmtId="10" fontId="19" fillId="0" borderId="26" xfId="20" applyNumberFormat="1" applyFont="1" applyBorder="1"/>
    <xf numFmtId="37" fontId="17" fillId="0" borderId="25" xfId="20" applyNumberFormat="1" applyFont="1" applyBorder="1"/>
    <xf numFmtId="9" fontId="17" fillId="0" borderId="25" xfId="17" applyFont="1" applyFill="1" applyBorder="1" applyProtection="1"/>
    <xf numFmtId="37" fontId="17" fillId="5" borderId="27" xfId="20" applyNumberFormat="1" applyFont="1" applyFill="1" applyBorder="1" applyProtection="1">
      <protection locked="0"/>
    </xf>
    <xf numFmtId="37" fontId="17" fillId="5" borderId="36" xfId="20" applyNumberFormat="1" applyFont="1" applyFill="1" applyBorder="1" applyProtection="1">
      <protection locked="0"/>
    </xf>
    <xf numFmtId="172" fontId="17" fillId="0" borderId="32" xfId="20" applyNumberFormat="1" applyFont="1" applyBorder="1"/>
    <xf numFmtId="10" fontId="19" fillId="0" borderId="28" xfId="20" applyNumberFormat="1" applyFont="1" applyBorder="1"/>
    <xf numFmtId="39" fontId="17" fillId="0" borderId="32" xfId="20" applyNumberFormat="1" applyFont="1" applyBorder="1"/>
    <xf numFmtId="166" fontId="23" fillId="0" borderId="28" xfId="20" applyNumberFormat="1" applyFont="1" applyBorder="1"/>
    <xf numFmtId="10" fontId="19" fillId="0" borderId="30" xfId="20" applyNumberFormat="1" applyFont="1" applyBorder="1"/>
    <xf numFmtId="37" fontId="17" fillId="0" borderId="29" xfId="20" applyNumberFormat="1" applyFont="1" applyBorder="1"/>
    <xf numFmtId="9" fontId="17" fillId="0" borderId="29" xfId="17" applyFont="1" applyFill="1" applyBorder="1" applyProtection="1"/>
    <xf numFmtId="0" fontId="18" fillId="0" borderId="0" xfId="20" applyFont="1" applyAlignment="1">
      <alignment horizontal="right"/>
    </xf>
    <xf numFmtId="3" fontId="17" fillId="0" borderId="0" xfId="20" applyNumberFormat="1" applyFont="1"/>
    <xf numFmtId="37" fontId="17" fillId="0" borderId="0" xfId="20" applyNumberFormat="1" applyFont="1"/>
    <xf numFmtId="172" fontId="17" fillId="0" borderId="0" xfId="20" applyNumberFormat="1" applyFont="1"/>
    <xf numFmtId="37" fontId="17" fillId="0" borderId="56" xfId="20" applyNumberFormat="1" applyFont="1" applyBorder="1"/>
    <xf numFmtId="39" fontId="17" fillId="0" borderId="0" xfId="20" applyNumberFormat="1" applyFont="1"/>
    <xf numFmtId="166" fontId="23" fillId="0" borderId="0" xfId="20" applyNumberFormat="1" applyFont="1"/>
    <xf numFmtId="9" fontId="17" fillId="0" borderId="0" xfId="17" applyFont="1" applyFill="1" applyBorder="1" applyProtection="1"/>
    <xf numFmtId="167" fontId="14" fillId="0" borderId="18" xfId="21" applyNumberFormat="1" applyFont="1" applyBorder="1" applyAlignment="1">
      <alignment horizontal="right" indent="1" shrinkToFit="1"/>
    </xf>
    <xf numFmtId="0" fontId="17" fillId="0" borderId="19" xfId="20" applyFont="1" applyBorder="1" applyAlignment="1">
      <alignment horizontal="left" wrapText="1"/>
    </xf>
    <xf numFmtId="3" fontId="17" fillId="6" borderId="39" xfId="20" applyNumberFormat="1" applyFont="1" applyFill="1" applyBorder="1" applyProtection="1">
      <protection locked="0"/>
    </xf>
    <xf numFmtId="37" fontId="17" fillId="6" borderId="22" xfId="20" applyNumberFormat="1" applyFont="1" applyFill="1" applyBorder="1" applyProtection="1">
      <protection locked="0"/>
    </xf>
    <xf numFmtId="172" fontId="17" fillId="0" borderId="22" xfId="20" applyNumberFormat="1" applyFont="1" applyBorder="1"/>
    <xf numFmtId="10" fontId="19" fillId="0" borderId="19" xfId="20" applyNumberFormat="1" applyFont="1" applyBorder="1"/>
    <xf numFmtId="37" fontId="17" fillId="6" borderId="8" xfId="20" applyNumberFormat="1" applyFont="1" applyFill="1" applyBorder="1" applyProtection="1">
      <protection locked="0"/>
    </xf>
    <xf numFmtId="39" fontId="17" fillId="0" borderId="22" xfId="20" applyNumberFormat="1" applyFont="1" applyBorder="1"/>
    <xf numFmtId="3" fontId="17" fillId="5" borderId="39" xfId="20" applyNumberFormat="1" applyFont="1" applyFill="1" applyBorder="1" applyProtection="1">
      <protection locked="0"/>
    </xf>
    <xf numFmtId="37" fontId="17" fillId="5" borderId="22" xfId="20" applyNumberFormat="1" applyFont="1" applyFill="1" applyBorder="1" applyProtection="1">
      <protection locked="0"/>
    </xf>
    <xf numFmtId="37" fontId="17" fillId="6" borderId="39" xfId="20" applyNumberFormat="1" applyFont="1" applyFill="1" applyBorder="1" applyProtection="1">
      <protection locked="0"/>
    </xf>
    <xf numFmtId="37" fontId="17" fillId="6" borderId="18" xfId="20" applyNumberFormat="1" applyFont="1" applyFill="1" applyBorder="1" applyProtection="1">
      <protection locked="0"/>
    </xf>
    <xf numFmtId="10" fontId="19" fillId="0" borderId="21" xfId="20" applyNumberFormat="1" applyFont="1" applyBorder="1"/>
    <xf numFmtId="37" fontId="17" fillId="0" borderId="20" xfId="20" applyNumberFormat="1" applyFont="1" applyBorder="1"/>
    <xf numFmtId="37" fontId="17" fillId="6" borderId="20" xfId="20" applyNumberFormat="1" applyFont="1" applyFill="1" applyBorder="1"/>
    <xf numFmtId="0" fontId="17" fillId="0" borderId="28" xfId="20" applyFont="1" applyBorder="1" applyAlignment="1">
      <alignment horizontal="left" wrapText="1"/>
    </xf>
    <xf numFmtId="37" fontId="17" fillId="6" borderId="27" xfId="20" applyNumberFormat="1" applyFont="1" applyFill="1" applyBorder="1" applyProtection="1">
      <protection locked="0"/>
    </xf>
    <xf numFmtId="37" fontId="17" fillId="6" borderId="36" xfId="20" applyNumberFormat="1" applyFont="1" applyFill="1" applyBorder="1" applyProtection="1">
      <protection locked="0"/>
    </xf>
    <xf numFmtId="37" fontId="17" fillId="6" borderId="23" xfId="20" applyNumberFormat="1" applyFont="1" applyFill="1" applyBorder="1" applyProtection="1">
      <protection locked="0"/>
    </xf>
    <xf numFmtId="37" fontId="17" fillId="0" borderId="0" xfId="20" applyNumberFormat="1" applyFont="1" applyProtection="1">
      <protection locked="0"/>
    </xf>
    <xf numFmtId="0" fontId="18" fillId="0" borderId="0" xfId="20" applyFont="1" applyAlignment="1">
      <alignment horizontal="right" wrapText="1"/>
    </xf>
    <xf numFmtId="7" fontId="17" fillId="0" borderId="0" xfId="20" applyNumberFormat="1" applyFont="1"/>
    <xf numFmtId="166" fontId="17" fillId="0" borderId="0" xfId="17" applyNumberFormat="1" applyFont="1" applyFill="1" applyBorder="1" applyProtection="1"/>
    <xf numFmtId="0" fontId="14" fillId="0" borderId="0" xfId="0" quotePrefix="1" applyFont="1" applyAlignment="1">
      <alignment horizontal="left"/>
    </xf>
    <xf numFmtId="9" fontId="14" fillId="0" borderId="0" xfId="17" applyFont="1" applyFill="1"/>
    <xf numFmtId="0" fontId="25" fillId="0" borderId="0" xfId="20" applyFont="1"/>
    <xf numFmtId="0" fontId="14" fillId="0" borderId="0" xfId="21" applyFont="1"/>
    <xf numFmtId="0" fontId="12" fillId="0" borderId="0" xfId="0" applyFont="1"/>
    <xf numFmtId="0" fontId="13" fillId="7" borderId="1" xfId="21" applyFont="1" applyFill="1" applyBorder="1" applyAlignment="1">
      <alignment horizontal="center" wrapText="1"/>
    </xf>
    <xf numFmtId="0" fontId="13" fillId="7" borderId="24" xfId="21" applyFont="1" applyFill="1" applyBorder="1" applyAlignment="1">
      <alignment horizontal="center"/>
    </xf>
    <xf numFmtId="0" fontId="13" fillId="7" borderId="3" xfId="21" applyFont="1" applyFill="1" applyBorder="1" applyAlignment="1">
      <alignment horizontal="center" wrapText="1"/>
    </xf>
    <xf numFmtId="0" fontId="13" fillId="7" borderId="23" xfId="21" applyFont="1" applyFill="1" applyBorder="1" applyAlignment="1">
      <alignment horizontal="center" wrapText="1"/>
    </xf>
    <xf numFmtId="0" fontId="13" fillId="7" borderId="1" xfId="21" applyFont="1" applyFill="1" applyBorder="1" applyAlignment="1">
      <alignment horizontal="center"/>
    </xf>
    <xf numFmtId="167" fontId="17" fillId="0" borderId="23" xfId="21" applyNumberFormat="1" applyFont="1" applyBorder="1"/>
    <xf numFmtId="37" fontId="17" fillId="10" borderId="3" xfId="21" applyNumberFormat="1" applyFont="1" applyFill="1" applyBorder="1"/>
    <xf numFmtId="37" fontId="14" fillId="5" borderId="3" xfId="21" applyNumberFormat="1" applyFont="1" applyFill="1" applyBorder="1"/>
    <xf numFmtId="37" fontId="14" fillId="0" borderId="9" xfId="21" applyNumberFormat="1" applyFont="1" applyBorder="1"/>
    <xf numFmtId="177" fontId="14" fillId="0" borderId="46" xfId="21" applyNumberFormat="1" applyFont="1" applyBorder="1"/>
    <xf numFmtId="37" fontId="17" fillId="0" borderId="9" xfId="21" applyNumberFormat="1" applyFont="1" applyBorder="1"/>
    <xf numFmtId="176" fontId="14" fillId="0" borderId="46" xfId="21" applyNumberFormat="1" applyFont="1" applyBorder="1"/>
    <xf numFmtId="37" fontId="14" fillId="5" borderId="45" xfId="21" applyNumberFormat="1" applyFont="1" applyFill="1" applyBorder="1"/>
    <xf numFmtId="37" fontId="14" fillId="5" borderId="8" xfId="21" applyNumberFormat="1" applyFont="1" applyFill="1" applyBorder="1"/>
    <xf numFmtId="37" fontId="14" fillId="5" borderId="1" xfId="21" applyNumberFormat="1" applyFont="1" applyFill="1" applyBorder="1"/>
    <xf numFmtId="37" fontId="17" fillId="0" borderId="1" xfId="21" applyNumberFormat="1" applyFont="1" applyBorder="1"/>
    <xf numFmtId="177" fontId="14" fillId="0" borderId="24" xfId="21" applyNumberFormat="1" applyFont="1" applyBorder="1"/>
    <xf numFmtId="37" fontId="14" fillId="0" borderId="45" xfId="21" applyNumberFormat="1" applyFont="1" applyBorder="1"/>
    <xf numFmtId="37" fontId="14" fillId="0" borderId="8" xfId="21" applyNumberFormat="1" applyFont="1" applyBorder="1"/>
    <xf numFmtId="37" fontId="14" fillId="0" borderId="1" xfId="21" applyNumberFormat="1" applyFont="1" applyBorder="1"/>
    <xf numFmtId="176" fontId="14" fillId="0" borderId="24" xfId="21" applyNumberFormat="1" applyFont="1" applyBorder="1"/>
    <xf numFmtId="37" fontId="14" fillId="5" borderId="23" xfId="21" applyNumberFormat="1" applyFont="1" applyFill="1" applyBorder="1"/>
    <xf numFmtId="37" fontId="14" fillId="0" borderId="3" xfId="21" applyNumberFormat="1" applyFont="1" applyBorder="1"/>
    <xf numFmtId="0" fontId="17" fillId="0" borderId="27" xfId="21" applyFont="1" applyBorder="1"/>
    <xf numFmtId="0" fontId="13" fillId="0" borderId="31" xfId="21" applyFont="1" applyBorder="1" applyAlignment="1">
      <alignment horizontal="right"/>
    </xf>
    <xf numFmtId="37" fontId="18" fillId="0" borderId="27" xfId="21" applyNumberFormat="1" applyFont="1" applyBorder="1"/>
    <xf numFmtId="37" fontId="18" fillId="0" borderId="36" xfId="21" applyNumberFormat="1" applyFont="1" applyBorder="1"/>
    <xf numFmtId="37" fontId="18" fillId="0" borderId="32" xfId="21" applyNumberFormat="1" applyFont="1" applyBorder="1"/>
    <xf numFmtId="177" fontId="13" fillId="0" borderId="28" xfId="21" applyNumberFormat="1" applyFont="1" applyBorder="1"/>
    <xf numFmtId="176" fontId="13" fillId="0" borderId="28" xfId="21" applyNumberFormat="1" applyFont="1" applyBorder="1"/>
    <xf numFmtId="0" fontId="14" fillId="0" borderId="0" xfId="21" quotePrefix="1" applyFont="1" applyAlignment="1">
      <alignment horizontal="left"/>
    </xf>
    <xf numFmtId="0" fontId="27" fillId="0" borderId="0" xfId="0" applyFont="1"/>
    <xf numFmtId="164" fontId="17" fillId="0" borderId="25" xfId="24" applyNumberFormat="1" applyFont="1" applyFill="1" applyBorder="1" applyAlignment="1" applyProtection="1">
      <alignment horizontal="left" wrapText="1"/>
    </xf>
    <xf numFmtId="37" fontId="17" fillId="0" borderId="26" xfId="20" applyNumberFormat="1" applyFont="1" applyBorder="1"/>
    <xf numFmtId="10" fontId="19" fillId="0" borderId="1" xfId="20" applyNumberFormat="1" applyFont="1" applyBorder="1"/>
    <xf numFmtId="164" fontId="17" fillId="0" borderId="1" xfId="24" applyNumberFormat="1" applyFont="1" applyFill="1" applyBorder="1" applyProtection="1"/>
    <xf numFmtId="37" fontId="17" fillId="0" borderId="30" xfId="20" applyNumberFormat="1" applyFont="1" applyBorder="1"/>
    <xf numFmtId="164" fontId="17" fillId="0" borderId="32" xfId="24" applyNumberFormat="1" applyFont="1" applyFill="1" applyBorder="1" applyProtection="1"/>
    <xf numFmtId="164" fontId="17" fillId="0" borderId="28" xfId="24" applyNumberFormat="1" applyFont="1" applyFill="1" applyBorder="1" applyAlignment="1" applyProtection="1">
      <alignment horizontal="left" wrapText="1"/>
    </xf>
    <xf numFmtId="37" fontId="17" fillId="4" borderId="27" xfId="20" applyNumberFormat="1" applyFont="1" applyFill="1" applyBorder="1"/>
    <xf numFmtId="37" fontId="17" fillId="4" borderId="28" xfId="20" applyNumberFormat="1" applyFont="1" applyFill="1" applyBorder="1"/>
    <xf numFmtId="10" fontId="19" fillId="0" borderId="27" xfId="20" applyNumberFormat="1" applyFont="1" applyBorder="1"/>
    <xf numFmtId="37" fontId="17" fillId="4" borderId="32" xfId="20" applyNumberFormat="1" applyFont="1" applyFill="1" applyBorder="1"/>
    <xf numFmtId="0" fontId="14" fillId="0" borderId="1" xfId="21" applyFont="1" applyBorder="1"/>
    <xf numFmtId="181" fontId="17" fillId="0" borderId="22" xfId="20" applyNumberFormat="1" applyFont="1" applyBorder="1" applyProtection="1">
      <protection locked="0"/>
    </xf>
    <xf numFmtId="181" fontId="17" fillId="2" borderId="22" xfId="20" applyNumberFormat="1" applyFont="1" applyFill="1" applyBorder="1" applyProtection="1">
      <protection locked="0"/>
    </xf>
    <xf numFmtId="167" fontId="11" fillId="0" borderId="0" xfId="5" applyNumberFormat="1" applyFont="1"/>
    <xf numFmtId="0" fontId="21" fillId="0" borderId="0" xfId="0" applyFont="1"/>
    <xf numFmtId="0" fontId="11" fillId="0" borderId="0" xfId="0" applyFont="1"/>
    <xf numFmtId="0" fontId="13" fillId="7" borderId="52" xfId="21" applyFont="1" applyFill="1" applyBorder="1" applyAlignment="1">
      <alignment horizontal="center" wrapText="1"/>
    </xf>
    <xf numFmtId="165" fontId="17" fillId="0" borderId="1" xfId="0" quotePrefix="1" applyNumberFormat="1" applyFont="1" applyBorder="1" applyAlignment="1">
      <alignment horizontal="left"/>
    </xf>
    <xf numFmtId="165" fontId="17" fillId="0" borderId="1" xfId="0" applyNumberFormat="1" applyFont="1" applyBorder="1" applyAlignment="1">
      <alignment horizontal="left"/>
    </xf>
    <xf numFmtId="173" fontId="12" fillId="0" borderId="1" xfId="4" applyNumberFormat="1" applyFont="1" applyFill="1" applyBorder="1"/>
    <xf numFmtId="178" fontId="12" fillId="0" borderId="1" xfId="2" applyNumberFormat="1" applyFont="1" applyBorder="1"/>
    <xf numFmtId="164" fontId="12" fillId="0" borderId="0" xfId="1" applyNumberFormat="1" applyFont="1"/>
    <xf numFmtId="0" fontId="12" fillId="0" borderId="1" xfId="0" applyFont="1" applyBorder="1"/>
    <xf numFmtId="42" fontId="12" fillId="3" borderId="1" xfId="0" applyNumberFormat="1" applyFont="1" applyFill="1" applyBorder="1"/>
    <xf numFmtId="42" fontId="12" fillId="0" borderId="1" xfId="0" applyNumberFormat="1" applyFont="1" applyBorder="1"/>
    <xf numFmtId="173" fontId="12" fillId="3" borderId="1" xfId="4" applyNumberFormat="1" applyFont="1" applyFill="1" applyBorder="1"/>
    <xf numFmtId="164" fontId="12" fillId="0" borderId="1" xfId="1" applyNumberFormat="1" applyFont="1" applyFill="1" applyBorder="1"/>
    <xf numFmtId="37" fontId="12" fillId="0" borderId="1" xfId="0" applyNumberFormat="1" applyFont="1" applyBorder="1"/>
    <xf numFmtId="9" fontId="12" fillId="0" borderId="0" xfId="0" applyNumberFormat="1" applyFont="1"/>
    <xf numFmtId="173" fontId="12" fillId="0" borderId="0" xfId="0" applyNumberFormat="1" applyFont="1"/>
    <xf numFmtId="164" fontId="17" fillId="0" borderId="4" xfId="1" applyNumberFormat="1" applyFont="1" applyFill="1" applyBorder="1" applyProtection="1"/>
    <xf numFmtId="164" fontId="17" fillId="0" borderId="7" xfId="1" applyNumberFormat="1" applyFont="1" applyFill="1" applyBorder="1" applyProtection="1"/>
    <xf numFmtId="42" fontId="17" fillId="3" borderId="1" xfId="1" applyNumberFormat="1" applyFont="1" applyFill="1" applyBorder="1" applyProtection="1"/>
    <xf numFmtId="42" fontId="17" fillId="3" borderId="2" xfId="1" applyNumberFormat="1" applyFont="1" applyFill="1" applyBorder="1" applyProtection="1"/>
    <xf numFmtId="164" fontId="17" fillId="0" borderId="35" xfId="1" applyNumberFormat="1" applyFont="1" applyFill="1" applyBorder="1" applyProtection="1"/>
    <xf numFmtId="164" fontId="12" fillId="0" borderId="35" xfId="1" applyNumberFormat="1" applyFont="1" applyBorder="1"/>
    <xf numFmtId="164" fontId="12" fillId="0" borderId="7" xfId="1" applyNumberFormat="1" applyFont="1" applyBorder="1"/>
    <xf numFmtId="164" fontId="17" fillId="0" borderId="6" xfId="1" applyNumberFormat="1" applyFont="1" applyFill="1" applyBorder="1" applyProtection="1"/>
    <xf numFmtId="164" fontId="17" fillId="0" borderId="48" xfId="1" applyNumberFormat="1" applyFont="1" applyFill="1" applyBorder="1" applyProtection="1"/>
    <xf numFmtId="164" fontId="17" fillId="0" borderId="0" xfId="1" applyNumberFormat="1" applyFont="1" applyFill="1" applyBorder="1" applyProtection="1"/>
    <xf numFmtId="164" fontId="12" fillId="0" borderId="0" xfId="1" applyNumberFormat="1" applyFont="1" applyBorder="1"/>
    <xf numFmtId="164" fontId="12" fillId="0" borderId="48" xfId="1" applyNumberFormat="1" applyFont="1" applyBorder="1"/>
    <xf numFmtId="164" fontId="12" fillId="0" borderId="5" xfId="0" applyNumberFormat="1" applyFont="1" applyBorder="1"/>
    <xf numFmtId="164" fontId="12" fillId="0" borderId="8" xfId="0" applyNumberFormat="1" applyFont="1" applyBorder="1"/>
    <xf numFmtId="42" fontId="12" fillId="0" borderId="2" xfId="0" applyNumberFormat="1" applyFont="1" applyBorder="1"/>
    <xf numFmtId="164" fontId="12" fillId="0" borderId="49" xfId="0" applyNumberFormat="1" applyFont="1" applyBorder="1"/>
    <xf numFmtId="164" fontId="12" fillId="0" borderId="49" xfId="1" applyNumberFormat="1" applyFont="1" applyBorder="1"/>
    <xf numFmtId="164" fontId="12" fillId="0" borderId="8" xfId="1" applyNumberFormat="1" applyFont="1" applyBorder="1"/>
    <xf numFmtId="165" fontId="17" fillId="0" borderId="0" xfId="0" applyNumberFormat="1" applyFont="1" applyAlignment="1">
      <alignment horizontal="left"/>
    </xf>
    <xf numFmtId="173" fontId="12" fillId="0" borderId="0" xfId="4" applyNumberFormat="1" applyFont="1" applyFill="1" applyBorder="1"/>
    <xf numFmtId="178" fontId="12" fillId="0" borderId="0" xfId="2" applyNumberFormat="1" applyFont="1" applyBorder="1"/>
    <xf numFmtId="164" fontId="12" fillId="0" borderId="0" xfId="0" applyNumberFormat="1" applyFont="1"/>
    <xf numFmtId="42" fontId="12" fillId="0" borderId="0" xfId="0" applyNumberFormat="1" applyFont="1"/>
    <xf numFmtId="0" fontId="12" fillId="0" borderId="0" xfId="0" quotePrefix="1" applyFont="1" applyAlignment="1">
      <alignment vertical="top"/>
    </xf>
    <xf numFmtId="0" fontId="12" fillId="0" borderId="0" xfId="0" quotePrefix="1" applyFont="1" applyAlignment="1">
      <alignment vertical="top" wrapText="1"/>
    </xf>
    <xf numFmtId="0" fontId="12" fillId="0" borderId="0" xfId="0" quotePrefix="1" applyFont="1"/>
    <xf numFmtId="10" fontId="12" fillId="0" borderId="0" xfId="2" applyNumberFormat="1" applyFont="1"/>
    <xf numFmtId="167" fontId="29" fillId="0" borderId="0" xfId="5" applyNumberFormat="1" applyFont="1"/>
    <xf numFmtId="0" fontId="30" fillId="0" borderId="0" xfId="5" applyFont="1"/>
    <xf numFmtId="168" fontId="30" fillId="0" borderId="0" xfId="5" applyNumberFormat="1" applyFont="1" applyAlignment="1">
      <alignment horizontal="right"/>
    </xf>
    <xf numFmtId="167" fontId="30" fillId="0" borderId="0" xfId="5" applyNumberFormat="1" applyFont="1" applyAlignment="1">
      <alignment horizontal="left" vertical="top"/>
    </xf>
    <xf numFmtId="167" fontId="31" fillId="7" borderId="14" xfId="5" applyNumberFormat="1" applyFont="1" applyFill="1" applyBorder="1" applyAlignment="1">
      <alignment horizontal="center" wrapText="1"/>
    </xf>
    <xf numFmtId="167" fontId="31" fillId="7" borderId="16" xfId="5" applyNumberFormat="1" applyFont="1" applyFill="1" applyBorder="1" applyAlignment="1">
      <alignment horizontal="center" wrapText="1"/>
    </xf>
    <xf numFmtId="167" fontId="31" fillId="7" borderId="17" xfId="5" applyNumberFormat="1" applyFont="1" applyFill="1" applyBorder="1" applyAlignment="1">
      <alignment horizontal="center" wrapText="1"/>
    </xf>
    <xf numFmtId="167" fontId="30" fillId="0" borderId="9" xfId="5" applyNumberFormat="1" applyFont="1" applyBorder="1"/>
    <xf numFmtId="169" fontId="30" fillId="0" borderId="9" xfId="5" applyNumberFormat="1" applyFont="1" applyBorder="1"/>
    <xf numFmtId="44" fontId="30" fillId="0" borderId="9" xfId="4" applyFont="1" applyBorder="1"/>
    <xf numFmtId="164" fontId="30" fillId="3" borderId="9" xfId="7" applyNumberFormat="1" applyFont="1" applyFill="1" applyBorder="1" applyAlignment="1">
      <alignment horizontal="right"/>
    </xf>
    <xf numFmtId="168" fontId="30" fillId="0" borderId="9" xfId="5" applyNumberFormat="1" applyFont="1" applyBorder="1" applyAlignment="1">
      <alignment horizontal="right"/>
    </xf>
    <xf numFmtId="44" fontId="30" fillId="0" borderId="9" xfId="4" applyFont="1" applyBorder="1" applyAlignment="1">
      <alignment horizontal="right"/>
    </xf>
    <xf numFmtId="167" fontId="30" fillId="0" borderId="1" xfId="5" applyNumberFormat="1" applyFont="1" applyBorder="1"/>
    <xf numFmtId="169" fontId="30" fillId="0" borderId="1" xfId="5" applyNumberFormat="1" applyFont="1" applyBorder="1"/>
    <xf numFmtId="43" fontId="30" fillId="0" borderId="1" xfId="1" applyFont="1" applyBorder="1"/>
    <xf numFmtId="168" fontId="30" fillId="0" borderId="1" xfId="5" applyNumberFormat="1" applyFont="1" applyBorder="1" applyAlignment="1">
      <alignment horizontal="right"/>
    </xf>
    <xf numFmtId="167" fontId="30" fillId="0" borderId="0" xfId="5" applyNumberFormat="1" applyFont="1"/>
    <xf numFmtId="169" fontId="30" fillId="0" borderId="0" xfId="5" applyNumberFormat="1" applyFont="1"/>
    <xf numFmtId="173" fontId="30" fillId="0" borderId="0" xfId="4" applyNumberFormat="1" applyFont="1" applyAlignment="1">
      <alignment horizontal="right"/>
    </xf>
    <xf numFmtId="173" fontId="30" fillId="0" borderId="0" xfId="4" applyNumberFormat="1" applyFont="1"/>
    <xf numFmtId="44" fontId="30" fillId="0" borderId="0" xfId="5" applyNumberFormat="1" applyFont="1"/>
    <xf numFmtId="173" fontId="30" fillId="0" borderId="0" xfId="5" applyNumberFormat="1" applyFont="1"/>
    <xf numFmtId="9" fontId="14" fillId="0" borderId="0" xfId="20" applyNumberFormat="1" applyFont="1"/>
    <xf numFmtId="0" fontId="13" fillId="0" borderId="0" xfId="26" applyFont="1"/>
    <xf numFmtId="0" fontId="14" fillId="0" borderId="0" xfId="26" applyFont="1"/>
    <xf numFmtId="0" fontId="13" fillId="7" borderId="14" xfId="21" applyFont="1" applyFill="1" applyBorder="1" applyAlignment="1">
      <alignment horizontal="center"/>
    </xf>
    <xf numFmtId="0" fontId="13" fillId="7" borderId="13" xfId="21" applyFont="1" applyFill="1" applyBorder="1" applyAlignment="1">
      <alignment horizontal="center"/>
    </xf>
    <xf numFmtId="0" fontId="13" fillId="7" borderId="13" xfId="21" applyFont="1" applyFill="1" applyBorder="1" applyAlignment="1">
      <alignment horizontal="center" wrapText="1"/>
    </xf>
    <xf numFmtId="167" fontId="14" fillId="0" borderId="45" xfId="21" applyNumberFormat="1" applyFont="1" applyBorder="1" applyAlignment="1">
      <alignment shrinkToFit="1"/>
    </xf>
    <xf numFmtId="0" fontId="17" fillId="0" borderId="9" xfId="26" applyFont="1" applyBorder="1" applyAlignment="1">
      <alignment wrapText="1"/>
    </xf>
    <xf numFmtId="164" fontId="14" fillId="3" borderId="9" xfId="24" applyNumberFormat="1" applyFont="1" applyFill="1" applyBorder="1" applyProtection="1"/>
    <xf numFmtId="164" fontId="14" fillId="0" borderId="9" xfId="24" applyNumberFormat="1" applyFont="1" applyFill="1" applyBorder="1"/>
    <xf numFmtId="164" fontId="14" fillId="0" borderId="20" xfId="24" applyNumberFormat="1" applyFont="1" applyFill="1" applyBorder="1"/>
    <xf numFmtId="164" fontId="14" fillId="0" borderId="0" xfId="24" applyNumberFormat="1" applyFont="1"/>
    <xf numFmtId="164" fontId="14" fillId="0" borderId="0" xfId="26" applyNumberFormat="1" applyFont="1"/>
    <xf numFmtId="9" fontId="14" fillId="0" borderId="0" xfId="17" applyFont="1"/>
    <xf numFmtId="167" fontId="14" fillId="0" borderId="23" xfId="21" applyNumberFormat="1" applyFont="1" applyBorder="1" applyAlignment="1">
      <alignment shrinkToFit="1"/>
    </xf>
    <xf numFmtId="0" fontId="17" fillId="0" borderId="1" xfId="26" applyFont="1" applyBorder="1" applyAlignment="1">
      <alignment wrapText="1"/>
    </xf>
    <xf numFmtId="164" fontId="14" fillId="3" borderId="1" xfId="24" applyNumberFormat="1" applyFont="1" applyFill="1" applyBorder="1" applyProtection="1"/>
    <xf numFmtId="164" fontId="14" fillId="0" borderId="25" xfId="24" applyNumberFormat="1" applyFont="1" applyFill="1" applyBorder="1"/>
    <xf numFmtId="167" fontId="14" fillId="0" borderId="27" xfId="21" applyNumberFormat="1" applyFont="1" applyBorder="1" applyAlignment="1">
      <alignment shrinkToFit="1"/>
    </xf>
    <xf numFmtId="0" fontId="17" fillId="0" borderId="32" xfId="26" applyFont="1" applyBorder="1" applyAlignment="1">
      <alignment wrapText="1"/>
    </xf>
    <xf numFmtId="164" fontId="14" fillId="3" borderId="32" xfId="24" applyNumberFormat="1" applyFont="1" applyFill="1" applyBorder="1" applyProtection="1"/>
    <xf numFmtId="164" fontId="14" fillId="0" borderId="29" xfId="24" applyNumberFormat="1" applyFont="1" applyFill="1" applyBorder="1"/>
    <xf numFmtId="0" fontId="13" fillId="0" borderId="0" xfId="26" applyFont="1" applyAlignment="1">
      <alignment horizontal="right"/>
    </xf>
    <xf numFmtId="164" fontId="13" fillId="0" borderId="0" xfId="26" applyNumberFormat="1" applyFont="1"/>
    <xf numFmtId="3" fontId="14" fillId="0" borderId="0" xfId="26" applyNumberFormat="1" applyFont="1"/>
    <xf numFmtId="0" fontId="12" fillId="11" borderId="0" xfId="0" applyFont="1" applyFill="1" applyAlignment="1">
      <alignment horizontal="left"/>
    </xf>
    <xf numFmtId="0" fontId="33" fillId="11" borderId="0" xfId="0" applyFont="1" applyFill="1" applyAlignment="1">
      <alignment horizontal="left"/>
    </xf>
    <xf numFmtId="0" fontId="34" fillId="12" borderId="57" xfId="0" applyFont="1" applyFill="1" applyBorder="1" applyAlignment="1">
      <alignment horizontal="left"/>
    </xf>
    <xf numFmtId="0" fontId="12" fillId="13" borderId="58" xfId="0" applyFont="1" applyFill="1" applyBorder="1" applyAlignment="1">
      <alignment horizontal="left"/>
    </xf>
    <xf numFmtId="180" fontId="12" fillId="13" borderId="58" xfId="0" applyNumberFormat="1" applyFont="1" applyFill="1" applyBorder="1" applyAlignment="1">
      <alignment horizontal="left"/>
    </xf>
    <xf numFmtId="0" fontId="13" fillId="7" borderId="2" xfId="21" applyFont="1" applyFill="1" applyBorder="1" applyAlignment="1">
      <alignment horizontal="center" wrapText="1"/>
    </xf>
    <xf numFmtId="0" fontId="13" fillId="7" borderId="10" xfId="21" applyFont="1" applyFill="1" applyBorder="1" applyAlignment="1">
      <alignment horizontal="center" wrapText="1"/>
    </xf>
    <xf numFmtId="0" fontId="13" fillId="7" borderId="3" xfId="21" applyFont="1" applyFill="1" applyBorder="1" applyAlignment="1">
      <alignment horizontal="center" wrapText="1"/>
    </xf>
    <xf numFmtId="0" fontId="12" fillId="0" borderId="0" xfId="0" quotePrefix="1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0" borderId="0" xfId="21" applyFont="1" applyAlignment="1">
      <alignment horizontal="center" wrapText="1"/>
    </xf>
    <xf numFmtId="167" fontId="13" fillId="7" borderId="53" xfId="5" applyNumberFormat="1" applyFont="1" applyFill="1" applyBorder="1" applyAlignment="1">
      <alignment horizontal="center" wrapText="1"/>
    </xf>
    <xf numFmtId="167" fontId="13" fillId="7" borderId="54" xfId="5" applyNumberFormat="1" applyFont="1" applyFill="1" applyBorder="1" applyAlignment="1">
      <alignment horizontal="center" wrapText="1"/>
    </xf>
    <xf numFmtId="0" fontId="14" fillId="0" borderId="2" xfId="11" applyFont="1" applyBorder="1" applyAlignment="1">
      <alignment horizontal="left" wrapText="1"/>
    </xf>
    <xf numFmtId="0" fontId="14" fillId="0" borderId="3" xfId="11" applyFont="1" applyBorder="1" applyAlignment="1">
      <alignment horizontal="left" wrapText="1"/>
    </xf>
    <xf numFmtId="0" fontId="14" fillId="0" borderId="34" xfId="11" applyFont="1" applyBorder="1" applyAlignment="1">
      <alignment horizontal="left" wrapText="1"/>
    </xf>
    <xf numFmtId="0" fontId="14" fillId="0" borderId="39" xfId="11" applyFont="1" applyBorder="1" applyAlignment="1">
      <alignment horizontal="left" wrapText="1"/>
    </xf>
    <xf numFmtId="0" fontId="14" fillId="0" borderId="31" xfId="11" applyFont="1" applyBorder="1" applyAlignment="1">
      <alignment horizontal="left" wrapText="1"/>
    </xf>
    <xf numFmtId="0" fontId="14" fillId="0" borderId="36" xfId="11" applyFont="1" applyBorder="1" applyAlignment="1">
      <alignment horizontal="left" wrapText="1"/>
    </xf>
    <xf numFmtId="0" fontId="13" fillId="7" borderId="18" xfId="20" applyFont="1" applyFill="1" applyBorder="1" applyAlignment="1">
      <alignment horizontal="center" wrapText="1"/>
    </xf>
    <xf numFmtId="0" fontId="13" fillId="7" borderId="22" xfId="20" quotePrefix="1" applyFont="1" applyFill="1" applyBorder="1" applyAlignment="1">
      <alignment horizontal="center" wrapText="1"/>
    </xf>
    <xf numFmtId="5" fontId="22" fillId="8" borderId="41" xfId="20" applyNumberFormat="1" applyFont="1" applyFill="1" applyBorder="1" applyAlignment="1">
      <alignment horizontal="center" wrapText="1"/>
    </xf>
    <xf numFmtId="5" fontId="22" fillId="8" borderId="44" xfId="20" applyNumberFormat="1" applyFont="1" applyFill="1" applyBorder="1" applyAlignment="1">
      <alignment horizontal="center" wrapText="1"/>
    </xf>
    <xf numFmtId="0" fontId="22" fillId="8" borderId="37" xfId="20" applyFont="1" applyFill="1" applyBorder="1" applyAlignment="1">
      <alignment horizontal="center" wrapText="1"/>
    </xf>
    <xf numFmtId="0" fontId="22" fillId="8" borderId="38" xfId="20" applyFont="1" applyFill="1" applyBorder="1" applyAlignment="1">
      <alignment horizontal="center" wrapText="1"/>
    </xf>
    <xf numFmtId="0" fontId="22" fillId="8" borderId="42" xfId="20" applyFont="1" applyFill="1" applyBorder="1" applyAlignment="1">
      <alignment horizontal="center" wrapText="1"/>
    </xf>
    <xf numFmtId="0" fontId="22" fillId="8" borderId="43" xfId="20" applyFont="1" applyFill="1" applyBorder="1" applyAlignment="1">
      <alignment horizontal="center" wrapText="1"/>
    </xf>
    <xf numFmtId="0" fontId="22" fillId="8" borderId="39" xfId="20" applyFont="1" applyFill="1" applyBorder="1" applyAlignment="1">
      <alignment horizontal="center" wrapText="1"/>
    </xf>
    <xf numFmtId="0" fontId="22" fillId="8" borderId="22" xfId="20" applyFont="1" applyFill="1" applyBorder="1" applyAlignment="1">
      <alignment horizontal="center" wrapText="1"/>
    </xf>
    <xf numFmtId="0" fontId="22" fillId="8" borderId="19" xfId="20" applyFont="1" applyFill="1" applyBorder="1" applyAlignment="1">
      <alignment horizontal="center" wrapText="1"/>
    </xf>
    <xf numFmtId="0" fontId="22" fillId="8" borderId="18" xfId="20" applyFont="1" applyFill="1" applyBorder="1" applyAlignment="1">
      <alignment horizontal="center" wrapText="1"/>
    </xf>
    <xf numFmtId="0" fontId="22" fillId="8" borderId="33" xfId="20" applyFont="1" applyFill="1" applyBorder="1" applyAlignment="1">
      <alignment horizontal="center" wrapText="1"/>
    </xf>
    <xf numFmtId="0" fontId="22" fillId="8" borderId="40" xfId="20" applyFont="1" applyFill="1" applyBorder="1" applyAlignment="1">
      <alignment horizontal="center" wrapText="1"/>
    </xf>
    <xf numFmtId="0" fontId="22" fillId="8" borderId="20" xfId="20" applyFont="1" applyFill="1" applyBorder="1" applyAlignment="1">
      <alignment horizontal="center" wrapText="1"/>
    </xf>
    <xf numFmtId="5" fontId="22" fillId="8" borderId="33" xfId="20" applyNumberFormat="1" applyFont="1" applyFill="1" applyBorder="1" applyAlignment="1" applyProtection="1">
      <alignment horizontal="center" wrapText="1"/>
      <protection locked="0"/>
    </xf>
    <xf numFmtId="5" fontId="22" fillId="8" borderId="20" xfId="20" applyNumberFormat="1" applyFont="1" applyFill="1" applyBorder="1" applyAlignment="1" applyProtection="1">
      <alignment horizontal="center" wrapText="1"/>
      <protection locked="0"/>
    </xf>
    <xf numFmtId="5" fontId="22" fillId="8" borderId="11" xfId="20" applyNumberFormat="1" applyFont="1" applyFill="1" applyBorder="1" applyAlignment="1" applyProtection="1">
      <alignment horizontal="center" wrapText="1"/>
      <protection locked="0"/>
    </xf>
    <xf numFmtId="5" fontId="22" fillId="8" borderId="12" xfId="20" applyNumberFormat="1" applyFont="1" applyFill="1" applyBorder="1" applyAlignment="1" applyProtection="1">
      <alignment horizontal="center" wrapText="1"/>
      <protection locked="0"/>
    </xf>
    <xf numFmtId="0" fontId="22" fillId="8" borderId="41" xfId="20" applyFont="1" applyFill="1" applyBorder="1" applyAlignment="1">
      <alignment horizontal="center" wrapText="1"/>
    </xf>
    <xf numFmtId="0" fontId="22" fillId="8" borderId="44" xfId="20" applyFont="1" applyFill="1" applyBorder="1" applyAlignment="1">
      <alignment horizontal="center" wrapText="1"/>
    </xf>
    <xf numFmtId="0" fontId="14" fillId="0" borderId="0" xfId="38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13" fillId="0" borderId="0" xfId="21" applyFont="1" applyAlignment="1">
      <alignment horizontal="left"/>
    </xf>
    <xf numFmtId="0" fontId="13" fillId="0" borderId="56" xfId="21" applyFont="1" applyBorder="1" applyAlignment="1">
      <alignment horizontal="left"/>
    </xf>
    <xf numFmtId="0" fontId="13" fillId="7" borderId="18" xfId="21" applyFont="1" applyFill="1" applyBorder="1" applyAlignment="1">
      <alignment horizontal="center"/>
    </xf>
    <xf numFmtId="0" fontId="13" fillId="7" borderId="22" xfId="21" applyFont="1" applyFill="1" applyBorder="1" applyAlignment="1">
      <alignment horizontal="center"/>
    </xf>
    <xf numFmtId="0" fontId="13" fillId="7" borderId="19" xfId="21" applyFont="1" applyFill="1" applyBorder="1" applyAlignment="1">
      <alignment horizontal="center"/>
    </xf>
    <xf numFmtId="0" fontId="13" fillId="7" borderId="23" xfId="21" applyFont="1" applyFill="1" applyBorder="1" applyAlignment="1">
      <alignment horizontal="center"/>
    </xf>
    <xf numFmtId="0" fontId="13" fillId="7" borderId="34" xfId="21" applyFont="1" applyFill="1" applyBorder="1" applyAlignment="1">
      <alignment horizontal="center"/>
    </xf>
    <xf numFmtId="0" fontId="13" fillId="7" borderId="2" xfId="21" applyFont="1" applyFill="1" applyBorder="1" applyAlignment="1">
      <alignment horizontal="center"/>
    </xf>
    <xf numFmtId="0" fontId="13" fillId="7" borderId="39" xfId="21" applyFont="1" applyFill="1" applyBorder="1" applyAlignment="1">
      <alignment horizontal="center"/>
    </xf>
    <xf numFmtId="0" fontId="32" fillId="11" borderId="0" xfId="0" applyFont="1" applyFill="1" applyAlignment="1">
      <alignment horizontal="left" wrapText="1"/>
    </xf>
  </cellXfs>
  <cellStyles count="59">
    <cellStyle name="Comma" xfId="1" builtinId="3"/>
    <cellStyle name="Comma 2" xfId="7" xr:uid="{00000000-0005-0000-0000-000001000000}"/>
    <cellStyle name="Comma 2 2" xfId="27" xr:uid="{00000000-0005-0000-0000-000002000000}"/>
    <cellStyle name="Comma 2 3" xfId="57" xr:uid="{00000000-0005-0000-0000-000003000000}"/>
    <cellStyle name="Comma 3" xfId="8" xr:uid="{00000000-0005-0000-0000-000004000000}"/>
    <cellStyle name="Comma 3 2" xfId="24" xr:uid="{00000000-0005-0000-0000-000005000000}"/>
    <cellStyle name="Comma 4" xfId="9" xr:uid="{00000000-0005-0000-0000-000006000000}"/>
    <cellStyle name="Comma 5" xfId="10" xr:uid="{00000000-0005-0000-0000-000007000000}"/>
    <cellStyle name="Comma 6" xfId="6" xr:uid="{00000000-0005-0000-0000-000008000000}"/>
    <cellStyle name="Comma 8" xfId="56" xr:uid="{00000000-0005-0000-0000-000009000000}"/>
    <cellStyle name="Comma0" xfId="28" xr:uid="{00000000-0005-0000-0000-00000A000000}"/>
    <cellStyle name="Comma0 2" xfId="29" xr:uid="{00000000-0005-0000-0000-00000B000000}"/>
    <cellStyle name="Currency" xfId="4" builtinId="4"/>
    <cellStyle name="Currency 10" xfId="58" xr:uid="{4124FEBC-D206-473E-B7FA-6AC9830270A5}"/>
    <cellStyle name="Currency 2" xfId="22" xr:uid="{00000000-0005-0000-0000-00000D000000}"/>
    <cellStyle name="Currency 2 2" xfId="30" xr:uid="{00000000-0005-0000-0000-00000E000000}"/>
    <cellStyle name="Currency 3" xfId="31" xr:uid="{00000000-0005-0000-0000-00000F000000}"/>
    <cellStyle name="Currency 3 2" xfId="32" xr:uid="{00000000-0005-0000-0000-000010000000}"/>
    <cellStyle name="Currency 4" xfId="33" xr:uid="{00000000-0005-0000-0000-000011000000}"/>
    <cellStyle name="Normal" xfId="0" builtinId="0"/>
    <cellStyle name="Normal 10" xfId="34" xr:uid="{00000000-0005-0000-0000-000013000000}"/>
    <cellStyle name="Normal 10 2" xfId="35" xr:uid="{00000000-0005-0000-0000-000014000000}"/>
    <cellStyle name="Normal 10 3" xfId="54" xr:uid="{00000000-0005-0000-0000-000015000000}"/>
    <cellStyle name="Normal 11" xfId="36" xr:uid="{00000000-0005-0000-0000-000016000000}"/>
    <cellStyle name="Normal 12" xfId="37" xr:uid="{00000000-0005-0000-0000-000017000000}"/>
    <cellStyle name="Normal 2" xfId="3" xr:uid="{00000000-0005-0000-0000-000018000000}"/>
    <cellStyle name="Normal 2 10" xfId="38" xr:uid="{00000000-0005-0000-0000-000019000000}"/>
    <cellStyle name="Normal 2 11" xfId="39" xr:uid="{00000000-0005-0000-0000-00001A000000}"/>
    <cellStyle name="Normal 2 12" xfId="40" xr:uid="{00000000-0005-0000-0000-00001B000000}"/>
    <cellStyle name="Normal 2 13" xfId="41" xr:uid="{00000000-0005-0000-0000-00001C000000}"/>
    <cellStyle name="Normal 2 14" xfId="55" xr:uid="{00000000-0005-0000-0000-00001D000000}"/>
    <cellStyle name="Normal 2 2" xfId="11" xr:uid="{00000000-0005-0000-0000-00001E000000}"/>
    <cellStyle name="Normal 2 3" xfId="26" xr:uid="{00000000-0005-0000-0000-00001F000000}"/>
    <cellStyle name="Normal 2 4" xfId="42" xr:uid="{00000000-0005-0000-0000-000020000000}"/>
    <cellStyle name="Normal 2 5" xfId="43" xr:uid="{00000000-0005-0000-0000-000021000000}"/>
    <cellStyle name="Normal 2 6" xfId="44" xr:uid="{00000000-0005-0000-0000-000022000000}"/>
    <cellStyle name="Normal 2 7" xfId="45" xr:uid="{00000000-0005-0000-0000-000023000000}"/>
    <cellStyle name="Normal 2 8" xfId="46" xr:uid="{00000000-0005-0000-0000-000024000000}"/>
    <cellStyle name="Normal 2 9" xfId="47" xr:uid="{00000000-0005-0000-0000-000025000000}"/>
    <cellStyle name="Normal 3" xfId="12" xr:uid="{00000000-0005-0000-0000-000026000000}"/>
    <cellStyle name="Normal 3 2" xfId="48" xr:uid="{00000000-0005-0000-0000-000027000000}"/>
    <cellStyle name="Normal 3 3" xfId="49" xr:uid="{00000000-0005-0000-0000-000028000000}"/>
    <cellStyle name="Normal 4" xfId="13" xr:uid="{00000000-0005-0000-0000-000029000000}"/>
    <cellStyle name="Normal 4 2" xfId="50" xr:uid="{00000000-0005-0000-0000-00002A000000}"/>
    <cellStyle name="Normal 5" xfId="14" xr:uid="{00000000-0005-0000-0000-00002B000000}"/>
    <cellStyle name="Normal 5 2" xfId="20" xr:uid="{00000000-0005-0000-0000-00002C000000}"/>
    <cellStyle name="Normal 6" xfId="15" xr:uid="{00000000-0005-0000-0000-00002D000000}"/>
    <cellStyle name="Normal 7" xfId="5" xr:uid="{00000000-0005-0000-0000-00002E000000}"/>
    <cellStyle name="Normal 8" xfId="16" xr:uid="{00000000-0005-0000-0000-00002F000000}"/>
    <cellStyle name="Normal 9" xfId="51" xr:uid="{00000000-0005-0000-0000-000030000000}"/>
    <cellStyle name="Normal_AttchGrework" xfId="23" xr:uid="{00000000-0005-0000-0000-000031000000}"/>
    <cellStyle name="Normal_IONov04final113004Jefffinalnovassample" xfId="21" xr:uid="{00000000-0005-0000-0000-000032000000}"/>
    <cellStyle name="Percent" xfId="2" builtinId="5"/>
    <cellStyle name="Percent 2" xfId="17" xr:uid="{00000000-0005-0000-0000-000034000000}"/>
    <cellStyle name="Percent 2 2" xfId="52" xr:uid="{00000000-0005-0000-0000-000035000000}"/>
    <cellStyle name="Percent 3" xfId="18" xr:uid="{00000000-0005-0000-0000-000036000000}"/>
    <cellStyle name="Percent 3 2" xfId="25" xr:uid="{00000000-0005-0000-0000-000037000000}"/>
    <cellStyle name="Percent 4" xfId="19" xr:uid="{00000000-0005-0000-0000-000038000000}"/>
    <cellStyle name="Percent 5" xfId="53" xr:uid="{00000000-0005-0000-0000-000039000000}"/>
  </cellStyles>
  <dxfs count="5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Right="0"/>
  </sheetPr>
  <dimension ref="A1:AB69"/>
  <sheetViews>
    <sheetView showGridLines="0" tabSelected="1" zoomScale="85" zoomScaleNormal="85" workbookViewId="0">
      <pane xSplit="2" ySplit="4" topLeftCell="C5" activePane="bottomRight" state="frozen"/>
      <selection activeCell="J27" sqref="J27"/>
      <selection pane="topRight" activeCell="J27" sqref="J27"/>
      <selection pane="bottomLeft" activeCell="J27" sqref="J27"/>
      <selection pane="bottomRight" activeCell="B4" sqref="B4"/>
    </sheetView>
  </sheetViews>
  <sheetFormatPr defaultColWidth="9.109375" defaultRowHeight="13.8" outlineLevelRow="2" outlineLevelCol="1"/>
  <cols>
    <col min="1" max="1" width="8.33203125" style="168" customWidth="1"/>
    <col min="2" max="2" width="18.5546875" style="168" customWidth="1"/>
    <col min="3" max="4" width="15.6640625" style="168" customWidth="1"/>
    <col min="5" max="5" width="14.5546875" style="168" bestFit="1" customWidth="1"/>
    <col min="6" max="6" width="9.33203125" style="168" customWidth="1"/>
    <col min="7" max="7" width="2.44140625" style="168" customWidth="1"/>
    <col min="8" max="14" width="16" style="168" customWidth="1"/>
    <col min="15" max="15" width="2.44140625" style="168" customWidth="1" outlineLevel="1"/>
    <col min="16" max="17" width="14.5546875" style="168" customWidth="1" outlineLevel="1"/>
    <col min="18" max="19" width="15.5546875" style="168" customWidth="1" outlineLevel="1"/>
    <col min="20" max="20" width="14.6640625" style="168" customWidth="1" outlineLevel="1"/>
    <col min="21" max="21" width="15" style="168" customWidth="1" outlineLevel="1"/>
    <col min="22" max="22" width="14.5546875" style="168" customWidth="1" outlineLevel="1"/>
    <col min="23" max="23" width="10.33203125" style="168" customWidth="1" outlineLevel="1"/>
    <col min="24" max="24" width="2.109375" style="168" customWidth="1"/>
    <col min="25" max="26" width="15.6640625" style="168" bestFit="1" customWidth="1"/>
    <col min="27" max="27" width="12.5546875" style="168" bestFit="1" customWidth="1"/>
    <col min="28" max="28" width="9.5546875" style="168" bestFit="1" customWidth="1"/>
    <col min="29" max="16384" width="9.109375" style="168"/>
  </cols>
  <sheetData>
    <row r="1" spans="1:28">
      <c r="A1" s="215" t="str">
        <f>"State Colleges Basis for Legislative Appropriations - "&amp;TEXT(F1,"@@@@")&amp;"-"&amp;TEXT(F1+1,"@@@@")</f>
        <v>State Colleges Basis for Legislative Appropriations - 2024-2025</v>
      </c>
      <c r="F1" s="216">
        <v>2024</v>
      </c>
      <c r="H1" s="168" t="s">
        <v>137</v>
      </c>
      <c r="K1" s="168" t="s">
        <v>137</v>
      </c>
    </row>
    <row r="2" spans="1:28">
      <c r="A2" s="217" t="s">
        <v>18</v>
      </c>
    </row>
    <row r="3" spans="1:28" ht="14.25" customHeight="1">
      <c r="A3" s="217"/>
      <c r="C3" s="312" t="s">
        <v>280</v>
      </c>
      <c r="D3" s="313"/>
      <c r="E3" s="313"/>
      <c r="F3" s="314"/>
      <c r="H3" s="312" t="s">
        <v>280</v>
      </c>
      <c r="I3" s="313"/>
      <c r="J3" s="313"/>
      <c r="K3" s="313"/>
      <c r="L3" s="313"/>
      <c r="M3" s="313"/>
      <c r="N3" s="314"/>
      <c r="P3" s="312" t="s">
        <v>140</v>
      </c>
      <c r="Q3" s="313"/>
      <c r="R3" s="313"/>
      <c r="S3" s="313"/>
      <c r="T3" s="313"/>
      <c r="U3" s="313"/>
      <c r="V3" s="313"/>
      <c r="W3" s="314"/>
      <c r="Y3" s="312" t="s">
        <v>141</v>
      </c>
      <c r="Z3" s="313"/>
      <c r="AA3" s="313"/>
      <c r="AB3" s="314"/>
    </row>
    <row r="4" spans="1:28" ht="55.2">
      <c r="A4" s="169" t="s">
        <v>2</v>
      </c>
      <c r="B4" s="169" t="s">
        <v>0</v>
      </c>
      <c r="C4" s="169" t="str">
        <f>"All Funds Appropriation "&amp;TEXT(F1-2,"@@@@")&amp;"-"&amp;TEXT(F1-1,"@@@@")</f>
        <v>All Funds Appropriation 2022-2023</v>
      </c>
      <c r="D4" s="169" t="str">
        <f>" All Funds Appropriation "&amp;TEXT(F1,"@@@@")&amp;"-"&amp;TEXT(F1+1,"@@@@")</f>
        <v xml:space="preserve"> All Funds Appropriation 2024-2025</v>
      </c>
      <c r="E4" s="169" t="s">
        <v>139</v>
      </c>
      <c r="F4" s="169" t="s">
        <v>20</v>
      </c>
      <c r="H4" s="169" t="str">
        <f>"All Funds Appropriation -"&amp;TEXT(F1,"@@@@")</f>
        <v>All Funds Appropriation -2024</v>
      </c>
      <c r="I4" s="169" t="s">
        <v>228</v>
      </c>
      <c r="J4" s="169" t="s">
        <v>229</v>
      </c>
      <c r="K4" s="169" t="str">
        <f>"All Funds Appropriation -"&amp;TEXT(F1+1,"@@@@")</f>
        <v>All Funds Appropriation -2025</v>
      </c>
      <c r="L4" s="169" t="s">
        <v>230</v>
      </c>
      <c r="M4" s="169" t="s">
        <v>231</v>
      </c>
      <c r="N4" s="169" t="str">
        <f>"Total All Funds Appropriation "&amp;TEXT(F1,"@@@@")&amp;"-"&amp;TEXT(F1+1,"@@@@")</f>
        <v>Total All Funds Appropriation 2024-2025</v>
      </c>
      <c r="P4" s="169" t="str">
        <f>"General Revenue - "&amp;TEXT(F1,"@@@@")</f>
        <v>General Revenue - 2024</v>
      </c>
      <c r="Q4" s="169" t="str">
        <f>"General Revenue - "&amp;TEXT(F1+1,"@@@@")</f>
        <v>General Revenue - 2025</v>
      </c>
      <c r="R4" s="169" t="str">
        <f>"General Revenue Dedicated - "&amp;TEXT(F1,"@@@@")</f>
        <v>General Revenue Dedicated - 2024</v>
      </c>
      <c r="S4" s="169" t="str">
        <f>"General Revenue Dedicated - "&amp;TEXT(F1+1,"@@@@")</f>
        <v>General Revenue Dedicated - 2025</v>
      </c>
      <c r="T4" s="169" t="str">
        <f>"All Funds Total - "&amp;TEXT(F1,"@@@@")</f>
        <v>All Funds Total - 2024</v>
      </c>
      <c r="U4" s="169" t="str">
        <f>"All Funds Total - "&amp;TEXT(F1+1,"@@@@")</f>
        <v>All Funds Total - 2025</v>
      </c>
      <c r="V4" s="169" t="s">
        <v>19</v>
      </c>
      <c r="W4" s="169" t="s">
        <v>20</v>
      </c>
      <c r="Y4" s="218" t="s">
        <v>144</v>
      </c>
      <c r="Z4" s="218" t="s">
        <v>171</v>
      </c>
      <c r="AA4" s="218" t="s">
        <v>19</v>
      </c>
      <c r="AB4" s="218" t="s">
        <v>20</v>
      </c>
    </row>
    <row r="5" spans="1:28" ht="28.5" customHeight="1">
      <c r="A5" s="312" t="s">
        <v>1</v>
      </c>
      <c r="B5" s="313"/>
      <c r="C5" s="313"/>
      <c r="D5" s="313"/>
      <c r="E5" s="313"/>
      <c r="F5" s="314"/>
      <c r="H5" s="312" t="str">
        <f>A5</f>
        <v>Total</v>
      </c>
      <c r="I5" s="313"/>
      <c r="J5" s="313"/>
      <c r="K5" s="313"/>
      <c r="L5" s="313"/>
      <c r="M5" s="313"/>
      <c r="N5" s="314"/>
      <c r="P5" s="312" t="s">
        <v>52</v>
      </c>
      <c r="Q5" s="313"/>
      <c r="R5" s="313"/>
      <c r="S5" s="313"/>
      <c r="T5" s="313"/>
      <c r="U5" s="313"/>
      <c r="V5" s="313"/>
      <c r="W5" s="314"/>
      <c r="Y5" s="317"/>
      <c r="Z5" s="317"/>
      <c r="AA5" s="317"/>
      <c r="AB5" s="317"/>
    </row>
    <row r="6" spans="1:28">
      <c r="A6" s="219" t="s">
        <v>58</v>
      </c>
      <c r="B6" s="220" t="s">
        <v>55</v>
      </c>
      <c r="C6" s="221">
        <f>C12+C30+C36</f>
        <v>32615756.940000024</v>
      </c>
      <c r="D6" s="221">
        <f>D12+D30+D36</f>
        <v>41279460.285281092</v>
      </c>
      <c r="E6" s="221">
        <f>D6-C6</f>
        <v>8663703.3452810682</v>
      </c>
      <c r="F6" s="222">
        <f>E6/C6</f>
        <v>0.26562938156605792</v>
      </c>
      <c r="G6" s="223"/>
      <c r="H6" s="221">
        <f t="shared" ref="H6:L6" si="0">H12+H30+H36</f>
        <v>20639730.142640546</v>
      </c>
      <c r="I6" s="221">
        <f t="shared" si="0"/>
        <v>20267259.575248335</v>
      </c>
      <c r="J6" s="221">
        <f t="shared" si="0"/>
        <v>372470.5673922103</v>
      </c>
      <c r="K6" s="221">
        <f t="shared" si="0"/>
        <v>20639730.142640546</v>
      </c>
      <c r="L6" s="221">
        <f t="shared" si="0"/>
        <v>20266630.039799888</v>
      </c>
      <c r="M6" s="221">
        <f>M12+M30+M36</f>
        <v>373100.10284065717</v>
      </c>
      <c r="N6" s="221">
        <f>H6+K6</f>
        <v>41279460.285281092</v>
      </c>
      <c r="O6" s="223"/>
      <c r="P6" s="221">
        <f>P12+P30+P36</f>
        <v>20267253.559789754</v>
      </c>
      <c r="Q6" s="221">
        <f t="shared" ref="P6:U8" si="1">Q12+Q30+Q36</f>
        <v>20266624.059789754</v>
      </c>
      <c r="R6" s="221">
        <f t="shared" si="1"/>
        <v>372470.60000000003</v>
      </c>
      <c r="S6" s="221">
        <f t="shared" si="1"/>
        <v>373100.10000000003</v>
      </c>
      <c r="T6" s="221">
        <f>T12+T30+T36</f>
        <v>20639724.159789756</v>
      </c>
      <c r="U6" s="221">
        <f>U12+U30+U36</f>
        <v>20639724.159789756</v>
      </c>
      <c r="V6" s="221">
        <f>N6-SUM(T6:U6)</f>
        <v>11.965701580047607</v>
      </c>
      <c r="W6" s="222">
        <f>V6/N6</f>
        <v>2.8987059175078863E-7</v>
      </c>
    </row>
    <row r="7" spans="1:28">
      <c r="A7" s="219" t="s">
        <v>59</v>
      </c>
      <c r="B7" s="220" t="s">
        <v>56</v>
      </c>
      <c r="C7" s="221">
        <f t="shared" ref="C7:C8" si="2">C13+C31+C37</f>
        <v>19860006.313585591</v>
      </c>
      <c r="D7" s="221">
        <f>D13+D31+D37</f>
        <v>23269387.077170376</v>
      </c>
      <c r="E7" s="221">
        <f t="shared" ref="E7:E8" si="3">D7-C7</f>
        <v>3409380.7635847852</v>
      </c>
      <c r="F7" s="222">
        <f t="shared" ref="F7:F9" si="4">E7/C7</f>
        <v>0.17167067873752576</v>
      </c>
      <c r="G7" s="223"/>
      <c r="H7" s="221">
        <f t="shared" ref="H7:K7" si="5">H13+H31+H37</f>
        <v>11634693.538585188</v>
      </c>
      <c r="I7" s="221">
        <f t="shared" si="5"/>
        <v>11469408.684634376</v>
      </c>
      <c r="J7" s="221">
        <f t="shared" si="5"/>
        <v>165284.85395081202</v>
      </c>
      <c r="K7" s="221">
        <f t="shared" si="5"/>
        <v>11634693.538585188</v>
      </c>
      <c r="L7" s="221">
        <f t="shared" ref="L7:M7" si="6">L13+L31+L37</f>
        <v>11469365.2127437</v>
      </c>
      <c r="M7" s="221">
        <f t="shared" si="6"/>
        <v>165328.32584148803</v>
      </c>
      <c r="N7" s="221">
        <f t="shared" ref="N7:N8" si="7">H7+K7</f>
        <v>23269387.077170376</v>
      </c>
      <c r="O7" s="223"/>
      <c r="P7" s="221">
        <f t="shared" si="1"/>
        <v>11469475.540340202</v>
      </c>
      <c r="Q7" s="221">
        <f t="shared" si="1"/>
        <v>11469432.140340202</v>
      </c>
      <c r="R7" s="221">
        <f t="shared" si="1"/>
        <v>165184.90000000002</v>
      </c>
      <c r="S7" s="221">
        <f t="shared" si="1"/>
        <v>165228.30000000002</v>
      </c>
      <c r="T7" s="221">
        <f t="shared" si="1"/>
        <v>11634660.440340202</v>
      </c>
      <c r="U7" s="221">
        <f t="shared" si="1"/>
        <v>11634660.440340202</v>
      </c>
      <c r="V7" s="221">
        <f t="shared" ref="V7" si="8">N7-SUM(T7:U7)</f>
        <v>66.196489971131086</v>
      </c>
      <c r="W7" s="222">
        <f t="shared" ref="W7:W9" si="9">V7/N7</f>
        <v>2.8447887239830458E-6</v>
      </c>
    </row>
    <row r="8" spans="1:28">
      <c r="A8" s="219" t="s">
        <v>60</v>
      </c>
      <c r="B8" s="220" t="s">
        <v>57</v>
      </c>
      <c r="C8" s="221">
        <f t="shared" si="2"/>
        <v>21420907.541999992</v>
      </c>
      <c r="D8" s="221">
        <f>D14+D32+D38</f>
        <v>25066926.181514632</v>
      </c>
      <c r="E8" s="221">
        <f t="shared" si="3"/>
        <v>3646018.63951464</v>
      </c>
      <c r="F8" s="222">
        <f t="shared" si="4"/>
        <v>0.17020841121534594</v>
      </c>
      <c r="G8" s="223"/>
      <c r="H8" s="221">
        <f t="shared" ref="H8:K8" si="10">H14+H32+H38</f>
        <v>12533463.090757316</v>
      </c>
      <c r="I8" s="221">
        <f t="shared" si="10"/>
        <v>12359994.72253952</v>
      </c>
      <c r="J8" s="221">
        <f t="shared" si="10"/>
        <v>173468.36821779667</v>
      </c>
      <c r="K8" s="221">
        <f t="shared" si="10"/>
        <v>12533463.090757316</v>
      </c>
      <c r="L8" s="221">
        <f t="shared" ref="L8:M8" si="11">L14+L32+L38</f>
        <v>12360236.228891384</v>
      </c>
      <c r="M8" s="221">
        <f t="shared" si="11"/>
        <v>173226.86186593166</v>
      </c>
      <c r="N8" s="221">
        <f t="shared" si="7"/>
        <v>25066926.181514632</v>
      </c>
      <c r="O8" s="223"/>
      <c r="P8" s="221">
        <f t="shared" si="1"/>
        <v>12359885.665498169</v>
      </c>
      <c r="Q8" s="221">
        <f t="shared" si="1"/>
        <v>12360127.06549817</v>
      </c>
      <c r="R8" s="221">
        <f t="shared" si="1"/>
        <v>173468.30000000002</v>
      </c>
      <c r="S8" s="221">
        <f t="shared" si="1"/>
        <v>173226.90000000002</v>
      </c>
      <c r="T8" s="221">
        <f t="shared" si="1"/>
        <v>12533353.965498168</v>
      </c>
      <c r="U8" s="221">
        <f>U14+U32+U38</f>
        <v>12533353.965498168</v>
      </c>
      <c r="V8" s="221">
        <f>N8-SUM(T8:U8)</f>
        <v>218.25051829591393</v>
      </c>
      <c r="W8" s="222">
        <f t="shared" si="9"/>
        <v>8.7067124511205815E-6</v>
      </c>
    </row>
    <row r="9" spans="1:28">
      <c r="A9" s="224"/>
      <c r="B9" s="220" t="s">
        <v>1</v>
      </c>
      <c r="C9" s="221">
        <f>SUM(C6:C8)</f>
        <v>73896670.795585603</v>
      </c>
      <c r="D9" s="221">
        <f t="shared" ref="D9" si="12">SUM(D6:D8)</f>
        <v>89615773.5439661</v>
      </c>
      <c r="E9" s="221">
        <f>SUM(E6:E8)</f>
        <v>15719102.748380493</v>
      </c>
      <c r="F9" s="222">
        <f t="shared" si="4"/>
        <v>0.21271733325934233</v>
      </c>
      <c r="G9" s="223"/>
      <c r="H9" s="221">
        <f>SUM(H6:H8)</f>
        <v>44807886.77198305</v>
      </c>
      <c r="I9" s="221">
        <f t="shared" ref="I9:J9" si="13">SUM(I6:I8)</f>
        <v>44096662.982422233</v>
      </c>
      <c r="J9" s="221">
        <f t="shared" si="13"/>
        <v>711223.78956081893</v>
      </c>
      <c r="K9" s="221">
        <f>SUM(K6:K8)</f>
        <v>44807886.77198305</v>
      </c>
      <c r="L9" s="221">
        <f t="shared" ref="L9:M9" si="14">SUM(L6:L8)</f>
        <v>44096231.481434971</v>
      </c>
      <c r="M9" s="221">
        <f t="shared" si="14"/>
        <v>711655.29054807685</v>
      </c>
      <c r="N9" s="221">
        <f>SUM(N6:N8)</f>
        <v>89615773.5439661</v>
      </c>
      <c r="O9" s="223"/>
      <c r="P9" s="221">
        <f t="shared" ref="P9:U9" si="15">SUM(P6:P8)</f>
        <v>44096614.765628122</v>
      </c>
      <c r="Q9" s="221">
        <f t="shared" si="15"/>
        <v>44096183.265628129</v>
      </c>
      <c r="R9" s="221">
        <f t="shared" si="15"/>
        <v>711123.8</v>
      </c>
      <c r="S9" s="221">
        <f t="shared" si="15"/>
        <v>711555.3</v>
      </c>
      <c r="T9" s="221">
        <f t="shared" si="15"/>
        <v>44807738.565628126</v>
      </c>
      <c r="U9" s="221">
        <f t="shared" si="15"/>
        <v>44807738.565628126</v>
      </c>
      <c r="V9" s="221">
        <f>SUM(V6:V8)</f>
        <v>296.41270984709263</v>
      </c>
      <c r="W9" s="222">
        <f t="shared" si="9"/>
        <v>3.3075952828959355E-6</v>
      </c>
    </row>
    <row r="11" spans="1:28">
      <c r="A11" s="312" t="s">
        <v>285</v>
      </c>
      <c r="B11" s="313"/>
      <c r="C11" s="313"/>
      <c r="D11" s="313"/>
      <c r="E11" s="313"/>
      <c r="F11" s="314"/>
      <c r="H11" s="312" t="s">
        <v>282</v>
      </c>
      <c r="I11" s="313"/>
      <c r="J11" s="313"/>
      <c r="K11" s="313"/>
      <c r="L11" s="313"/>
      <c r="M11" s="313"/>
      <c r="N11" s="314"/>
      <c r="P11" s="312" t="s">
        <v>282</v>
      </c>
      <c r="Q11" s="313"/>
      <c r="R11" s="313"/>
      <c r="S11" s="313"/>
      <c r="T11" s="313"/>
      <c r="U11" s="313"/>
      <c r="V11" s="313"/>
      <c r="W11" s="314"/>
    </row>
    <row r="12" spans="1:28">
      <c r="A12" s="219" t="s">
        <v>58</v>
      </c>
      <c r="B12" s="220" t="s">
        <v>55</v>
      </c>
      <c r="C12" s="221">
        <f>C18+C24</f>
        <v>26905256.94000002</v>
      </c>
      <c r="D12" s="221">
        <f>N12</f>
        <v>34946884.285281092</v>
      </c>
      <c r="E12" s="221">
        <f t="shared" ref="E12:E14" si="16">D12-C12</f>
        <v>8041627.345281072</v>
      </c>
      <c r="F12" s="222">
        <f t="shared" ref="F12:F15" si="17">E12/C12</f>
        <v>0.29888684442651026</v>
      </c>
      <c r="G12" s="223"/>
      <c r="H12" s="221">
        <f t="shared" ref="H12:M12" si="18">H18+H24</f>
        <v>17473442.142640546</v>
      </c>
      <c r="I12" s="221">
        <f t="shared" si="18"/>
        <v>17473442.142640546</v>
      </c>
      <c r="J12" s="221">
        <f>J18+J24</f>
        <v>0</v>
      </c>
      <c r="K12" s="221">
        <f>K18+K24</f>
        <v>17473442.142640546</v>
      </c>
      <c r="L12" s="221">
        <f t="shared" si="18"/>
        <v>17473442.142640546</v>
      </c>
      <c r="M12" s="221">
        <f t="shared" si="18"/>
        <v>0</v>
      </c>
      <c r="N12" s="221">
        <f>H12+K12</f>
        <v>34946884.285281092</v>
      </c>
      <c r="O12" s="223"/>
      <c r="P12" s="221">
        <f>P18+P24</f>
        <v>17473442.117797352</v>
      </c>
      <c r="Q12" s="221">
        <f>Q18+Q24</f>
        <v>17473442.117797352</v>
      </c>
      <c r="R12" s="221">
        <f>R18+R24</f>
        <v>0</v>
      </c>
      <c r="S12" s="221">
        <f>S18+S24</f>
        <v>0</v>
      </c>
      <c r="T12" s="221">
        <f t="shared" ref="P12:U14" si="19">T18+T24</f>
        <v>17473442.117797352</v>
      </c>
      <c r="U12" s="221">
        <f>U18+U24</f>
        <v>17473442.117797352</v>
      </c>
      <c r="V12" s="221">
        <f>N12-SUM(T12:U12)</f>
        <v>4.9686387181282043E-2</v>
      </c>
      <c r="W12" s="222">
        <f t="shared" ref="W12:W15" si="20">V12/N12</f>
        <v>1.421768726953691E-9</v>
      </c>
    </row>
    <row r="13" spans="1:28">
      <c r="A13" s="219" t="s">
        <v>59</v>
      </c>
      <c r="B13" s="220" t="s">
        <v>56</v>
      </c>
      <c r="C13" s="221">
        <f t="shared" ref="C13:C14" si="21">C19+C25</f>
        <v>15324298.517999999</v>
      </c>
      <c r="D13" s="221">
        <f>N13</f>
        <v>18491557.077170376</v>
      </c>
      <c r="E13" s="221">
        <f t="shared" si="16"/>
        <v>3167258.5591703765</v>
      </c>
      <c r="F13" s="222">
        <f t="shared" si="17"/>
        <v>0.20668212352102763</v>
      </c>
      <c r="G13" s="223"/>
      <c r="H13" s="221">
        <f t="shared" ref="H13:M13" si="22">H19+H25</f>
        <v>9245778.5385851879</v>
      </c>
      <c r="I13" s="221">
        <f t="shared" si="22"/>
        <v>9245778.5385851879</v>
      </c>
      <c r="J13" s="221">
        <f t="shared" si="22"/>
        <v>0</v>
      </c>
      <c r="K13" s="221">
        <f t="shared" si="22"/>
        <v>9245778.5385851879</v>
      </c>
      <c r="L13" s="221">
        <f t="shared" si="22"/>
        <v>9245778.5385851879</v>
      </c>
      <c r="M13" s="221">
        <f t="shared" si="22"/>
        <v>0</v>
      </c>
      <c r="N13" s="221">
        <f>H13+K13</f>
        <v>18491557.077170376</v>
      </c>
      <c r="O13" s="223"/>
      <c r="P13" s="221">
        <f>P19+P25</f>
        <v>9245778.5254398286</v>
      </c>
      <c r="Q13" s="221">
        <f t="shared" si="19"/>
        <v>9245778.5254398286</v>
      </c>
      <c r="R13" s="221">
        <f t="shared" ref="R13" si="23">R19+R25</f>
        <v>0</v>
      </c>
      <c r="S13" s="221">
        <f t="shared" ref="S13" si="24">S19+S25</f>
        <v>0</v>
      </c>
      <c r="T13" s="221">
        <f t="shared" si="19"/>
        <v>9245778.5254398286</v>
      </c>
      <c r="U13" s="221">
        <f t="shared" si="19"/>
        <v>9245778.5254398286</v>
      </c>
      <c r="V13" s="221">
        <f t="shared" ref="V13:V14" si="25">N13-SUM(T13:U13)</f>
        <v>2.6290718466043472E-2</v>
      </c>
      <c r="W13" s="222">
        <f t="shared" si="20"/>
        <v>1.4217687756809793E-9</v>
      </c>
    </row>
    <row r="14" spans="1:28">
      <c r="A14" s="219" t="s">
        <v>60</v>
      </c>
      <c r="B14" s="220" t="s">
        <v>57</v>
      </c>
      <c r="C14" s="221">
        <f t="shared" si="21"/>
        <v>16260133.541999999</v>
      </c>
      <c r="D14" s="221">
        <f t="shared" ref="D14" si="26">N14</f>
        <v>19686044.181514632</v>
      </c>
      <c r="E14" s="221">
        <f t="shared" si="16"/>
        <v>3425910.6395146325</v>
      </c>
      <c r="F14" s="222">
        <f t="shared" si="17"/>
        <v>0.21069388087530092</v>
      </c>
      <c r="G14" s="223"/>
      <c r="H14" s="221">
        <f t="shared" ref="H14:M14" si="27">H20+H26</f>
        <v>9843022.090757316</v>
      </c>
      <c r="I14" s="221">
        <f t="shared" si="27"/>
        <v>9843022.090757316</v>
      </c>
      <c r="J14" s="221">
        <f t="shared" si="27"/>
        <v>0</v>
      </c>
      <c r="K14" s="221">
        <f>K20+K26</f>
        <v>9843022.090757316</v>
      </c>
      <c r="L14" s="221">
        <f t="shared" si="27"/>
        <v>9843022.090757316</v>
      </c>
      <c r="M14" s="221">
        <f t="shared" si="27"/>
        <v>0</v>
      </c>
      <c r="N14" s="221">
        <f t="shared" ref="N14" si="28">H14+K14</f>
        <v>19686044.181514632</v>
      </c>
      <c r="O14" s="223"/>
      <c r="P14" s="221">
        <f t="shared" si="19"/>
        <v>9843022.0767628159</v>
      </c>
      <c r="Q14" s="221">
        <f t="shared" si="19"/>
        <v>9843022.0767628159</v>
      </c>
      <c r="R14" s="221">
        <f t="shared" ref="R14" si="29">R20+R26</f>
        <v>0</v>
      </c>
      <c r="S14" s="221">
        <f t="shared" ref="S14" si="30">S20+S26</f>
        <v>0</v>
      </c>
      <c r="T14" s="221">
        <f t="shared" si="19"/>
        <v>9843022.0767628159</v>
      </c>
      <c r="U14" s="221">
        <f t="shared" si="19"/>
        <v>9843022.0767628159</v>
      </c>
      <c r="V14" s="221">
        <f t="shared" si="25"/>
        <v>2.7989000082015991E-2</v>
      </c>
      <c r="W14" s="222">
        <f t="shared" si="20"/>
        <v>1.4217686308099372E-9</v>
      </c>
    </row>
    <row r="15" spans="1:28">
      <c r="A15" s="224"/>
      <c r="B15" s="220" t="s">
        <v>1</v>
      </c>
      <c r="C15" s="221">
        <f>SUM(C12:C14)</f>
        <v>58489689.000000015</v>
      </c>
      <c r="D15" s="221">
        <f>SUM(D12:D14)</f>
        <v>73124485.5439661</v>
      </c>
      <c r="E15" s="221">
        <f>SUM(E12:E14)</f>
        <v>14634796.543966081</v>
      </c>
      <c r="F15" s="222">
        <f t="shared" si="17"/>
        <v>0.25021156368203767</v>
      </c>
      <c r="G15" s="223"/>
      <c r="H15" s="221">
        <f>SUM(H12:H14)</f>
        <v>36562242.77198305</v>
      </c>
      <c r="I15" s="221">
        <f>SUM(I12:I14)</f>
        <v>36562242.77198305</v>
      </c>
      <c r="J15" s="221">
        <f>SUM(J12:J14)</f>
        <v>0</v>
      </c>
      <c r="K15" s="221">
        <f>SUM(K12:K14)</f>
        <v>36562242.77198305</v>
      </c>
      <c r="L15" s="221">
        <f t="shared" ref="L15:M15" si="31">SUM(L12:L14)</f>
        <v>36562242.77198305</v>
      </c>
      <c r="M15" s="221">
        <f t="shared" si="31"/>
        <v>0</v>
      </c>
      <c r="N15" s="221">
        <f>SUM(N12:N14)</f>
        <v>73124485.5439661</v>
      </c>
      <c r="O15" s="223"/>
      <c r="P15" s="221">
        <f t="shared" ref="P15:U15" si="32">SUM(P12:P14)</f>
        <v>36562242.719999999</v>
      </c>
      <c r="Q15" s="221">
        <f t="shared" si="32"/>
        <v>36562242.719999999</v>
      </c>
      <c r="R15" s="221">
        <f t="shared" si="32"/>
        <v>0</v>
      </c>
      <c r="S15" s="221">
        <f t="shared" si="32"/>
        <v>0</v>
      </c>
      <c r="T15" s="221">
        <f t="shared" si="32"/>
        <v>36562242.719999999</v>
      </c>
      <c r="U15" s="221">
        <f t="shared" si="32"/>
        <v>36562242.719999999</v>
      </c>
      <c r="V15" s="221">
        <f>SUM(V12:V14)</f>
        <v>0.10396610572934151</v>
      </c>
      <c r="W15" s="222">
        <f t="shared" si="20"/>
        <v>1.4217687133926143E-9</v>
      </c>
    </row>
    <row r="16" spans="1:28" hidden="1" outlineLevel="1"/>
    <row r="17" spans="1:28" hidden="1" outlineLevel="2">
      <c r="A17" s="312" t="s">
        <v>150</v>
      </c>
      <c r="B17" s="313"/>
      <c r="C17" s="313"/>
      <c r="D17" s="313"/>
      <c r="E17" s="313"/>
      <c r="F17" s="314"/>
      <c r="H17" s="312" t="str">
        <f>A17</f>
        <v xml:space="preserve">Academic Education (GRD Excluded from Formula Funding Amounts) </v>
      </c>
      <c r="I17" s="313"/>
      <c r="J17" s="313"/>
      <c r="K17" s="313"/>
      <c r="L17" s="313"/>
      <c r="M17" s="313"/>
      <c r="N17" s="314"/>
      <c r="P17" s="312" t="s">
        <v>150</v>
      </c>
      <c r="Q17" s="313"/>
      <c r="R17" s="313"/>
      <c r="S17" s="313"/>
      <c r="T17" s="313"/>
      <c r="U17" s="313"/>
      <c r="V17" s="313"/>
      <c r="W17" s="314"/>
      <c r="Y17" s="312" t="s">
        <v>148</v>
      </c>
      <c r="Z17" s="313"/>
      <c r="AA17" s="313"/>
      <c r="AB17" s="314"/>
    </row>
    <row r="18" spans="1:28" hidden="1" outlineLevel="2">
      <c r="A18" s="219" t="s">
        <v>58</v>
      </c>
      <c r="B18" s="220" t="s">
        <v>55</v>
      </c>
      <c r="C18" s="225">
        <v>10323473.652407739</v>
      </c>
      <c r="D18" s="221">
        <f>N18</f>
        <v>11705268.69820988</v>
      </c>
      <c r="E18" s="221">
        <f>D18-C18</f>
        <v>1381795.0458021406</v>
      </c>
      <c r="F18" s="222">
        <f>E18/C18</f>
        <v>0.13384981570421939</v>
      </c>
      <c r="G18" s="223"/>
      <c r="H18" s="226">
        <f>SUM(I18:J18)</f>
        <v>5852634.34910494</v>
      </c>
      <c r="I18" s="225">
        <v>5852634.34910494</v>
      </c>
      <c r="J18" s="227">
        <v>0</v>
      </c>
      <c r="K18" s="226">
        <f>SUM(L18:M18)</f>
        <v>5852634.34910494</v>
      </c>
      <c r="L18" s="225">
        <v>5852634.34910494</v>
      </c>
      <c r="M18" s="227">
        <v>0</v>
      </c>
      <c r="N18" s="221">
        <f>H18+K18</f>
        <v>11705268.69820988</v>
      </c>
      <c r="O18" s="223"/>
      <c r="P18" s="221">
        <f>SUMIF(Hours!A:A,'Allocation Summary'!A18,Hours!R:R)/2</f>
        <v>5225891.2927292995</v>
      </c>
      <c r="Q18" s="221">
        <f>P18</f>
        <v>5225891.2927292995</v>
      </c>
      <c r="R18" s="221">
        <v>0</v>
      </c>
      <c r="S18" s="221">
        <v>0</v>
      </c>
      <c r="T18" s="221">
        <f>P18+R18</f>
        <v>5225891.2927292995</v>
      </c>
      <c r="U18" s="221">
        <f>Q18+S18</f>
        <v>5225891.2927292995</v>
      </c>
      <c r="V18" s="221">
        <f>N18-SUM(T18:U18)</f>
        <v>1253486.1127512809</v>
      </c>
      <c r="W18" s="222">
        <f t="shared" ref="W18:W21" si="33">V18/N18</f>
        <v>0.10708734203965604</v>
      </c>
      <c r="Y18" s="228">
        <f>Comparison!AC5</f>
        <v>721296</v>
      </c>
      <c r="Z18" s="228">
        <f>Comparison!AD5</f>
        <v>723568</v>
      </c>
      <c r="AA18" s="228">
        <f>Z18-Y18</f>
        <v>2272</v>
      </c>
      <c r="AB18" s="222">
        <f>AA18/Y18</f>
        <v>3.1498857611854218E-3</v>
      </c>
    </row>
    <row r="19" spans="1:28" hidden="1" outlineLevel="2">
      <c r="A19" s="219" t="s">
        <v>59</v>
      </c>
      <c r="B19" s="220" t="s">
        <v>56</v>
      </c>
      <c r="C19" s="225">
        <v>8441611.7210443206</v>
      </c>
      <c r="D19" s="221">
        <f t="shared" ref="D19:D20" si="34">N19</f>
        <v>8534909.2437959313</v>
      </c>
      <c r="E19" s="221">
        <f>D19-C19</f>
        <v>93297.522751610726</v>
      </c>
      <c r="F19" s="222">
        <f>E19/C19</f>
        <v>1.105209832371546E-2</v>
      </c>
      <c r="G19" s="223"/>
      <c r="H19" s="226">
        <f t="shared" ref="H19:H20" si="35">SUM(I19:J19)</f>
        <v>4267454.6218979657</v>
      </c>
      <c r="I19" s="225">
        <v>4267454.6218979657</v>
      </c>
      <c r="J19" s="227">
        <v>0</v>
      </c>
      <c r="K19" s="226">
        <f t="shared" ref="K19:K20" si="36">SUM(L19:M19)</f>
        <v>4267454.6218979657</v>
      </c>
      <c r="L19" s="225">
        <v>4267454.6218979657</v>
      </c>
      <c r="M19" s="227">
        <v>0</v>
      </c>
      <c r="N19" s="221">
        <f t="shared" ref="N19:N20" si="37">H19+K19</f>
        <v>8534909.2437959313</v>
      </c>
      <c r="O19" s="223"/>
      <c r="P19" s="221">
        <f>SUMIF(Hours!A:A,'Allocation Summary'!A19,Hours!R:R)/2</f>
        <v>3650913.5599341877</v>
      </c>
      <c r="Q19" s="221">
        <f t="shared" ref="Q19:Q20" si="38">P19</f>
        <v>3650913.5599341877</v>
      </c>
      <c r="R19" s="221">
        <v>0</v>
      </c>
      <c r="S19" s="221">
        <v>0</v>
      </c>
      <c r="T19" s="221">
        <f t="shared" ref="T19" si="39">P19+R19</f>
        <v>3650913.5599341877</v>
      </c>
      <c r="U19" s="221">
        <f t="shared" ref="U19:U20" si="40">Q19+S19</f>
        <v>3650913.5599341877</v>
      </c>
      <c r="V19" s="221">
        <f t="shared" ref="V19:V20" si="41">N19-SUM(T19:U19)</f>
        <v>1233082.123927556</v>
      </c>
      <c r="W19" s="222">
        <f t="shared" si="33"/>
        <v>0.14447513016308752</v>
      </c>
      <c r="Y19" s="228">
        <f>Comparison!AC6</f>
        <v>572384</v>
      </c>
      <c r="Z19" s="228">
        <f>Comparison!AD6</f>
        <v>510832</v>
      </c>
      <c r="AA19" s="228">
        <f t="shared" ref="AA19:AA20" si="42">Z19-Y19</f>
        <v>-61552</v>
      </c>
      <c r="AB19" s="222">
        <f t="shared" ref="AB19:AB21" si="43">AA19/Y19</f>
        <v>-0.10753619947447868</v>
      </c>
    </row>
    <row r="20" spans="1:28" hidden="1" outlineLevel="2">
      <c r="A20" s="219" t="s">
        <v>60</v>
      </c>
      <c r="B20" s="220" t="s">
        <v>57</v>
      </c>
      <c r="C20" s="225">
        <v>8516001.5590392407</v>
      </c>
      <c r="D20" s="221">
        <f t="shared" si="34"/>
        <v>8877192.6760082021</v>
      </c>
      <c r="E20" s="221">
        <f>D20-C20</f>
        <v>361191.11696896143</v>
      </c>
      <c r="F20" s="222">
        <f>E20/C20</f>
        <v>4.2413228140567687E-2</v>
      </c>
      <c r="G20" s="223"/>
      <c r="H20" s="226">
        <f t="shared" si="35"/>
        <v>4438596.3380041011</v>
      </c>
      <c r="I20" s="225">
        <v>4438596.3380041011</v>
      </c>
      <c r="J20" s="227">
        <v>0</v>
      </c>
      <c r="K20" s="226">
        <f t="shared" si="36"/>
        <v>4438596.3380041011</v>
      </c>
      <c r="L20" s="225">
        <v>4438596.3380041011</v>
      </c>
      <c r="M20" s="227">
        <v>0</v>
      </c>
      <c r="N20" s="221">
        <f t="shared" si="37"/>
        <v>8877192.6760082021</v>
      </c>
      <c r="O20" s="223"/>
      <c r="P20" s="221">
        <f>SUMIF(Hours!A:A,'Allocation Summary'!A20,Hours!R:R)/2</f>
        <v>3929506.0274715852</v>
      </c>
      <c r="Q20" s="221">
        <f t="shared" si="38"/>
        <v>3929506.0274715852</v>
      </c>
      <c r="R20" s="221">
        <v>0</v>
      </c>
      <c r="S20" s="221">
        <v>0</v>
      </c>
      <c r="T20" s="221">
        <f>P20+R20</f>
        <v>3929506.0274715852</v>
      </c>
      <c r="U20" s="221">
        <f t="shared" si="40"/>
        <v>3929506.0274715852</v>
      </c>
      <c r="V20" s="221">
        <f t="shared" si="41"/>
        <v>1018180.6210650317</v>
      </c>
      <c r="W20" s="222">
        <f t="shared" si="33"/>
        <v>0.114696239929184</v>
      </c>
      <c r="Y20" s="228">
        <f>Comparison!AC7</f>
        <v>597280</v>
      </c>
      <c r="Z20" s="228">
        <f>Comparison!AD7</f>
        <v>547280</v>
      </c>
      <c r="AA20" s="228">
        <f t="shared" si="42"/>
        <v>-50000</v>
      </c>
      <c r="AB20" s="222">
        <f t="shared" si="43"/>
        <v>-8.3712831502812751E-2</v>
      </c>
    </row>
    <row r="21" spans="1:28" hidden="1" outlineLevel="2">
      <c r="A21" s="224"/>
      <c r="B21" s="220" t="s">
        <v>1</v>
      </c>
      <c r="C21" s="221">
        <f>SUM(C18:C20)</f>
        <v>27281086.932491302</v>
      </c>
      <c r="D21" s="221">
        <f>SUM(D18:D20)</f>
        <v>29117370.618014015</v>
      </c>
      <c r="E21" s="221">
        <f>SUM(E18:E20)</f>
        <v>1836283.6855227128</v>
      </c>
      <c r="F21" s="222">
        <f>E21/C21</f>
        <v>6.7309769954060392E-2</v>
      </c>
      <c r="G21" s="223"/>
      <c r="H21" s="221">
        <f>SUM(H18:H20)</f>
        <v>14558685.309007008</v>
      </c>
      <c r="I21" s="221">
        <f t="shared" ref="I21:J21" si="44">SUM(I18:I20)</f>
        <v>14558685.309007008</v>
      </c>
      <c r="J21" s="221">
        <f t="shared" si="44"/>
        <v>0</v>
      </c>
      <c r="K21" s="221">
        <f>SUM(K18:K20)</f>
        <v>14558685.309007008</v>
      </c>
      <c r="L21" s="221">
        <f t="shared" ref="L21:M21" si="45">SUM(L18:L20)</f>
        <v>14558685.309007008</v>
      </c>
      <c r="M21" s="221">
        <f t="shared" si="45"/>
        <v>0</v>
      </c>
      <c r="N21" s="221">
        <f>SUM(N18:N20)</f>
        <v>29117370.618014015</v>
      </c>
      <c r="O21" s="223"/>
      <c r="P21" s="221">
        <f t="shared" ref="P21:U21" si="46">SUM(P18:P20)</f>
        <v>12806310.880135072</v>
      </c>
      <c r="Q21" s="221">
        <f t="shared" si="46"/>
        <v>12806310.880135072</v>
      </c>
      <c r="R21" s="221">
        <f t="shared" si="46"/>
        <v>0</v>
      </c>
      <c r="S21" s="221">
        <f t="shared" si="46"/>
        <v>0</v>
      </c>
      <c r="T21" s="221">
        <f>SUM(T18:T20)</f>
        <v>12806310.880135072</v>
      </c>
      <c r="U21" s="221">
        <f t="shared" si="46"/>
        <v>12806310.880135072</v>
      </c>
      <c r="V21" s="221">
        <f>SUM(V18:V20)</f>
        <v>3504748.8577438686</v>
      </c>
      <c r="W21" s="222">
        <f t="shared" si="33"/>
        <v>0.12036625503456652</v>
      </c>
      <c r="Y21" s="228">
        <f>SUM(Y18:Y20)</f>
        <v>1890960</v>
      </c>
      <c r="Z21" s="228">
        <f>SUM(Z18:Z20)</f>
        <v>1781680</v>
      </c>
      <c r="AA21" s="228">
        <f>SUM(AA18:AA20)</f>
        <v>-109280</v>
      </c>
      <c r="AB21" s="222">
        <f t="shared" si="43"/>
        <v>-5.7790751787451876E-2</v>
      </c>
    </row>
    <row r="22" spans="1:28" hidden="1" outlineLevel="2"/>
    <row r="23" spans="1:28" hidden="1" outlineLevel="2">
      <c r="A23" s="312" t="s">
        <v>3</v>
      </c>
      <c r="B23" s="313"/>
      <c r="C23" s="313"/>
      <c r="D23" s="313"/>
      <c r="E23" s="313"/>
      <c r="F23" s="314"/>
      <c r="H23" s="312" t="str">
        <f>A23</f>
        <v>Vocational/Technical Education</v>
      </c>
      <c r="I23" s="313"/>
      <c r="J23" s="313"/>
      <c r="K23" s="313"/>
      <c r="L23" s="313"/>
      <c r="M23" s="313"/>
      <c r="N23" s="314"/>
      <c r="P23" s="312" t="s">
        <v>3</v>
      </c>
      <c r="Q23" s="313"/>
      <c r="R23" s="313"/>
      <c r="S23" s="313"/>
      <c r="T23" s="313"/>
      <c r="U23" s="313"/>
      <c r="V23" s="313"/>
      <c r="W23" s="314"/>
      <c r="Y23" s="312" t="s">
        <v>149</v>
      </c>
      <c r="Z23" s="313"/>
      <c r="AA23" s="313"/>
      <c r="AB23" s="314"/>
    </row>
    <row r="24" spans="1:28" hidden="1" outlineLevel="2">
      <c r="A24" s="219" t="s">
        <v>58</v>
      </c>
      <c r="B24" s="220" t="s">
        <v>55</v>
      </c>
      <c r="C24" s="225">
        <v>16581783.287592281</v>
      </c>
      <c r="D24" s="221">
        <f>N24</f>
        <v>23241615.587071214</v>
      </c>
      <c r="E24" s="221">
        <f>D24-C24</f>
        <v>6659832.2994789332</v>
      </c>
      <c r="F24" s="222">
        <f>E24/C24</f>
        <v>0.4016354685121421</v>
      </c>
      <c r="G24" s="223"/>
      <c r="H24" s="226">
        <f>SUM(I24:J24)</f>
        <v>11620807.793535607</v>
      </c>
      <c r="I24" s="225">
        <v>11620807.793535607</v>
      </c>
      <c r="J24" s="227">
        <v>0</v>
      </c>
      <c r="K24" s="226">
        <f>SUM(L24:M24)</f>
        <v>11620807.793535607</v>
      </c>
      <c r="L24" s="225">
        <v>11620807.793535607</v>
      </c>
      <c r="M24" s="227">
        <v>0</v>
      </c>
      <c r="N24" s="221">
        <f>H24+K24</f>
        <v>23241615.587071214</v>
      </c>
      <c r="O24" s="223"/>
      <c r="P24" s="221">
        <f>SUMIF(Hours!A:A,'Allocation Summary'!A24,Hours!S:S)/2</f>
        <v>12247550.825068053</v>
      </c>
      <c r="Q24" s="221">
        <f>P24</f>
        <v>12247550.825068053</v>
      </c>
      <c r="R24" s="221">
        <v>0</v>
      </c>
      <c r="S24" s="221">
        <v>0</v>
      </c>
      <c r="T24" s="221">
        <f>P24+R24</f>
        <v>12247550.825068053</v>
      </c>
      <c r="U24" s="221">
        <f t="shared" ref="U24:U26" si="47">Q24+S24</f>
        <v>12247550.825068053</v>
      </c>
      <c r="V24" s="221">
        <f>N24-SUM(T24:U24)</f>
        <v>-1253486.0630648918</v>
      </c>
      <c r="W24" s="222">
        <f t="shared" ref="W24:W27" si="48">V24/N24</f>
        <v>-5.3932828308294448E-2</v>
      </c>
      <c r="Y24" s="229">
        <f>Comparison!AG5</f>
        <v>1158561</v>
      </c>
      <c r="Z24" s="229">
        <f>Comparison!AH5</f>
        <v>1436694</v>
      </c>
      <c r="AA24" s="228">
        <f t="shared" ref="AA24:AA26" si="49">Z24-Y24</f>
        <v>278133</v>
      </c>
      <c r="AB24" s="222">
        <f t="shared" ref="AB24:AB26" si="50">AA24/Y24</f>
        <v>0.24006763562729974</v>
      </c>
    </row>
    <row r="25" spans="1:28" hidden="1" outlineLevel="2">
      <c r="A25" s="219" t="s">
        <v>59</v>
      </c>
      <c r="B25" s="220" t="s">
        <v>56</v>
      </c>
      <c r="C25" s="225">
        <v>6882686.7969556795</v>
      </c>
      <c r="D25" s="221">
        <f t="shared" ref="D25:D26" si="51">N25</f>
        <v>9956647.8333744444</v>
      </c>
      <c r="E25" s="221">
        <f>D25-C25</f>
        <v>3073961.0364187649</v>
      </c>
      <c r="F25" s="222">
        <f>E25/C25</f>
        <v>0.44662224609413087</v>
      </c>
      <c r="G25" s="223"/>
      <c r="H25" s="226">
        <f t="shared" ref="H25:H26" si="52">SUM(I25:J25)</f>
        <v>4978323.9166872222</v>
      </c>
      <c r="I25" s="225">
        <v>4978323.9166872222</v>
      </c>
      <c r="J25" s="227">
        <v>0</v>
      </c>
      <c r="K25" s="226">
        <f t="shared" ref="K25:K26" si="53">SUM(L25:M25)</f>
        <v>4978323.9166872222</v>
      </c>
      <c r="L25" s="225">
        <v>4978323.9166872222</v>
      </c>
      <c r="M25" s="227">
        <v>0</v>
      </c>
      <c r="N25" s="221">
        <f t="shared" ref="N25:N26" si="54">H25+K25</f>
        <v>9956647.8333744444</v>
      </c>
      <c r="O25" s="223"/>
      <c r="P25" s="221">
        <f>SUMIF(Hours!A:A,'Allocation Summary'!A25,Hours!S:S)/2</f>
        <v>5594864.965505641</v>
      </c>
      <c r="Q25" s="221">
        <f t="shared" ref="Q25:Q26" si="55">P25</f>
        <v>5594864.965505641</v>
      </c>
      <c r="R25" s="221">
        <v>0</v>
      </c>
      <c r="S25" s="221">
        <v>0</v>
      </c>
      <c r="T25" s="221">
        <f t="shared" ref="T25:T26" si="56">P25+R25</f>
        <v>5594864.965505641</v>
      </c>
      <c r="U25" s="221">
        <f t="shared" si="47"/>
        <v>5594864.965505641</v>
      </c>
      <c r="V25" s="221">
        <f>N25-SUM(T25:U25)</f>
        <v>-1233082.0976368375</v>
      </c>
      <c r="W25" s="222">
        <f t="shared" si="48"/>
        <v>-0.12384510512700629</v>
      </c>
      <c r="Y25" s="229">
        <f>Comparison!AG6</f>
        <v>466681</v>
      </c>
      <c r="Z25" s="229">
        <f>Comparison!AH6</f>
        <v>595926</v>
      </c>
      <c r="AA25" s="228">
        <f t="shared" si="49"/>
        <v>129245</v>
      </c>
      <c r="AB25" s="222">
        <f t="shared" si="50"/>
        <v>0.27694506525870993</v>
      </c>
    </row>
    <row r="26" spans="1:28" hidden="1" outlineLevel="2">
      <c r="A26" s="219" t="s">
        <v>60</v>
      </c>
      <c r="B26" s="220" t="s">
        <v>57</v>
      </c>
      <c r="C26" s="225">
        <v>7744131.9829607597</v>
      </c>
      <c r="D26" s="221">
        <f t="shared" si="51"/>
        <v>10808851.50550643</v>
      </c>
      <c r="E26" s="221">
        <f>D26-C26</f>
        <v>3064719.5225456702</v>
      </c>
      <c r="F26" s="222">
        <f>E26/C26</f>
        <v>0.39574732575437815</v>
      </c>
      <c r="G26" s="223"/>
      <c r="H26" s="226">
        <f t="shared" si="52"/>
        <v>5404425.7527532149</v>
      </c>
      <c r="I26" s="225">
        <v>5404425.7527532149</v>
      </c>
      <c r="J26" s="227">
        <v>0</v>
      </c>
      <c r="K26" s="226">
        <f t="shared" si="53"/>
        <v>5404425.7527532149</v>
      </c>
      <c r="L26" s="225">
        <v>5404425.7527532149</v>
      </c>
      <c r="M26" s="227">
        <v>0</v>
      </c>
      <c r="N26" s="221">
        <f t="shared" si="54"/>
        <v>10808851.50550643</v>
      </c>
      <c r="O26" s="223"/>
      <c r="P26" s="221">
        <f>SUMIF(Hours!A:A,'Allocation Summary'!A26,Hours!S:S)/2</f>
        <v>5913516.0492912307</v>
      </c>
      <c r="Q26" s="221">
        <f t="shared" si="55"/>
        <v>5913516.0492912307</v>
      </c>
      <c r="R26" s="221">
        <v>0</v>
      </c>
      <c r="S26" s="221">
        <v>0</v>
      </c>
      <c r="T26" s="221">
        <f t="shared" si="56"/>
        <v>5913516.0492912307</v>
      </c>
      <c r="U26" s="221">
        <f t="shared" si="47"/>
        <v>5913516.0492912307</v>
      </c>
      <c r="V26" s="221">
        <f t="shared" ref="V26" si="57">N26-SUM(T26:U26)</f>
        <v>-1018180.5930760317</v>
      </c>
      <c r="W26" s="222">
        <f t="shared" si="48"/>
        <v>-9.419877704465944E-2</v>
      </c>
      <c r="Y26" s="229">
        <f>Comparison!AG7</f>
        <v>543144</v>
      </c>
      <c r="Z26" s="229">
        <f>Comparison!AH7</f>
        <v>666367</v>
      </c>
      <c r="AA26" s="228">
        <f t="shared" si="49"/>
        <v>123223</v>
      </c>
      <c r="AB26" s="222">
        <f t="shared" si="50"/>
        <v>0.22686985403502571</v>
      </c>
    </row>
    <row r="27" spans="1:28" hidden="1" outlineLevel="2">
      <c r="A27" s="224"/>
      <c r="B27" s="220" t="s">
        <v>1</v>
      </c>
      <c r="C27" s="221">
        <f>SUM(C24:C26)</f>
        <v>31208602.06750872</v>
      </c>
      <c r="D27" s="221">
        <f>SUM(D24:D26)</f>
        <v>44007114.925952092</v>
      </c>
      <c r="E27" s="221">
        <f>SUM(E24:E26)</f>
        <v>12798512.858443368</v>
      </c>
      <c r="F27" s="222">
        <f>E27/C27</f>
        <v>0.41009567909380668</v>
      </c>
      <c r="G27" s="223"/>
      <c r="H27" s="221">
        <f>SUM(H24:H26)</f>
        <v>22003557.462976046</v>
      </c>
      <c r="I27" s="221">
        <f t="shared" ref="I27:J27" si="58">SUM(I24:I26)</f>
        <v>22003557.462976046</v>
      </c>
      <c r="J27" s="221">
        <f t="shared" si="58"/>
        <v>0</v>
      </c>
      <c r="K27" s="221">
        <f>SUM(K24:K26)</f>
        <v>22003557.462976046</v>
      </c>
      <c r="L27" s="221">
        <f t="shared" ref="L27:M27" si="59">SUM(L24:L26)</f>
        <v>22003557.462976046</v>
      </c>
      <c r="M27" s="221">
        <f t="shared" si="59"/>
        <v>0</v>
      </c>
      <c r="N27" s="221">
        <f>SUM(N24:N26)</f>
        <v>44007114.925952092</v>
      </c>
      <c r="O27" s="223"/>
      <c r="P27" s="221">
        <f>SUM(P24:P26)</f>
        <v>23755931.839864925</v>
      </c>
      <c r="Q27" s="221">
        <f t="shared" ref="Q27:U27" si="60">SUM(Q24:Q26)</f>
        <v>23755931.839864925</v>
      </c>
      <c r="R27" s="221">
        <f t="shared" si="60"/>
        <v>0</v>
      </c>
      <c r="S27" s="221">
        <f t="shared" si="60"/>
        <v>0</v>
      </c>
      <c r="T27" s="221">
        <f t="shared" si="60"/>
        <v>23755931.839864925</v>
      </c>
      <c r="U27" s="221">
        <f t="shared" si="60"/>
        <v>23755931.839864925</v>
      </c>
      <c r="V27" s="221">
        <f>SUM(V24:V26)</f>
        <v>-3504748.753777761</v>
      </c>
      <c r="W27" s="222">
        <f t="shared" si="48"/>
        <v>-7.964050267041986E-2</v>
      </c>
      <c r="Y27" s="228">
        <f>SUM(Y24:Y26)</f>
        <v>2168386</v>
      </c>
      <c r="Z27" s="228">
        <f>SUM(Z24:Z26)</f>
        <v>2698987</v>
      </c>
      <c r="AA27" s="228">
        <f>SUM(AA24:AA26)</f>
        <v>530601</v>
      </c>
      <c r="AB27" s="222">
        <f t="shared" ref="AB27" si="61">AA27/Y27</f>
        <v>0.24469859148694006</v>
      </c>
    </row>
    <row r="28" spans="1:28" collapsed="1"/>
    <row r="29" spans="1:28">
      <c r="A29" s="312" t="s">
        <v>283</v>
      </c>
      <c r="B29" s="313"/>
      <c r="C29" s="313"/>
      <c r="D29" s="313"/>
      <c r="E29" s="313"/>
      <c r="F29" s="314"/>
      <c r="H29" s="312" t="s">
        <v>283</v>
      </c>
      <c r="I29" s="313"/>
      <c r="J29" s="313"/>
      <c r="K29" s="313"/>
      <c r="L29" s="313"/>
      <c r="M29" s="313"/>
      <c r="N29" s="314"/>
      <c r="P29" s="312" t="s">
        <v>283</v>
      </c>
      <c r="Q29" s="313"/>
      <c r="R29" s="313"/>
      <c r="S29" s="313"/>
      <c r="T29" s="313"/>
      <c r="U29" s="313"/>
      <c r="V29" s="313"/>
      <c r="W29" s="314"/>
      <c r="Y29" s="312" t="s">
        <v>146</v>
      </c>
      <c r="Z29" s="313"/>
      <c r="AA29" s="313"/>
      <c r="AB29" s="314"/>
    </row>
    <row r="30" spans="1:28">
      <c r="A30" s="219" t="s">
        <v>58</v>
      </c>
      <c r="B30" s="220" t="s">
        <v>55</v>
      </c>
      <c r="C30" s="225">
        <v>3077366.0000000037</v>
      </c>
      <c r="D30" s="221">
        <f>N30</f>
        <v>3699442</v>
      </c>
      <c r="E30" s="221">
        <f>D30-C30</f>
        <v>622075.99999999627</v>
      </c>
      <c r="F30" s="222">
        <f>E30/C30</f>
        <v>0.20214560114071434</v>
      </c>
      <c r="G30" s="223"/>
      <c r="H30" s="226">
        <f>SUM(I30:J30)</f>
        <v>1849721</v>
      </c>
      <c r="I30" s="225">
        <v>1477250.4326077898</v>
      </c>
      <c r="J30" s="225">
        <v>372470.5673922103</v>
      </c>
      <c r="K30" s="226">
        <f>SUM(L30:M30)</f>
        <v>1849721</v>
      </c>
      <c r="L30" s="225">
        <v>1476620.8971593429</v>
      </c>
      <c r="M30" s="225">
        <v>373100.10284065717</v>
      </c>
      <c r="N30" s="221">
        <f>H30+K30</f>
        <v>3699442</v>
      </c>
      <c r="O30" s="223"/>
      <c r="P30" s="221">
        <f>T30-R30</f>
        <v>1477244.9419924021</v>
      </c>
      <c r="Q30" s="221">
        <f>U30-S30</f>
        <v>1476615.4419924021</v>
      </c>
      <c r="R30" s="221">
        <f>(R42-R48-R54)*0.1</f>
        <v>372470.60000000003</v>
      </c>
      <c r="S30" s="221">
        <f>(S42-S48-S54)*0.1</f>
        <v>373100.10000000003</v>
      </c>
      <c r="T30" s="221">
        <f>'Space Support'!D4</f>
        <v>1849715.5419924022</v>
      </c>
      <c r="U30" s="221">
        <f>'Space Support'!G4</f>
        <v>1849715.5419924022</v>
      </c>
      <c r="V30" s="221">
        <f>N30-SUM(T30:U30)</f>
        <v>10.916015195660293</v>
      </c>
      <c r="W30" s="222">
        <f>V30/N30</f>
        <v>2.9507193775872935E-6</v>
      </c>
      <c r="Y30" s="229">
        <f>Comparison!S5</f>
        <v>278016.95746524649</v>
      </c>
      <c r="Z30" s="229">
        <f>Comparison!U5</f>
        <v>297872</v>
      </c>
      <c r="AA30" s="228">
        <f t="shared" ref="AA30:AA33" si="62">Z30-Y30</f>
        <v>19855.042534753506</v>
      </c>
      <c r="AB30" s="222">
        <f t="shared" ref="AB30:AB33" si="63">AA30/Y30</f>
        <v>7.1416660033176163E-2</v>
      </c>
    </row>
    <row r="31" spans="1:28">
      <c r="A31" s="219" t="s">
        <v>59</v>
      </c>
      <c r="B31" s="220" t="s">
        <v>56</v>
      </c>
      <c r="C31" s="225">
        <v>1902573.7955855909</v>
      </c>
      <c r="D31" s="221">
        <f t="shared" ref="D31:D32" si="64">N31</f>
        <v>2144696</v>
      </c>
      <c r="E31" s="221">
        <f t="shared" ref="E31:E32" si="65">D31-C31</f>
        <v>242122.20441440912</v>
      </c>
      <c r="F31" s="222">
        <f t="shared" ref="F31:F33" si="66">E31/C31</f>
        <v>0.12726034857422527</v>
      </c>
      <c r="G31" s="223"/>
      <c r="H31" s="226">
        <f t="shared" ref="H31:H32" si="67">SUM(I31:J31)</f>
        <v>1072348</v>
      </c>
      <c r="I31" s="225">
        <v>907063.14604918798</v>
      </c>
      <c r="J31" s="225">
        <v>165284.85395081202</v>
      </c>
      <c r="K31" s="226">
        <f t="shared" ref="K31:K32" si="68">SUM(L31:M31)</f>
        <v>1072348</v>
      </c>
      <c r="L31" s="225">
        <v>907019.67415851192</v>
      </c>
      <c r="M31" s="225">
        <v>165328.32584148803</v>
      </c>
      <c r="N31" s="221">
        <f t="shared" ref="N31:N32" si="69">H31+K31</f>
        <v>2144696</v>
      </c>
      <c r="O31" s="223"/>
      <c r="P31" s="221">
        <f t="shared" ref="P31" si="70">T31-R31</f>
        <v>907130.51490037364</v>
      </c>
      <c r="Q31" s="221">
        <f t="shared" ref="Q31:Q32" si="71">U31-S31</f>
        <v>907087.11490037362</v>
      </c>
      <c r="R31" s="221">
        <f t="shared" ref="R31:S32" si="72">(R43-R49-R55)*0.1</f>
        <v>165184.90000000002</v>
      </c>
      <c r="S31" s="221">
        <f t="shared" si="72"/>
        <v>165228.30000000002</v>
      </c>
      <c r="T31" s="221">
        <f>'Space Support'!D5</f>
        <v>1072315.4149003737</v>
      </c>
      <c r="U31" s="221">
        <f>'Space Support'!G5</f>
        <v>1072315.4149003737</v>
      </c>
      <c r="V31" s="221">
        <f t="shared" ref="V31:V32" si="73">N31-SUM(T31:U31)</f>
        <v>65.170199252665043</v>
      </c>
      <c r="W31" s="222">
        <f t="shared" ref="W31:W33" si="74">V31/N31</f>
        <v>3.0386683824964024E-5</v>
      </c>
      <c r="Y31" s="229">
        <f>Comparison!S6</f>
        <v>161848.847155289</v>
      </c>
      <c r="Z31" s="229">
        <f>Comparison!U6</f>
        <v>183356</v>
      </c>
      <c r="AA31" s="228">
        <f t="shared" si="62"/>
        <v>21507.152844711003</v>
      </c>
      <c r="AB31" s="222">
        <f t="shared" si="63"/>
        <v>0.13288418930828436</v>
      </c>
    </row>
    <row r="32" spans="1:28">
      <c r="A32" s="219" t="s">
        <v>60</v>
      </c>
      <c r="B32" s="220" t="s">
        <v>57</v>
      </c>
      <c r="C32" s="225">
        <v>2527639.9999999916</v>
      </c>
      <c r="D32" s="221">
        <f t="shared" si="64"/>
        <v>2747748</v>
      </c>
      <c r="E32" s="221">
        <f t="shared" si="65"/>
        <v>220108.00000000838</v>
      </c>
      <c r="F32" s="222">
        <f t="shared" si="66"/>
        <v>8.7080438670067387E-2</v>
      </c>
      <c r="G32" s="223"/>
      <c r="H32" s="226">
        <f t="shared" si="67"/>
        <v>1373874</v>
      </c>
      <c r="I32" s="225">
        <v>1200405.6317822034</v>
      </c>
      <c r="J32" s="225">
        <v>173468.36821779667</v>
      </c>
      <c r="K32" s="226">
        <f t="shared" si="68"/>
        <v>1373874</v>
      </c>
      <c r="L32" s="225">
        <v>1200647.1381340683</v>
      </c>
      <c r="M32" s="225">
        <v>173226.86186593166</v>
      </c>
      <c r="N32" s="221">
        <f t="shared" si="69"/>
        <v>2747748</v>
      </c>
      <c r="O32" s="223"/>
      <c r="P32" s="221">
        <f>T32-R32</f>
        <v>1200297.0887353525</v>
      </c>
      <c r="Q32" s="221">
        <f t="shared" si="71"/>
        <v>1200538.4887353526</v>
      </c>
      <c r="R32" s="221">
        <f t="shared" si="72"/>
        <v>173468.30000000002</v>
      </c>
      <c r="S32" s="221">
        <f t="shared" si="72"/>
        <v>173226.90000000002</v>
      </c>
      <c r="T32" s="221">
        <f>'Space Support'!D6</f>
        <v>1373765.3887353525</v>
      </c>
      <c r="U32" s="221">
        <f>'Space Support'!G6</f>
        <v>1373765.3887353525</v>
      </c>
      <c r="V32" s="221">
        <f t="shared" si="73"/>
        <v>217.2225292949006</v>
      </c>
      <c r="W32" s="222">
        <f t="shared" si="74"/>
        <v>7.9054749305576996E-5</v>
      </c>
      <c r="Y32" s="229">
        <f>Comparison!S7</f>
        <v>211529.47749576991</v>
      </c>
      <c r="Z32" s="229">
        <f>Comparison!U7</f>
        <v>209483</v>
      </c>
      <c r="AA32" s="228">
        <f t="shared" si="62"/>
        <v>-2046.4774957699119</v>
      </c>
      <c r="AB32" s="222">
        <f t="shared" si="63"/>
        <v>-9.6746681360796935E-3</v>
      </c>
    </row>
    <row r="33" spans="1:28">
      <c r="A33" s="224"/>
      <c r="B33" s="220" t="s">
        <v>1</v>
      </c>
      <c r="C33" s="221">
        <f>SUM(C30:C32)</f>
        <v>7507579.7955855867</v>
      </c>
      <c r="D33" s="221">
        <f>SUM(D30:D32)</f>
        <v>8591886</v>
      </c>
      <c r="E33" s="221">
        <f>SUM(E30:E32)</f>
        <v>1084306.2044144138</v>
      </c>
      <c r="F33" s="222">
        <f t="shared" si="66"/>
        <v>0.14442819576183252</v>
      </c>
      <c r="G33" s="223"/>
      <c r="H33" s="221">
        <f>SUM(H30:H32)</f>
        <v>4295943</v>
      </c>
      <c r="I33" s="221">
        <f t="shared" ref="I33:J33" si="75">SUM(I30:I32)</f>
        <v>3584719.2104391814</v>
      </c>
      <c r="J33" s="221">
        <f t="shared" si="75"/>
        <v>711223.78956081893</v>
      </c>
      <c r="K33" s="221">
        <f>SUM(K30:K32)</f>
        <v>4295943</v>
      </c>
      <c r="L33" s="221">
        <f t="shared" ref="L33:M33" si="76">SUM(L30:L32)</f>
        <v>3584287.7094519231</v>
      </c>
      <c r="M33" s="221">
        <f t="shared" si="76"/>
        <v>711655.29054807685</v>
      </c>
      <c r="N33" s="221">
        <f>SUM(N30:N32)</f>
        <v>8591886</v>
      </c>
      <c r="O33" s="223"/>
      <c r="P33" s="221">
        <f t="shared" ref="P33:U33" si="77">SUM(P30:P32)</f>
        <v>3584672.5456281286</v>
      </c>
      <c r="Q33" s="221">
        <f t="shared" si="77"/>
        <v>3584241.0456281286</v>
      </c>
      <c r="R33" s="221">
        <f t="shared" si="77"/>
        <v>711123.8</v>
      </c>
      <c r="S33" s="221">
        <f t="shared" si="77"/>
        <v>711555.3</v>
      </c>
      <c r="T33" s="221">
        <f t="shared" si="77"/>
        <v>4295796.3456281284</v>
      </c>
      <c r="U33" s="221">
        <f t="shared" si="77"/>
        <v>4295796.3456281284</v>
      </c>
      <c r="V33" s="221">
        <f>SUM(V30:V32)</f>
        <v>293.30874374322593</v>
      </c>
      <c r="W33" s="222">
        <f t="shared" si="74"/>
        <v>3.4137876566707927E-5</v>
      </c>
      <c r="Y33" s="229">
        <f>SUM(Y30:Y32)</f>
        <v>651395.28211630532</v>
      </c>
      <c r="Z33" s="229">
        <f>SUM(Z30:Z32)</f>
        <v>690711</v>
      </c>
      <c r="AA33" s="228">
        <f t="shared" si="62"/>
        <v>39315.717883694684</v>
      </c>
      <c r="AB33" s="222">
        <f t="shared" si="63"/>
        <v>6.0356160020015225E-2</v>
      </c>
    </row>
    <row r="34" spans="1:28">
      <c r="J34" s="230"/>
      <c r="M34" s="230"/>
      <c r="P34" s="230"/>
      <c r="Q34" s="230"/>
      <c r="R34" s="231"/>
      <c r="S34" s="231"/>
    </row>
    <row r="35" spans="1:28">
      <c r="A35" s="312" t="s">
        <v>21</v>
      </c>
      <c r="B35" s="313"/>
      <c r="C35" s="313"/>
      <c r="D35" s="313"/>
      <c r="E35" s="313"/>
      <c r="F35" s="314"/>
      <c r="H35" s="312" t="str">
        <f>A35</f>
        <v>Small Institution Supplement</v>
      </c>
      <c r="I35" s="313"/>
      <c r="J35" s="313"/>
      <c r="K35" s="313"/>
      <c r="L35" s="313"/>
      <c r="M35" s="313"/>
      <c r="N35" s="314"/>
      <c r="P35" s="312" t="s">
        <v>21</v>
      </c>
      <c r="Q35" s="313"/>
      <c r="R35" s="313"/>
      <c r="S35" s="313"/>
      <c r="T35" s="313"/>
      <c r="U35" s="313"/>
      <c r="V35" s="313"/>
      <c r="W35" s="314"/>
      <c r="Y35" s="312" t="s">
        <v>147</v>
      </c>
      <c r="Z35" s="313"/>
      <c r="AA35" s="313"/>
      <c r="AB35" s="314"/>
    </row>
    <row r="36" spans="1:28">
      <c r="A36" s="219" t="s">
        <v>58</v>
      </c>
      <c r="B36" s="220" t="s">
        <v>55</v>
      </c>
      <c r="C36" s="225">
        <v>2633134</v>
      </c>
      <c r="D36" s="221">
        <f>N36</f>
        <v>2633134</v>
      </c>
      <c r="E36" s="221">
        <f>D36-C36</f>
        <v>0</v>
      </c>
      <c r="F36" s="222">
        <f>E36/C36</f>
        <v>0</v>
      </c>
      <c r="G36" s="223"/>
      <c r="H36" s="226">
        <f>SUM(I36:J36)</f>
        <v>1316567</v>
      </c>
      <c r="I36" s="225">
        <v>1316567</v>
      </c>
      <c r="J36" s="227">
        <v>0</v>
      </c>
      <c r="K36" s="225">
        <f>SUM(L36:M36)</f>
        <v>1316567</v>
      </c>
      <c r="L36" s="225">
        <v>1316567</v>
      </c>
      <c r="M36" s="227">
        <v>0</v>
      </c>
      <c r="N36" s="221">
        <f>H36+K36</f>
        <v>2633134</v>
      </c>
      <c r="O36" s="223"/>
      <c r="P36" s="221">
        <f>T36-R36</f>
        <v>1316566.5</v>
      </c>
      <c r="Q36" s="221">
        <f>U36-S36</f>
        <v>1316566.5</v>
      </c>
      <c r="R36" s="221">
        <v>0</v>
      </c>
      <c r="S36" s="221">
        <v>0</v>
      </c>
      <c r="T36" s="221">
        <f>SIS!D4</f>
        <v>1316566.5</v>
      </c>
      <c r="U36" s="221">
        <f>T36</f>
        <v>1316566.5</v>
      </c>
      <c r="V36" s="221">
        <f t="shared" ref="V36:V38" si="78">N36-SUM(T36:U36)</f>
        <v>1</v>
      </c>
      <c r="W36" s="222">
        <f t="shared" ref="W36:W39" si="79">V36/N36</f>
        <v>3.7977558301248627E-7</v>
      </c>
      <c r="Y36" s="229">
        <f>Comparison!H5</f>
        <v>4402</v>
      </c>
      <c r="Z36" s="229">
        <f>Comparison!J5</f>
        <v>4788</v>
      </c>
      <c r="AA36" s="228">
        <f t="shared" ref="AA36:AA38" si="80">Z36-Y36</f>
        <v>386</v>
      </c>
      <c r="AB36" s="222">
        <f t="shared" ref="AB36:AB39" si="81">AA36/Y36</f>
        <v>8.7687414811449343E-2</v>
      </c>
    </row>
    <row r="37" spans="1:28">
      <c r="A37" s="219" t="s">
        <v>59</v>
      </c>
      <c r="B37" s="220" t="s">
        <v>56</v>
      </c>
      <c r="C37" s="225">
        <v>2633134</v>
      </c>
      <c r="D37" s="221">
        <f t="shared" ref="D37:D38" si="82">N37</f>
        <v>2633134</v>
      </c>
      <c r="E37" s="221">
        <f t="shared" ref="E37:E38" si="83">D37-C37</f>
        <v>0</v>
      </c>
      <c r="F37" s="222">
        <f t="shared" ref="F37:F39" si="84">E37/C37</f>
        <v>0</v>
      </c>
      <c r="G37" s="223"/>
      <c r="H37" s="226">
        <f t="shared" ref="H37:H38" si="85">SUM(I37:J37)</f>
        <v>1316567</v>
      </c>
      <c r="I37" s="225">
        <v>1316567</v>
      </c>
      <c r="J37" s="227">
        <v>0</v>
      </c>
      <c r="K37" s="225">
        <f t="shared" ref="K37:K38" si="86">SUM(L37:M37)</f>
        <v>1316567</v>
      </c>
      <c r="L37" s="225">
        <v>1316567</v>
      </c>
      <c r="M37" s="227">
        <v>0</v>
      </c>
      <c r="N37" s="221">
        <f t="shared" ref="N37:N38" si="87">H37+K37</f>
        <v>2633134</v>
      </c>
      <c r="O37" s="223"/>
      <c r="P37" s="221">
        <f t="shared" ref="P37:P38" si="88">T37-R37</f>
        <v>1316566.5</v>
      </c>
      <c r="Q37" s="221">
        <f t="shared" ref="Q37:Q38" si="89">U37-S37</f>
        <v>1316566.5</v>
      </c>
      <c r="R37" s="221">
        <v>0</v>
      </c>
      <c r="S37" s="221">
        <v>0</v>
      </c>
      <c r="T37" s="221">
        <f>SIS!D5</f>
        <v>1316566.5</v>
      </c>
      <c r="U37" s="221">
        <f>T37</f>
        <v>1316566.5</v>
      </c>
      <c r="V37" s="221">
        <f t="shared" si="78"/>
        <v>1</v>
      </c>
      <c r="W37" s="222">
        <f t="shared" si="79"/>
        <v>3.7977558301248627E-7</v>
      </c>
      <c r="Y37" s="229">
        <f>Comparison!H6</f>
        <v>2382</v>
      </c>
      <c r="Z37" s="229">
        <f>Comparison!J6</f>
        <v>2629</v>
      </c>
      <c r="AA37" s="228">
        <f t="shared" si="80"/>
        <v>247</v>
      </c>
      <c r="AB37" s="222">
        <f t="shared" si="81"/>
        <v>0.1036943744752309</v>
      </c>
    </row>
    <row r="38" spans="1:28">
      <c r="A38" s="219" t="s">
        <v>60</v>
      </c>
      <c r="B38" s="220" t="s">
        <v>57</v>
      </c>
      <c r="C38" s="225">
        <v>2633134</v>
      </c>
      <c r="D38" s="221">
        <f t="shared" si="82"/>
        <v>2633134</v>
      </c>
      <c r="E38" s="221">
        <f t="shared" si="83"/>
        <v>0</v>
      </c>
      <c r="F38" s="222">
        <f t="shared" si="84"/>
        <v>0</v>
      </c>
      <c r="G38" s="223"/>
      <c r="H38" s="226">
        <f t="shared" si="85"/>
        <v>1316567</v>
      </c>
      <c r="I38" s="225">
        <v>1316567</v>
      </c>
      <c r="J38" s="227">
        <v>0</v>
      </c>
      <c r="K38" s="225">
        <f t="shared" si="86"/>
        <v>1316567</v>
      </c>
      <c r="L38" s="225">
        <v>1316567</v>
      </c>
      <c r="M38" s="227">
        <v>0</v>
      </c>
      <c r="N38" s="221">
        <f t="shared" si="87"/>
        <v>2633134</v>
      </c>
      <c r="O38" s="223"/>
      <c r="P38" s="221">
        <f t="shared" si="88"/>
        <v>1316566.5</v>
      </c>
      <c r="Q38" s="221">
        <f t="shared" si="89"/>
        <v>1316566.5</v>
      </c>
      <c r="R38" s="221">
        <v>0</v>
      </c>
      <c r="S38" s="221">
        <v>0</v>
      </c>
      <c r="T38" s="221">
        <f>SIS!D6</f>
        <v>1316566.5</v>
      </c>
      <c r="U38" s="221">
        <f>T38</f>
        <v>1316566.5</v>
      </c>
      <c r="V38" s="221">
        <f t="shared" si="78"/>
        <v>1</v>
      </c>
      <c r="W38" s="222">
        <f t="shared" si="79"/>
        <v>3.7977558301248627E-7</v>
      </c>
      <c r="Y38" s="229">
        <f>Comparison!H7</f>
        <v>2566</v>
      </c>
      <c r="Z38" s="229">
        <f>Comparison!J7</f>
        <v>2698</v>
      </c>
      <c r="AA38" s="228">
        <f t="shared" si="80"/>
        <v>132</v>
      </c>
      <c r="AB38" s="222">
        <f t="shared" si="81"/>
        <v>5.1441932969602491E-2</v>
      </c>
    </row>
    <row r="39" spans="1:28">
      <c r="A39" s="224"/>
      <c r="B39" s="220" t="s">
        <v>1</v>
      </c>
      <c r="C39" s="221">
        <f>SUM(C36:C38)</f>
        <v>7899402</v>
      </c>
      <c r="D39" s="221">
        <f>SUM(D36:D38)</f>
        <v>7899402</v>
      </c>
      <c r="E39" s="221">
        <f>SUM(E36:E38)</f>
        <v>0</v>
      </c>
      <c r="F39" s="222">
        <f t="shared" si="84"/>
        <v>0</v>
      </c>
      <c r="G39" s="223"/>
      <c r="H39" s="221">
        <f>SUM(H36:H38)</f>
        <v>3949701</v>
      </c>
      <c r="I39" s="221">
        <f t="shared" ref="I39:J39" si="90">SUM(I36:I38)</f>
        <v>3949701</v>
      </c>
      <c r="J39" s="221">
        <f t="shared" si="90"/>
        <v>0</v>
      </c>
      <c r="K39" s="221">
        <f>SUM(K36:K38)</f>
        <v>3949701</v>
      </c>
      <c r="L39" s="221">
        <f t="shared" ref="L39:M39" si="91">SUM(L36:L38)</f>
        <v>3949701</v>
      </c>
      <c r="M39" s="221">
        <f t="shared" si="91"/>
        <v>0</v>
      </c>
      <c r="N39" s="221">
        <f>SUM(N36:N38)</f>
        <v>7899402</v>
      </c>
      <c r="O39" s="223"/>
      <c r="P39" s="221">
        <f>SUM(P36:P38)</f>
        <v>3949699.5</v>
      </c>
      <c r="Q39" s="221">
        <f>SUM(Q36:Q38)</f>
        <v>3949699.5</v>
      </c>
      <c r="R39" s="221">
        <v>0</v>
      </c>
      <c r="S39" s="221">
        <v>0</v>
      </c>
      <c r="T39" s="221">
        <f>SUM(T36:T38)</f>
        <v>3949699.5</v>
      </c>
      <c r="U39" s="221">
        <f>SUM(U36:U38)</f>
        <v>3949699.5</v>
      </c>
      <c r="V39" s="221">
        <f>SUM(V36:V38)</f>
        <v>3</v>
      </c>
      <c r="W39" s="222">
        <f t="shared" si="79"/>
        <v>3.7977558301248627E-7</v>
      </c>
      <c r="Y39" s="229">
        <f>SUM(Y36:Y38)</f>
        <v>9350</v>
      </c>
      <c r="Z39" s="229">
        <f>SUM(Z36:Z38)</f>
        <v>10115</v>
      </c>
      <c r="AA39" s="229">
        <f>SUM(AA36:AA38)</f>
        <v>765</v>
      </c>
      <c r="AB39" s="222">
        <f t="shared" si="81"/>
        <v>8.1818181818181818E-2</v>
      </c>
    </row>
    <row r="41" spans="1:28">
      <c r="A41" s="312" t="s">
        <v>22</v>
      </c>
      <c r="B41" s="313"/>
      <c r="C41" s="313"/>
      <c r="D41" s="313"/>
      <c r="E41" s="313"/>
      <c r="F41" s="314"/>
      <c r="P41" s="312" t="s">
        <v>22</v>
      </c>
      <c r="Q41" s="313"/>
      <c r="R41" s="313"/>
      <c r="S41" s="313"/>
      <c r="T41" s="313"/>
      <c r="U41" s="313"/>
      <c r="V41" s="313"/>
      <c r="W41" s="314"/>
    </row>
    <row r="42" spans="1:28">
      <c r="A42" s="219" t="s">
        <v>58</v>
      </c>
      <c r="B42" s="220" t="s">
        <v>55</v>
      </c>
      <c r="C42" s="225">
        <v>7967318.1586148404</v>
      </c>
      <c r="D42" s="221">
        <f>SUM(R42:S42)</f>
        <v>8762111</v>
      </c>
      <c r="E42" s="221">
        <f t="shared" ref="E42:E44" si="92">D42-C42</f>
        <v>794792.84138515964</v>
      </c>
      <c r="F42" s="222">
        <f t="shared" ref="F42:F45" si="93">E42/C42</f>
        <v>9.9756633984268872E-2</v>
      </c>
      <c r="G42" s="223"/>
      <c r="H42" s="223"/>
      <c r="I42" s="223"/>
      <c r="J42" s="223"/>
      <c r="K42" s="223"/>
      <c r="L42" s="223"/>
      <c r="M42" s="223"/>
      <c r="N42" s="223"/>
      <c r="O42" s="223"/>
      <c r="P42" s="232"/>
      <c r="Q42" s="233"/>
      <c r="R42" s="234">
        <v>4377438</v>
      </c>
      <c r="S42" s="235">
        <v>4384673</v>
      </c>
      <c r="T42" s="232"/>
      <c r="U42" s="236"/>
      <c r="V42" s="237"/>
      <c r="W42" s="238"/>
    </row>
    <row r="43" spans="1:28">
      <c r="A43" s="219" t="s">
        <v>59</v>
      </c>
      <c r="B43" s="220" t="s">
        <v>56</v>
      </c>
      <c r="C43" s="225">
        <v>4450328.68389179</v>
      </c>
      <c r="D43" s="221">
        <f t="shared" ref="D43:D44" si="94">SUM(R43:S43)</f>
        <v>4605405</v>
      </c>
      <c r="E43" s="221">
        <f t="shared" si="92"/>
        <v>155076.31610821001</v>
      </c>
      <c r="F43" s="222">
        <f t="shared" si="93"/>
        <v>3.4846036579167128E-2</v>
      </c>
      <c r="G43" s="223"/>
      <c r="H43" s="223"/>
      <c r="I43" s="223"/>
      <c r="J43" s="223"/>
      <c r="K43" s="223"/>
      <c r="L43" s="223"/>
      <c r="M43" s="223"/>
      <c r="N43" s="223"/>
      <c r="O43" s="223"/>
      <c r="P43" s="239"/>
      <c r="Q43" s="240"/>
      <c r="R43" s="234">
        <v>2301355</v>
      </c>
      <c r="S43" s="235">
        <v>2304050</v>
      </c>
      <c r="T43" s="239"/>
      <c r="U43" s="241"/>
      <c r="V43" s="242"/>
      <c r="W43" s="243"/>
    </row>
    <row r="44" spans="1:28">
      <c r="A44" s="219" t="s">
        <v>60</v>
      </c>
      <c r="B44" s="220" t="s">
        <v>57</v>
      </c>
      <c r="C44" s="225">
        <v>4555066.9256669208</v>
      </c>
      <c r="D44" s="221">
        <f t="shared" si="94"/>
        <v>4385395</v>
      </c>
      <c r="E44" s="221">
        <f t="shared" si="92"/>
        <v>-169671.92566692084</v>
      </c>
      <c r="F44" s="222">
        <f t="shared" si="93"/>
        <v>-3.7249052195227332E-2</v>
      </c>
      <c r="G44" s="223"/>
      <c r="H44" s="223"/>
      <c r="I44" s="223"/>
      <c r="J44" s="223"/>
      <c r="K44" s="223"/>
      <c r="L44" s="223"/>
      <c r="M44" s="223"/>
      <c r="N44" s="223"/>
      <c r="O44" s="223"/>
      <c r="P44" s="239"/>
      <c r="Q44" s="240"/>
      <c r="R44" s="234">
        <v>2193883</v>
      </c>
      <c r="S44" s="235">
        <v>2191512</v>
      </c>
      <c r="T44" s="239"/>
      <c r="U44" s="241"/>
      <c r="V44" s="242"/>
      <c r="W44" s="243"/>
    </row>
    <row r="45" spans="1:28">
      <c r="A45" s="224"/>
      <c r="B45" s="220" t="s">
        <v>1</v>
      </c>
      <c r="C45" s="221">
        <f>SUM(C42:C44)</f>
        <v>16972713.768173553</v>
      </c>
      <c r="D45" s="221">
        <f>SUM(D42:D44)</f>
        <v>17752911</v>
      </c>
      <c r="E45" s="221">
        <f>SUM(E42:E44)</f>
        <v>780197.23182644881</v>
      </c>
      <c r="F45" s="222">
        <f t="shared" si="93"/>
        <v>4.5967736361019564E-2</v>
      </c>
      <c r="G45" s="223"/>
      <c r="H45" s="223"/>
      <c r="I45" s="223"/>
      <c r="J45" s="223"/>
      <c r="K45" s="223"/>
      <c r="L45" s="223"/>
      <c r="M45" s="223"/>
      <c r="N45" s="223"/>
      <c r="O45" s="223"/>
      <c r="P45" s="244"/>
      <c r="Q45" s="245"/>
      <c r="R45" s="226">
        <f>SUM(R42:R44)</f>
        <v>8872676</v>
      </c>
      <c r="S45" s="246">
        <f>SUM(S42:S44)</f>
        <v>8880235</v>
      </c>
      <c r="T45" s="244"/>
      <c r="U45" s="247"/>
      <c r="V45" s="248"/>
      <c r="W45" s="249"/>
    </row>
    <row r="47" spans="1:28">
      <c r="A47" s="312" t="s">
        <v>23</v>
      </c>
      <c r="B47" s="313"/>
      <c r="C47" s="313"/>
      <c r="D47" s="313"/>
      <c r="E47" s="313"/>
      <c r="F47" s="314"/>
      <c r="P47" s="312" t="s">
        <v>23</v>
      </c>
      <c r="Q47" s="313"/>
      <c r="R47" s="313"/>
      <c r="S47" s="313"/>
      <c r="T47" s="313"/>
      <c r="U47" s="313"/>
      <c r="V47" s="313"/>
      <c r="W47" s="314"/>
    </row>
    <row r="48" spans="1:28">
      <c r="A48" s="219" t="s">
        <v>58</v>
      </c>
      <c r="B48" s="220" t="s">
        <v>55</v>
      </c>
      <c r="C48" s="225">
        <v>917853</v>
      </c>
      <c r="D48" s="221">
        <f>SUM(R48:S48)</f>
        <v>806862</v>
      </c>
      <c r="E48" s="221">
        <f t="shared" ref="E48" si="95">D48-C48</f>
        <v>-110991</v>
      </c>
      <c r="F48" s="222">
        <f t="shared" ref="F48" si="96">E48/C48</f>
        <v>-0.12092459250010623</v>
      </c>
      <c r="G48" s="223"/>
      <c r="H48" s="223"/>
      <c r="I48" s="223"/>
      <c r="J48" s="223"/>
      <c r="K48" s="223"/>
      <c r="L48" s="223"/>
      <c r="M48" s="223"/>
      <c r="N48" s="223"/>
      <c r="O48" s="223"/>
      <c r="P48" s="232"/>
      <c r="Q48" s="233"/>
      <c r="R48" s="234">
        <v>402961</v>
      </c>
      <c r="S48" s="235">
        <v>403901</v>
      </c>
      <c r="T48" s="232"/>
      <c r="U48" s="236"/>
      <c r="V48" s="237"/>
      <c r="W48" s="238"/>
    </row>
    <row r="49" spans="1:23">
      <c r="A49" s="219" t="s">
        <v>59</v>
      </c>
      <c r="B49" s="220" t="s">
        <v>56</v>
      </c>
      <c r="C49" s="225">
        <v>847357</v>
      </c>
      <c r="D49" s="221">
        <f t="shared" ref="D49:D50" si="97">SUM(R49:S49)</f>
        <v>881405</v>
      </c>
      <c r="E49" s="221">
        <f t="shared" ref="E49:E50" si="98">D49-C49</f>
        <v>34048</v>
      </c>
      <c r="F49" s="222">
        <f t="shared" ref="F49:F51" si="99">E49/C49</f>
        <v>4.0181411140758856E-2</v>
      </c>
      <c r="G49" s="223"/>
      <c r="H49" s="223"/>
      <c r="I49" s="223"/>
      <c r="J49" s="223"/>
      <c r="K49" s="223"/>
      <c r="L49" s="223"/>
      <c r="M49" s="223"/>
      <c r="N49" s="223"/>
      <c r="O49" s="223"/>
      <c r="P49" s="239"/>
      <c r="Q49" s="240"/>
      <c r="R49" s="234">
        <v>439572</v>
      </c>
      <c r="S49" s="235">
        <v>441833</v>
      </c>
      <c r="T49" s="239"/>
      <c r="U49" s="241"/>
      <c r="V49" s="242"/>
      <c r="W49" s="243"/>
    </row>
    <row r="50" spans="1:23">
      <c r="A50" s="219" t="s">
        <v>60</v>
      </c>
      <c r="B50" s="220" t="s">
        <v>57</v>
      </c>
      <c r="C50" s="225">
        <v>444888</v>
      </c>
      <c r="D50" s="221">
        <f t="shared" si="97"/>
        <v>405645</v>
      </c>
      <c r="E50" s="221">
        <f t="shared" si="98"/>
        <v>-39243</v>
      </c>
      <c r="F50" s="222">
        <f t="shared" si="99"/>
        <v>-8.8208717699735664E-2</v>
      </c>
      <c r="G50" s="223"/>
      <c r="H50" s="223"/>
      <c r="I50" s="223"/>
      <c r="J50" s="223"/>
      <c r="K50" s="223"/>
      <c r="L50" s="223"/>
      <c r="M50" s="223"/>
      <c r="N50" s="223"/>
      <c r="O50" s="223"/>
      <c r="P50" s="239"/>
      <c r="Q50" s="240"/>
      <c r="R50" s="234">
        <v>202801</v>
      </c>
      <c r="S50" s="235">
        <v>202844</v>
      </c>
      <c r="T50" s="239"/>
      <c r="U50" s="241"/>
      <c r="V50" s="242"/>
      <c r="W50" s="243"/>
    </row>
    <row r="51" spans="1:23">
      <c r="A51" s="224"/>
      <c r="B51" s="220" t="s">
        <v>1</v>
      </c>
      <c r="C51" s="221">
        <f>SUM(C48:C50)</f>
        <v>2210098</v>
      </c>
      <c r="D51" s="221">
        <f>SUM(D48:D50)</f>
        <v>2093912</v>
      </c>
      <c r="E51" s="221">
        <f>SUM(E48:E50)</f>
        <v>-116186</v>
      </c>
      <c r="F51" s="222">
        <f t="shared" si="99"/>
        <v>-5.2570519497325455E-2</v>
      </c>
      <c r="G51" s="223"/>
      <c r="H51" s="223"/>
      <c r="I51" s="223"/>
      <c r="J51" s="223"/>
      <c r="K51" s="223"/>
      <c r="L51" s="223"/>
      <c r="M51" s="223"/>
      <c r="N51" s="223"/>
      <c r="O51" s="223"/>
      <c r="P51" s="244"/>
      <c r="Q51" s="245"/>
      <c r="R51" s="226">
        <f>SUM(R48:R50)</f>
        <v>1045334</v>
      </c>
      <c r="S51" s="246">
        <f>SUM(S48:S50)</f>
        <v>1048578</v>
      </c>
      <c r="T51" s="244"/>
      <c r="U51" s="247"/>
      <c r="V51" s="248"/>
      <c r="W51" s="249"/>
    </row>
    <row r="53" spans="1:23">
      <c r="A53" s="312" t="s">
        <v>24</v>
      </c>
      <c r="B53" s="313"/>
      <c r="C53" s="313"/>
      <c r="D53" s="313"/>
      <c r="E53" s="313"/>
      <c r="F53" s="314"/>
      <c r="P53" s="312" t="s">
        <v>24</v>
      </c>
      <c r="Q53" s="313"/>
      <c r="R53" s="313"/>
      <c r="S53" s="313"/>
      <c r="T53" s="313"/>
      <c r="U53" s="313"/>
      <c r="V53" s="313"/>
      <c r="W53" s="314"/>
    </row>
    <row r="54" spans="1:23">
      <c r="A54" s="219" t="s">
        <v>58</v>
      </c>
      <c r="B54" s="220" t="s">
        <v>55</v>
      </c>
      <c r="C54" s="225">
        <v>481862</v>
      </c>
      <c r="D54" s="221">
        <f>SUM(R54:S54)</f>
        <v>499542</v>
      </c>
      <c r="E54" s="221">
        <f t="shared" ref="E54:E56" si="100">SUM(E51:E53)</f>
        <v>-116186</v>
      </c>
      <c r="F54" s="222">
        <f>E54/C54</f>
        <v>-0.24111882655200037</v>
      </c>
      <c r="G54" s="223"/>
      <c r="H54" s="223"/>
      <c r="I54" s="223"/>
      <c r="J54" s="223"/>
      <c r="K54" s="223"/>
      <c r="L54" s="223"/>
      <c r="M54" s="223"/>
      <c r="N54" s="223"/>
      <c r="O54" s="223"/>
      <c r="P54" s="232"/>
      <c r="Q54" s="233"/>
      <c r="R54" s="234">
        <v>249771</v>
      </c>
      <c r="S54" s="235">
        <v>249771</v>
      </c>
      <c r="T54" s="232"/>
      <c r="U54" s="236"/>
      <c r="V54" s="237"/>
      <c r="W54" s="238"/>
    </row>
    <row r="55" spans="1:23">
      <c r="A55" s="219" t="s">
        <v>59</v>
      </c>
      <c r="B55" s="220" t="s">
        <v>56</v>
      </c>
      <c r="C55" s="225">
        <v>471410</v>
      </c>
      <c r="D55" s="221">
        <f t="shared" ref="D55:D56" si="101">SUM(R55:S55)</f>
        <v>419868</v>
      </c>
      <c r="E55" s="221">
        <f t="shared" si="100"/>
        <v>-116186</v>
      </c>
      <c r="F55" s="222">
        <f t="shared" ref="F55:F57" si="102">E55/C55</f>
        <v>-0.24646486073693813</v>
      </c>
      <c r="G55" s="223"/>
      <c r="H55" s="223"/>
      <c r="I55" s="223"/>
      <c r="J55" s="223"/>
      <c r="K55" s="223"/>
      <c r="L55" s="223"/>
      <c r="M55" s="223"/>
      <c r="N55" s="223"/>
      <c r="O55" s="223"/>
      <c r="P55" s="239"/>
      <c r="Q55" s="240"/>
      <c r="R55" s="234">
        <v>209934</v>
      </c>
      <c r="S55" s="235">
        <v>209934</v>
      </c>
      <c r="T55" s="239"/>
      <c r="U55" s="241"/>
      <c r="V55" s="242"/>
      <c r="W55" s="243"/>
    </row>
    <row r="56" spans="1:23">
      <c r="A56" s="219" t="s">
        <v>60</v>
      </c>
      <c r="B56" s="220" t="s">
        <v>57</v>
      </c>
      <c r="C56" s="225">
        <v>615684</v>
      </c>
      <c r="D56" s="221">
        <f t="shared" si="101"/>
        <v>512798</v>
      </c>
      <c r="E56" s="221">
        <f t="shared" si="100"/>
        <v>-232372</v>
      </c>
      <c r="F56" s="222">
        <f t="shared" si="102"/>
        <v>-0.37742088473957419</v>
      </c>
      <c r="G56" s="223"/>
      <c r="H56" s="223"/>
      <c r="I56" s="223"/>
      <c r="J56" s="223"/>
      <c r="K56" s="223"/>
      <c r="L56" s="223"/>
      <c r="M56" s="223"/>
      <c r="N56" s="223"/>
      <c r="O56" s="223"/>
      <c r="P56" s="239"/>
      <c r="Q56" s="240"/>
      <c r="R56" s="234">
        <v>256399</v>
      </c>
      <c r="S56" s="235">
        <v>256399</v>
      </c>
      <c r="T56" s="239"/>
      <c r="U56" s="241"/>
      <c r="V56" s="242"/>
      <c r="W56" s="243"/>
    </row>
    <row r="57" spans="1:23">
      <c r="A57" s="224"/>
      <c r="B57" s="220" t="s">
        <v>1</v>
      </c>
      <c r="C57" s="221">
        <f>SUM(C54:C56)</f>
        <v>1568956</v>
      </c>
      <c r="D57" s="221">
        <f>SUM(D54:D56)</f>
        <v>1432208</v>
      </c>
      <c r="E57" s="221">
        <f>SUM(E54:E56)</f>
        <v>-464744</v>
      </c>
      <c r="F57" s="222">
        <f t="shared" si="102"/>
        <v>-0.29621225834249015</v>
      </c>
      <c r="G57" s="223"/>
      <c r="H57" s="223"/>
      <c r="I57" s="223"/>
      <c r="J57" s="223"/>
      <c r="K57" s="223"/>
      <c r="L57" s="223"/>
      <c r="M57" s="223"/>
      <c r="N57" s="223"/>
      <c r="O57" s="223"/>
      <c r="P57" s="244"/>
      <c r="Q57" s="245"/>
      <c r="R57" s="226">
        <f>SUM(R54:R56)</f>
        <v>716104</v>
      </c>
      <c r="S57" s="246">
        <f>SUM(S54:S56)</f>
        <v>716104</v>
      </c>
      <c r="T57" s="244"/>
      <c r="U57" s="247"/>
      <c r="V57" s="248"/>
      <c r="W57" s="249"/>
    </row>
    <row r="58" spans="1:23">
      <c r="B58" s="250"/>
      <c r="C58" s="251"/>
      <c r="D58" s="251"/>
      <c r="E58" s="251"/>
      <c r="F58" s="252"/>
      <c r="G58" s="223"/>
      <c r="H58" s="223"/>
      <c r="I58" s="223"/>
      <c r="J58" s="223"/>
      <c r="K58" s="223"/>
      <c r="L58" s="223"/>
      <c r="M58" s="223"/>
      <c r="N58" s="223"/>
      <c r="O58" s="223"/>
      <c r="P58" s="253"/>
      <c r="Q58" s="253"/>
      <c r="R58" s="254"/>
      <c r="S58" s="254"/>
      <c r="T58" s="253"/>
      <c r="U58" s="253"/>
      <c r="V58" s="242"/>
      <c r="W58" s="242"/>
    </row>
    <row r="59" spans="1:23">
      <c r="A59" s="255"/>
      <c r="B59" s="256"/>
      <c r="C59" s="256"/>
      <c r="D59" s="256"/>
      <c r="E59" s="256"/>
      <c r="R59" s="253"/>
      <c r="S59" s="253"/>
    </row>
    <row r="60" spans="1:23">
      <c r="B60" s="256"/>
      <c r="C60" s="256"/>
      <c r="D60" s="256"/>
      <c r="E60" s="256"/>
      <c r="R60" s="253"/>
      <c r="S60" s="253"/>
    </row>
    <row r="61" spans="1:23" ht="16.2">
      <c r="A61" s="257" t="s">
        <v>284</v>
      </c>
      <c r="B61" s="256"/>
      <c r="C61" s="256"/>
      <c r="D61" s="256"/>
      <c r="E61" s="256"/>
      <c r="P61" s="258"/>
      <c r="Q61" s="258"/>
      <c r="R61" s="253"/>
      <c r="S61" s="253"/>
    </row>
    <row r="62" spans="1:23">
      <c r="A62" s="316"/>
      <c r="B62" s="316"/>
      <c r="C62" s="316"/>
      <c r="D62" s="316"/>
      <c r="E62" s="316"/>
      <c r="P62" s="258"/>
      <c r="Q62" s="258"/>
      <c r="R62" s="253"/>
      <c r="S62" s="253"/>
    </row>
    <row r="63" spans="1:23">
      <c r="P63" s="258"/>
      <c r="Q63" s="258"/>
      <c r="R63" s="253"/>
      <c r="S63" s="253"/>
    </row>
    <row r="64" spans="1:23">
      <c r="F64" s="253"/>
      <c r="P64" s="258"/>
      <c r="Q64" s="258"/>
      <c r="R64" s="253"/>
      <c r="S64" s="253"/>
    </row>
    <row r="65" spans="1:21">
      <c r="A65" s="315"/>
      <c r="B65" s="315"/>
      <c r="C65" s="315"/>
      <c r="D65" s="315"/>
      <c r="E65" s="315"/>
      <c r="F65" s="253"/>
      <c r="R65" s="253"/>
      <c r="S65" s="253"/>
    </row>
    <row r="66" spans="1:21">
      <c r="A66" s="315"/>
      <c r="B66" s="315"/>
      <c r="C66" s="315"/>
      <c r="D66" s="315"/>
      <c r="E66" s="315"/>
      <c r="F66" s="253"/>
      <c r="P66" s="253"/>
      <c r="Q66" s="253"/>
      <c r="R66" s="253"/>
      <c r="S66" s="253"/>
      <c r="T66" s="253"/>
      <c r="U66" s="253"/>
    </row>
    <row r="67" spans="1:21">
      <c r="A67" s="315"/>
      <c r="B67" s="315"/>
      <c r="C67" s="315"/>
      <c r="D67" s="315"/>
      <c r="E67" s="315"/>
      <c r="F67" s="253"/>
      <c r="P67" s="253"/>
      <c r="Q67" s="253"/>
      <c r="R67" s="253"/>
      <c r="S67" s="253"/>
      <c r="T67" s="253"/>
      <c r="U67" s="253"/>
    </row>
    <row r="68" spans="1:21">
      <c r="P68" s="253"/>
      <c r="Q68" s="253"/>
      <c r="R68" s="253"/>
      <c r="S68" s="253"/>
      <c r="T68" s="253"/>
      <c r="U68" s="253"/>
    </row>
    <row r="69" spans="1:21">
      <c r="P69" s="253"/>
      <c r="Q69" s="253"/>
      <c r="R69" s="253"/>
      <c r="S69" s="253"/>
      <c r="T69" s="253"/>
      <c r="U69" s="253"/>
    </row>
  </sheetData>
  <mergeCells count="36">
    <mergeCell ref="Y3:AB3"/>
    <mergeCell ref="C3:F3"/>
    <mergeCell ref="H3:N3"/>
    <mergeCell ref="P3:W3"/>
    <mergeCell ref="Y5:AB5"/>
    <mergeCell ref="H5:N5"/>
    <mergeCell ref="Y17:AB17"/>
    <mergeCell ref="Y23:AB23"/>
    <mergeCell ref="Y29:AB29"/>
    <mergeCell ref="Y35:AB35"/>
    <mergeCell ref="A5:F5"/>
    <mergeCell ref="A35:F35"/>
    <mergeCell ref="A29:F29"/>
    <mergeCell ref="A23:F23"/>
    <mergeCell ref="A11:F11"/>
    <mergeCell ref="H35:N35"/>
    <mergeCell ref="P5:W5"/>
    <mergeCell ref="P11:W11"/>
    <mergeCell ref="P17:W17"/>
    <mergeCell ref="P23:W23"/>
    <mergeCell ref="P29:W29"/>
    <mergeCell ref="P35:W35"/>
    <mergeCell ref="P41:W41"/>
    <mergeCell ref="P47:W47"/>
    <mergeCell ref="P53:W53"/>
    <mergeCell ref="A53:F53"/>
    <mergeCell ref="A47:F47"/>
    <mergeCell ref="A41:F41"/>
    <mergeCell ref="H11:N11"/>
    <mergeCell ref="H17:N17"/>
    <mergeCell ref="H23:N23"/>
    <mergeCell ref="H29:N29"/>
    <mergeCell ref="A67:E67"/>
    <mergeCell ref="A62:E62"/>
    <mergeCell ref="A65:E66"/>
    <mergeCell ref="A17:F17"/>
  </mergeCells>
  <pageMargins left="0.39" right="0.43" top="0.75" bottom="0.75" header="0.3" footer="0.3"/>
  <pageSetup orientation="portrait" r:id="rId1"/>
  <ignoredErrors>
    <ignoredError sqref="H36:H3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89"/>
  <sheetViews>
    <sheetView showGridLines="0" zoomScaleNormal="100" workbookViewId="0">
      <pane xSplit="2" ySplit="3" topLeftCell="C4" activePane="bottomRight" state="frozen"/>
      <selection activeCell="J27" sqref="J27"/>
      <selection pane="topRight" activeCell="J27" sqref="J27"/>
      <selection pane="bottomLeft" activeCell="J27" sqref="J27"/>
      <selection pane="bottomRight" activeCell="D23" sqref="D23"/>
    </sheetView>
  </sheetViews>
  <sheetFormatPr defaultColWidth="8.5546875" defaultRowHeight="13.2"/>
  <cols>
    <col min="1" max="1" width="8.5546875" style="276" customWidth="1"/>
    <col min="2" max="2" width="5.5546875" style="277" bestFit="1" customWidth="1"/>
    <col min="3" max="3" width="9" style="277" bestFit="1" customWidth="1"/>
    <col min="4" max="4" width="11.109375" style="261" bestFit="1" customWidth="1"/>
    <col min="5" max="5" width="10.33203125" style="261" customWidth="1"/>
    <col min="6" max="6" width="16.44140625" style="261" bestFit="1" customWidth="1"/>
    <col min="7" max="7" width="14.44140625" style="261" bestFit="1" customWidth="1"/>
    <col min="8" max="8" width="10.5546875" style="261" bestFit="1" customWidth="1"/>
    <col min="9" max="9" width="10.109375" style="261" customWidth="1"/>
    <col min="10" max="10" width="15.44140625" style="261" customWidth="1"/>
    <col min="11" max="11" width="17" style="261" customWidth="1"/>
    <col min="12" max="12" width="11.5546875" style="261" customWidth="1"/>
    <col min="13" max="13" width="10.33203125" style="261" bestFit="1" customWidth="1"/>
    <col min="14" max="14" width="11.5546875" style="261" customWidth="1"/>
    <col min="15" max="15" width="10.33203125" style="261" bestFit="1" customWidth="1"/>
    <col min="16" max="16" width="11.5546875" style="261" customWidth="1"/>
    <col min="17" max="17" width="10.33203125" style="261" bestFit="1" customWidth="1"/>
    <col min="18" max="18" width="10.109375" style="260" bestFit="1" customWidth="1"/>
    <col min="19" max="19" width="15.33203125" style="260" bestFit="1" customWidth="1"/>
    <col min="20" max="20" width="16.44140625" style="260" bestFit="1" customWidth="1"/>
    <col min="21" max="16384" width="8.5546875" style="260"/>
  </cols>
  <sheetData>
    <row r="1" spans="1:20">
      <c r="A1" s="259" t="str">
        <f>'Allocation Summary'!A1</f>
        <v>State Colleges Basis for Legislative Appropriations - 2024-2025</v>
      </c>
      <c r="B1" s="260"/>
      <c r="C1" s="260"/>
    </row>
    <row r="2" spans="1:20" ht="13.8" thickBot="1">
      <c r="A2" s="262" t="s">
        <v>235</v>
      </c>
      <c r="B2" s="260"/>
      <c r="C2" s="260"/>
    </row>
    <row r="3" spans="1:20" ht="53.4" thickBot="1">
      <c r="A3" s="263" t="s">
        <v>2</v>
      </c>
      <c r="B3" s="264" t="s">
        <v>4</v>
      </c>
      <c r="C3" s="264" t="s">
        <v>5</v>
      </c>
      <c r="D3" s="264" t="s">
        <v>6</v>
      </c>
      <c r="E3" s="264" t="s">
        <v>7</v>
      </c>
      <c r="F3" s="264" t="s">
        <v>8</v>
      </c>
      <c r="G3" s="264" t="s">
        <v>9</v>
      </c>
      <c r="H3" s="264" t="s">
        <v>10</v>
      </c>
      <c r="I3" s="264" t="s">
        <v>11</v>
      </c>
      <c r="J3" s="264" t="s">
        <v>12</v>
      </c>
      <c r="K3" s="264" t="s">
        <v>13</v>
      </c>
      <c r="L3" s="264" t="s">
        <v>6</v>
      </c>
      <c r="M3" s="264" t="s">
        <v>10</v>
      </c>
      <c r="N3" s="264" t="s">
        <v>14</v>
      </c>
      <c r="O3" s="264" t="s">
        <v>15</v>
      </c>
      <c r="P3" s="264" t="s">
        <v>16</v>
      </c>
      <c r="Q3" s="264" t="s">
        <v>17</v>
      </c>
      <c r="R3" s="264" t="s">
        <v>93</v>
      </c>
      <c r="S3" s="264" t="s">
        <v>94</v>
      </c>
      <c r="T3" s="265" t="s">
        <v>92</v>
      </c>
    </row>
    <row r="4" spans="1:20">
      <c r="A4" s="266">
        <v>36273</v>
      </c>
      <c r="B4" s="267">
        <v>1</v>
      </c>
      <c r="C4" s="268">
        <f>'Cost Study'!G6</f>
        <v>13.768078988703003</v>
      </c>
      <c r="D4" s="269">
        <f>SUMIFS('Contact Hours DM'!D:D,'Contact Hours DM'!$A:$A,$A4,'Contact Hours DM'!$B:$B,$B4)</f>
        <v>0</v>
      </c>
      <c r="E4" s="269">
        <f>SUMIFS('Contact Hours DM'!E:E,'Contact Hours DM'!$A:$A,$A4,'Contact Hours DM'!$B:$B,$B4)</f>
        <v>0</v>
      </c>
      <c r="F4" s="269">
        <f>SUMIFS('Contact Hours DM'!G:G,'Contact Hours DM'!$A:$A,$A4,'Contact Hours DM'!$B:$B,$B4)</f>
        <v>0</v>
      </c>
      <c r="G4" s="269">
        <f>SUMIFS('Contact Hours DM'!F:F,'Contact Hours DM'!$A:$A,$A4,'Contact Hours DM'!$B:$B,$B4)</f>
        <v>0</v>
      </c>
      <c r="H4" s="269">
        <f>SUMIFS('Contact Hours DM'!H:H,'Contact Hours DM'!$A:$A,$A4,'Contact Hours DM'!$B:$B,$B4)</f>
        <v>0</v>
      </c>
      <c r="I4" s="269">
        <f>SUMIFS('Contact Hours DM'!I:I,'Contact Hours DM'!$A:$A,$A4,'Contact Hours DM'!$B:$B,$B4)</f>
        <v>0</v>
      </c>
      <c r="J4" s="269">
        <f>SUMIFS('Contact Hours DM'!J:J,'Contact Hours DM'!$A:$A,$A4,'Contact Hours DM'!$B:$B,$B4)</f>
        <v>416</v>
      </c>
      <c r="K4" s="269">
        <f>SUMIFS('Contact Hours DM'!K:K,'Contact Hours DM'!$A:$A,$A4,'Contact Hours DM'!$B:$B,$B4)</f>
        <v>0</v>
      </c>
      <c r="L4" s="270">
        <f>SUM(D4:G4)</f>
        <v>0</v>
      </c>
      <c r="M4" s="270">
        <f>SUM(H4:K4)</f>
        <v>416</v>
      </c>
      <c r="N4" s="270">
        <f t="shared" ref="N4:N30" si="0">IF(B4&lt;28,E4+F4,0)*0.1</f>
        <v>0</v>
      </c>
      <c r="O4" s="270">
        <f t="shared" ref="O4:O30" si="1">IF(B4&lt;28,I4+K4,0)*0.1</f>
        <v>0</v>
      </c>
      <c r="P4" s="270">
        <f>L4+N4</f>
        <v>0</v>
      </c>
      <c r="Q4" s="270">
        <f>M4+O4</f>
        <v>416</v>
      </c>
      <c r="R4" s="271">
        <f>C4*P4</f>
        <v>0</v>
      </c>
      <c r="S4" s="271">
        <f>C4*Q4</f>
        <v>5727.520859300449</v>
      </c>
      <c r="T4" s="271">
        <f>(G4+F4*1.1)*C4</f>
        <v>0</v>
      </c>
    </row>
    <row r="5" spans="1:20">
      <c r="A5" s="272">
        <v>36273</v>
      </c>
      <c r="B5" s="273">
        <v>2</v>
      </c>
      <c r="C5" s="274">
        <f>'Cost Study'!G7</f>
        <v>15.486576439117758</v>
      </c>
      <c r="D5" s="269">
        <f>SUMIFS('Contact Hours DM'!D:D,'Contact Hours DM'!$A:$A,$A5,'Contact Hours DM'!$B:$B,$B5)</f>
        <v>0</v>
      </c>
      <c r="E5" s="269">
        <f>SUMIFS('Contact Hours DM'!E:E,'Contact Hours DM'!$A:$A,$A5,'Contact Hours DM'!$B:$B,$B5)</f>
        <v>0</v>
      </c>
      <c r="F5" s="269">
        <f>SUMIFS('Contact Hours DM'!G:G,'Contact Hours DM'!$A:$A,$A5,'Contact Hours DM'!$B:$B,$B5)</f>
        <v>0</v>
      </c>
      <c r="G5" s="269">
        <f>SUMIFS('Contact Hours DM'!F:F,'Contact Hours DM'!$A:$A,$A5,'Contact Hours DM'!$B:$B,$B5)</f>
        <v>0</v>
      </c>
      <c r="H5" s="269">
        <f>SUMIFS('Contact Hours DM'!H:H,'Contact Hours DM'!$A:$A,$A5,'Contact Hours DM'!$B:$B,$B5)</f>
        <v>117520</v>
      </c>
      <c r="I5" s="269">
        <f>SUMIFS('Contact Hours DM'!I:I,'Contact Hours DM'!$A:$A,$A5,'Contact Hours DM'!$B:$B,$B5)</f>
        <v>0</v>
      </c>
      <c r="J5" s="269">
        <f>SUMIFS('Contact Hours DM'!J:J,'Contact Hours DM'!$A:$A,$A5,'Contact Hours DM'!$B:$B,$B5)</f>
        <v>400</v>
      </c>
      <c r="K5" s="269">
        <f>SUMIFS('Contact Hours DM'!K:K,'Contact Hours DM'!$A:$A,$A5,'Contact Hours DM'!$B:$B,$B5)</f>
        <v>0</v>
      </c>
      <c r="L5" s="275">
        <f t="shared" ref="L5:L58" si="2">SUM(D5:G5)</f>
        <v>0</v>
      </c>
      <c r="M5" s="275">
        <f t="shared" ref="M5:M58" si="3">SUM(H5:K5)</f>
        <v>117920</v>
      </c>
      <c r="N5" s="275">
        <f t="shared" si="0"/>
        <v>0</v>
      </c>
      <c r="O5" s="275">
        <f t="shared" si="1"/>
        <v>0</v>
      </c>
      <c r="P5" s="275">
        <f t="shared" ref="P5:P58" si="4">L5+N5</f>
        <v>0</v>
      </c>
      <c r="Q5" s="275">
        <f t="shared" ref="Q5:Q58" si="5">M5+O5</f>
        <v>117920</v>
      </c>
      <c r="R5" s="275">
        <f t="shared" ref="R5:R58" si="6">C5*P5</f>
        <v>0</v>
      </c>
      <c r="S5" s="275">
        <f t="shared" ref="S5:S58" si="7">C5*Q5</f>
        <v>1826177.0937007661</v>
      </c>
      <c r="T5" s="275">
        <f t="shared" ref="T5:T58" si="8">(G5+F5*1.1)*C5</f>
        <v>0</v>
      </c>
    </row>
    <row r="6" spans="1:20">
      <c r="A6" s="272">
        <v>36273</v>
      </c>
      <c r="B6" s="273">
        <v>3</v>
      </c>
      <c r="C6" s="274">
        <f>'Cost Study'!G8</f>
        <v>13.597234212930777</v>
      </c>
      <c r="D6" s="269">
        <f>SUMIFS('Contact Hours DM'!D:D,'Contact Hours DM'!$A:$A,$A6,'Contact Hours DM'!$B:$B,$B6)</f>
        <v>0</v>
      </c>
      <c r="E6" s="269">
        <f>SUMIFS('Contact Hours DM'!E:E,'Contact Hours DM'!$A:$A,$A6,'Contact Hours DM'!$B:$B,$B6)</f>
        <v>133568</v>
      </c>
      <c r="F6" s="269">
        <f>SUMIFS('Contact Hours DM'!G:G,'Contact Hours DM'!$A:$A,$A6,'Contact Hours DM'!$B:$B,$B6)</f>
        <v>0</v>
      </c>
      <c r="G6" s="269">
        <f>SUMIFS('Contact Hours DM'!F:F,'Contact Hours DM'!$A:$A,$A6,'Contact Hours DM'!$B:$B,$B6)</f>
        <v>0</v>
      </c>
      <c r="H6" s="269">
        <f>SUMIFS('Contact Hours DM'!H:H,'Contact Hours DM'!$A:$A,$A6,'Contact Hours DM'!$B:$B,$B6)</f>
        <v>118800</v>
      </c>
      <c r="I6" s="269">
        <f>SUMIFS('Contact Hours DM'!I:I,'Contact Hours DM'!$A:$A,$A6,'Contact Hours DM'!$B:$B,$B6)</f>
        <v>11440</v>
      </c>
      <c r="J6" s="269">
        <f>SUMIFS('Contact Hours DM'!J:J,'Contact Hours DM'!$A:$A,$A6,'Contact Hours DM'!$B:$B,$B6)</f>
        <v>520</v>
      </c>
      <c r="K6" s="269">
        <f>SUMIFS('Contact Hours DM'!K:K,'Contact Hours DM'!$A:$A,$A6,'Contact Hours DM'!$B:$B,$B6)</f>
        <v>0</v>
      </c>
      <c r="L6" s="275">
        <f t="shared" si="2"/>
        <v>133568</v>
      </c>
      <c r="M6" s="275">
        <f t="shared" si="3"/>
        <v>130760</v>
      </c>
      <c r="N6" s="275">
        <f t="shared" si="0"/>
        <v>13356.800000000001</v>
      </c>
      <c r="O6" s="275">
        <f t="shared" si="1"/>
        <v>1144</v>
      </c>
      <c r="P6" s="275">
        <f t="shared" si="4"/>
        <v>146924.79999999999</v>
      </c>
      <c r="Q6" s="275">
        <f t="shared" si="5"/>
        <v>131904</v>
      </c>
      <c r="R6" s="275">
        <f t="shared" si="6"/>
        <v>1997770.9172880116</v>
      </c>
      <c r="S6" s="275">
        <f t="shared" si="7"/>
        <v>1793529.5816224213</v>
      </c>
      <c r="T6" s="275">
        <f t="shared" si="8"/>
        <v>0</v>
      </c>
    </row>
    <row r="7" spans="1:20">
      <c r="A7" s="272">
        <v>36273</v>
      </c>
      <c r="B7" s="273">
        <v>4</v>
      </c>
      <c r="C7" s="274">
        <f>'Cost Study'!G9</f>
        <v>12.783209104839578</v>
      </c>
      <c r="D7" s="269">
        <f>SUMIFS('Contact Hours DM'!D:D,'Contact Hours DM'!$A:$A,$A7,'Contact Hours DM'!$B:$B,$B7)</f>
        <v>15984</v>
      </c>
      <c r="E7" s="269">
        <f>SUMIFS('Contact Hours DM'!E:E,'Contact Hours DM'!$A:$A,$A7,'Contact Hours DM'!$B:$B,$B7)</f>
        <v>18096</v>
      </c>
      <c r="F7" s="269">
        <f>SUMIFS('Contact Hours DM'!G:G,'Contact Hours DM'!$A:$A,$A7,'Contact Hours DM'!$B:$B,$B7)</f>
        <v>0</v>
      </c>
      <c r="G7" s="269">
        <f>SUMIFS('Contact Hours DM'!F:F,'Contact Hours DM'!$A:$A,$A7,'Contact Hours DM'!$B:$B,$B7)</f>
        <v>0</v>
      </c>
      <c r="H7" s="269">
        <f>SUMIFS('Contact Hours DM'!H:H,'Contact Hours DM'!$A:$A,$A7,'Contact Hours DM'!$B:$B,$B7)</f>
        <v>45296</v>
      </c>
      <c r="I7" s="269">
        <f>SUMIFS('Contact Hours DM'!I:I,'Contact Hours DM'!$A:$A,$A7,'Contact Hours DM'!$B:$B,$B7)</f>
        <v>65392</v>
      </c>
      <c r="J7" s="269">
        <f>SUMIFS('Contact Hours DM'!J:J,'Contact Hours DM'!$A:$A,$A7,'Contact Hours DM'!$B:$B,$B7)</f>
        <v>917</v>
      </c>
      <c r="K7" s="269">
        <f>SUMIFS('Contact Hours DM'!K:K,'Contact Hours DM'!$A:$A,$A7,'Contact Hours DM'!$B:$B,$B7)</f>
        <v>0</v>
      </c>
      <c r="L7" s="275">
        <f t="shared" si="2"/>
        <v>34080</v>
      </c>
      <c r="M7" s="275">
        <f t="shared" si="3"/>
        <v>111605</v>
      </c>
      <c r="N7" s="275">
        <f t="shared" si="0"/>
        <v>1809.6000000000001</v>
      </c>
      <c r="O7" s="275">
        <f t="shared" si="1"/>
        <v>6539.2000000000007</v>
      </c>
      <c r="P7" s="275">
        <f t="shared" si="4"/>
        <v>35889.599999999999</v>
      </c>
      <c r="Q7" s="275">
        <f t="shared" si="5"/>
        <v>118144.2</v>
      </c>
      <c r="R7" s="275">
        <f t="shared" si="6"/>
        <v>458784.26148905052</v>
      </c>
      <c r="S7" s="275">
        <f t="shared" si="7"/>
        <v>1510262.0131239879</v>
      </c>
      <c r="T7" s="275">
        <f t="shared" si="8"/>
        <v>0</v>
      </c>
    </row>
    <row r="8" spans="1:20">
      <c r="A8" s="272">
        <v>36273</v>
      </c>
      <c r="B8" s="273">
        <v>5</v>
      </c>
      <c r="C8" s="274">
        <f>'Cost Study'!G10</f>
        <v>43.414672431530647</v>
      </c>
      <c r="D8" s="269">
        <f>SUMIFS('Contact Hours DM'!D:D,'Contact Hours DM'!$A:$A,$A8,'Contact Hours DM'!$B:$B,$B8)</f>
        <v>0</v>
      </c>
      <c r="E8" s="269">
        <f>SUMIFS('Contact Hours DM'!E:E,'Contact Hours DM'!$A:$A,$A8,'Contact Hours DM'!$B:$B,$B8)</f>
        <v>0</v>
      </c>
      <c r="F8" s="269">
        <f>SUMIFS('Contact Hours DM'!G:G,'Contact Hours DM'!$A:$A,$A8,'Contact Hours DM'!$B:$B,$B8)</f>
        <v>0</v>
      </c>
      <c r="G8" s="269">
        <f>SUMIFS('Contact Hours DM'!F:F,'Contact Hours DM'!$A:$A,$A8,'Contact Hours DM'!$B:$B,$B8)</f>
        <v>0</v>
      </c>
      <c r="H8" s="269">
        <f>SUMIFS('Contact Hours DM'!H:H,'Contact Hours DM'!$A:$A,$A8,'Contact Hours DM'!$B:$B,$B8)</f>
        <v>0</v>
      </c>
      <c r="I8" s="269">
        <f>SUMIFS('Contact Hours DM'!I:I,'Contact Hours DM'!$A:$A,$A8,'Contact Hours DM'!$B:$B,$B8)</f>
        <v>0</v>
      </c>
      <c r="J8" s="269">
        <f>SUMIFS('Contact Hours DM'!J:J,'Contact Hours DM'!$A:$A,$A8,'Contact Hours DM'!$B:$B,$B8)</f>
        <v>0</v>
      </c>
      <c r="K8" s="269">
        <f>SUMIFS('Contact Hours DM'!K:K,'Contact Hours DM'!$A:$A,$A8,'Contact Hours DM'!$B:$B,$B8)</f>
        <v>0</v>
      </c>
      <c r="L8" s="275">
        <f t="shared" si="2"/>
        <v>0</v>
      </c>
      <c r="M8" s="275">
        <f t="shared" si="3"/>
        <v>0</v>
      </c>
      <c r="N8" s="275">
        <f t="shared" si="0"/>
        <v>0</v>
      </c>
      <c r="O8" s="275">
        <f t="shared" si="1"/>
        <v>0</v>
      </c>
      <c r="P8" s="275">
        <f t="shared" si="4"/>
        <v>0</v>
      </c>
      <c r="Q8" s="275">
        <f t="shared" si="5"/>
        <v>0</v>
      </c>
      <c r="R8" s="275">
        <f t="shared" si="6"/>
        <v>0</v>
      </c>
      <c r="S8" s="275">
        <f t="shared" si="7"/>
        <v>0</v>
      </c>
      <c r="T8" s="275">
        <f t="shared" si="8"/>
        <v>0</v>
      </c>
    </row>
    <row r="9" spans="1:20">
      <c r="A9" s="272">
        <v>36273</v>
      </c>
      <c r="B9" s="273">
        <v>6</v>
      </c>
      <c r="C9" s="274">
        <f>'Cost Study'!G11</f>
        <v>12.079730616365701</v>
      </c>
      <c r="D9" s="269">
        <f>SUMIFS('Contact Hours DM'!D:D,'Contact Hours DM'!$A:$A,$A9,'Contact Hours DM'!$B:$B,$B9)</f>
        <v>42816</v>
      </c>
      <c r="E9" s="269">
        <f>SUMIFS('Contact Hours DM'!E:E,'Contact Hours DM'!$A:$A,$A9,'Contact Hours DM'!$B:$B,$B9)</f>
        <v>0</v>
      </c>
      <c r="F9" s="269">
        <f>SUMIFS('Contact Hours DM'!G:G,'Contact Hours DM'!$A:$A,$A9,'Contact Hours DM'!$B:$B,$B9)</f>
        <v>0</v>
      </c>
      <c r="G9" s="269">
        <f>SUMIFS('Contact Hours DM'!F:F,'Contact Hours DM'!$A:$A,$A9,'Contact Hours DM'!$B:$B,$B9)</f>
        <v>0</v>
      </c>
      <c r="H9" s="269">
        <f>SUMIFS('Contact Hours DM'!H:H,'Contact Hours DM'!$A:$A,$A9,'Contact Hours DM'!$B:$B,$B9)</f>
        <v>1728</v>
      </c>
      <c r="I9" s="269">
        <f>SUMIFS('Contact Hours DM'!I:I,'Contact Hours DM'!$A:$A,$A9,'Contact Hours DM'!$B:$B,$B9)</f>
        <v>0</v>
      </c>
      <c r="J9" s="269">
        <f>SUMIFS('Contact Hours DM'!J:J,'Contact Hours DM'!$A:$A,$A9,'Contact Hours DM'!$B:$B,$B9)</f>
        <v>0</v>
      </c>
      <c r="K9" s="269">
        <f>SUMIFS('Contact Hours DM'!K:K,'Contact Hours DM'!$A:$A,$A9,'Contact Hours DM'!$B:$B,$B9)</f>
        <v>0</v>
      </c>
      <c r="L9" s="275">
        <f t="shared" si="2"/>
        <v>42816</v>
      </c>
      <c r="M9" s="275">
        <f t="shared" si="3"/>
        <v>1728</v>
      </c>
      <c r="N9" s="275">
        <f t="shared" si="0"/>
        <v>0</v>
      </c>
      <c r="O9" s="275">
        <f t="shared" si="1"/>
        <v>0</v>
      </c>
      <c r="P9" s="275">
        <f t="shared" si="4"/>
        <v>42816</v>
      </c>
      <c r="Q9" s="275">
        <f t="shared" si="5"/>
        <v>1728</v>
      </c>
      <c r="R9" s="275">
        <f t="shared" si="6"/>
        <v>517205.74607031385</v>
      </c>
      <c r="S9" s="275">
        <f t="shared" si="7"/>
        <v>20873.774505079931</v>
      </c>
      <c r="T9" s="275">
        <f t="shared" si="8"/>
        <v>0</v>
      </c>
    </row>
    <row r="10" spans="1:20">
      <c r="A10" s="272">
        <v>36273</v>
      </c>
      <c r="B10" s="273">
        <v>7</v>
      </c>
      <c r="C10" s="274">
        <f>'Cost Study'!G12</f>
        <v>16.4613966302887</v>
      </c>
      <c r="D10" s="269">
        <f>SUMIFS('Contact Hours DM'!D:D,'Contact Hours DM'!$A:$A,$A10,'Contact Hours DM'!$B:$B,$B10)</f>
        <v>0</v>
      </c>
      <c r="E10" s="269">
        <f>SUMIFS('Contact Hours DM'!E:E,'Contact Hours DM'!$A:$A,$A10,'Contact Hours DM'!$B:$B,$B10)</f>
        <v>0</v>
      </c>
      <c r="F10" s="269">
        <f>SUMIFS('Contact Hours DM'!G:G,'Contact Hours DM'!$A:$A,$A10,'Contact Hours DM'!$B:$B,$B10)</f>
        <v>0</v>
      </c>
      <c r="G10" s="269">
        <f>SUMIFS('Contact Hours DM'!F:F,'Contact Hours DM'!$A:$A,$A10,'Contact Hours DM'!$B:$B,$B10)</f>
        <v>0</v>
      </c>
      <c r="H10" s="269">
        <f>SUMIFS('Contact Hours DM'!H:H,'Contact Hours DM'!$A:$A,$A10,'Contact Hours DM'!$B:$B,$B10)</f>
        <v>0</v>
      </c>
      <c r="I10" s="269">
        <f>SUMIFS('Contact Hours DM'!I:I,'Contact Hours DM'!$A:$A,$A10,'Contact Hours DM'!$B:$B,$B10)</f>
        <v>38560</v>
      </c>
      <c r="J10" s="269">
        <f>SUMIFS('Contact Hours DM'!J:J,'Contact Hours DM'!$A:$A,$A10,'Contact Hours DM'!$B:$B,$B10)</f>
        <v>0</v>
      </c>
      <c r="K10" s="269">
        <f>SUMIFS('Contact Hours DM'!K:K,'Contact Hours DM'!$A:$A,$A10,'Contact Hours DM'!$B:$B,$B10)</f>
        <v>0</v>
      </c>
      <c r="L10" s="275">
        <f t="shared" si="2"/>
        <v>0</v>
      </c>
      <c r="M10" s="275">
        <f t="shared" si="3"/>
        <v>38560</v>
      </c>
      <c r="N10" s="275">
        <f t="shared" si="0"/>
        <v>0</v>
      </c>
      <c r="O10" s="275">
        <f t="shared" si="1"/>
        <v>3856</v>
      </c>
      <c r="P10" s="275">
        <f t="shared" si="4"/>
        <v>0</v>
      </c>
      <c r="Q10" s="275">
        <f t="shared" si="5"/>
        <v>42416</v>
      </c>
      <c r="R10" s="275">
        <f t="shared" si="6"/>
        <v>0</v>
      </c>
      <c r="S10" s="275">
        <f t="shared" si="7"/>
        <v>698226.59947032551</v>
      </c>
      <c r="T10" s="275">
        <f t="shared" si="8"/>
        <v>0</v>
      </c>
    </row>
    <row r="11" spans="1:20">
      <c r="A11" s="272">
        <v>36273</v>
      </c>
      <c r="B11" s="273">
        <v>8</v>
      </c>
      <c r="C11" s="274">
        <f>'Cost Study'!G13</f>
        <v>16.702589254908318</v>
      </c>
      <c r="D11" s="269">
        <f>SUMIFS('Contact Hours DM'!D:D,'Contact Hours DM'!$A:$A,$A11,'Contact Hours DM'!$B:$B,$B11)</f>
        <v>0</v>
      </c>
      <c r="E11" s="269">
        <f>SUMIFS('Contact Hours DM'!E:E,'Contact Hours DM'!$A:$A,$A11,'Contact Hours DM'!$B:$B,$B11)</f>
        <v>0</v>
      </c>
      <c r="F11" s="269">
        <f>SUMIFS('Contact Hours DM'!G:G,'Contact Hours DM'!$A:$A,$A11,'Contact Hours DM'!$B:$B,$B11)</f>
        <v>0</v>
      </c>
      <c r="G11" s="269">
        <f>SUMIFS('Contact Hours DM'!F:F,'Contact Hours DM'!$A:$A,$A11,'Contact Hours DM'!$B:$B,$B11)</f>
        <v>0</v>
      </c>
      <c r="H11" s="269">
        <f>SUMIFS('Contact Hours DM'!H:H,'Contact Hours DM'!$A:$A,$A11,'Contact Hours DM'!$B:$B,$B11)</f>
        <v>44864</v>
      </c>
      <c r="I11" s="269">
        <f>SUMIFS('Contact Hours DM'!I:I,'Contact Hours DM'!$A:$A,$A11,'Contact Hours DM'!$B:$B,$B11)</f>
        <v>0</v>
      </c>
      <c r="J11" s="269">
        <f>SUMIFS('Contact Hours DM'!J:J,'Contact Hours DM'!$A:$A,$A11,'Contact Hours DM'!$B:$B,$B11)</f>
        <v>1096</v>
      </c>
      <c r="K11" s="269">
        <f>SUMIFS('Contact Hours DM'!K:K,'Contact Hours DM'!$A:$A,$A11,'Contact Hours DM'!$B:$B,$B11)</f>
        <v>0</v>
      </c>
      <c r="L11" s="275">
        <f t="shared" si="2"/>
        <v>0</v>
      </c>
      <c r="M11" s="275">
        <f t="shared" si="3"/>
        <v>45960</v>
      </c>
      <c r="N11" s="275">
        <f t="shared" si="0"/>
        <v>0</v>
      </c>
      <c r="O11" s="275">
        <f t="shared" si="1"/>
        <v>0</v>
      </c>
      <c r="P11" s="275">
        <f t="shared" si="4"/>
        <v>0</v>
      </c>
      <c r="Q11" s="275">
        <f t="shared" si="5"/>
        <v>45960</v>
      </c>
      <c r="R11" s="275">
        <f t="shared" si="6"/>
        <v>0</v>
      </c>
      <c r="S11" s="275">
        <f t="shared" si="7"/>
        <v>767651.00215558626</v>
      </c>
      <c r="T11" s="275">
        <f t="shared" si="8"/>
        <v>0</v>
      </c>
    </row>
    <row r="12" spans="1:20">
      <c r="A12" s="272">
        <v>36273</v>
      </c>
      <c r="B12" s="273">
        <v>9</v>
      </c>
      <c r="C12" s="274">
        <f>'Cost Study'!G14</f>
        <v>15.657421214889986</v>
      </c>
      <c r="D12" s="269">
        <f>SUMIFS('Contact Hours DM'!D:D,'Contact Hours DM'!$A:$A,$A12,'Contact Hours DM'!$B:$B,$B12)</f>
        <v>3264</v>
      </c>
      <c r="E12" s="269">
        <f>SUMIFS('Contact Hours DM'!E:E,'Contact Hours DM'!$A:$A,$A12,'Contact Hours DM'!$B:$B,$B12)</f>
        <v>4896</v>
      </c>
      <c r="F12" s="269">
        <f>SUMIFS('Contact Hours DM'!G:G,'Contact Hours DM'!$A:$A,$A12,'Contact Hours DM'!$B:$B,$B12)</f>
        <v>0</v>
      </c>
      <c r="G12" s="269">
        <f>SUMIFS('Contact Hours DM'!F:F,'Contact Hours DM'!$A:$A,$A12,'Contact Hours DM'!$B:$B,$B12)</f>
        <v>0</v>
      </c>
      <c r="H12" s="269">
        <f>SUMIFS('Contact Hours DM'!H:H,'Contact Hours DM'!$A:$A,$A12,'Contact Hours DM'!$B:$B,$B12)</f>
        <v>77008</v>
      </c>
      <c r="I12" s="269">
        <f>SUMIFS('Contact Hours DM'!I:I,'Contact Hours DM'!$A:$A,$A12,'Contact Hours DM'!$B:$B,$B12)</f>
        <v>0</v>
      </c>
      <c r="J12" s="269">
        <f>SUMIFS('Contact Hours DM'!J:J,'Contact Hours DM'!$A:$A,$A12,'Contact Hours DM'!$B:$B,$B12)</f>
        <v>560</v>
      </c>
      <c r="K12" s="269">
        <f>SUMIFS('Contact Hours DM'!K:K,'Contact Hours DM'!$A:$A,$A12,'Contact Hours DM'!$B:$B,$B12)</f>
        <v>3840</v>
      </c>
      <c r="L12" s="275">
        <f t="shared" si="2"/>
        <v>8160</v>
      </c>
      <c r="M12" s="275">
        <f t="shared" si="3"/>
        <v>81408</v>
      </c>
      <c r="N12" s="275">
        <f t="shared" si="0"/>
        <v>489.6</v>
      </c>
      <c r="O12" s="275">
        <f t="shared" si="1"/>
        <v>384</v>
      </c>
      <c r="P12" s="275">
        <f t="shared" si="4"/>
        <v>8649.6</v>
      </c>
      <c r="Q12" s="275">
        <f t="shared" si="5"/>
        <v>81792</v>
      </c>
      <c r="R12" s="275">
        <f t="shared" si="6"/>
        <v>135430.43054031243</v>
      </c>
      <c r="S12" s="275">
        <f t="shared" si="7"/>
        <v>1280651.7960082816</v>
      </c>
      <c r="T12" s="275">
        <f t="shared" si="8"/>
        <v>0</v>
      </c>
    </row>
    <row r="13" spans="1:20">
      <c r="A13" s="272">
        <v>36273</v>
      </c>
      <c r="B13" s="273">
        <v>10</v>
      </c>
      <c r="C13" s="274">
        <f>'Cost Study'!G15</f>
        <v>21.636988366917933</v>
      </c>
      <c r="D13" s="269">
        <f>SUMIFS('Contact Hours DM'!D:D,'Contact Hours DM'!$A:$A,$A13,'Contact Hours DM'!$B:$B,$B13)</f>
        <v>0</v>
      </c>
      <c r="E13" s="269">
        <f>SUMIFS('Contact Hours DM'!E:E,'Contact Hours DM'!$A:$A,$A13,'Contact Hours DM'!$B:$B,$B13)</f>
        <v>0</v>
      </c>
      <c r="F13" s="269">
        <f>SUMIFS('Contact Hours DM'!G:G,'Contact Hours DM'!$A:$A,$A13,'Contact Hours DM'!$B:$B,$B13)</f>
        <v>0</v>
      </c>
      <c r="G13" s="269">
        <f>SUMIFS('Contact Hours DM'!F:F,'Contact Hours DM'!$A:$A,$A13,'Contact Hours DM'!$B:$B,$B13)</f>
        <v>0</v>
      </c>
      <c r="H13" s="269">
        <f>SUMIFS('Contact Hours DM'!H:H,'Contact Hours DM'!$A:$A,$A13,'Contact Hours DM'!$B:$B,$B13)</f>
        <v>0</v>
      </c>
      <c r="I13" s="269">
        <f>SUMIFS('Contact Hours DM'!I:I,'Contact Hours DM'!$A:$A,$A13,'Contact Hours DM'!$B:$B,$B13)</f>
        <v>0</v>
      </c>
      <c r="J13" s="269">
        <f>SUMIFS('Contact Hours DM'!J:J,'Contact Hours DM'!$A:$A,$A13,'Contact Hours DM'!$B:$B,$B13)</f>
        <v>0</v>
      </c>
      <c r="K13" s="269">
        <f>SUMIFS('Contact Hours DM'!K:K,'Contact Hours DM'!$A:$A,$A13,'Contact Hours DM'!$B:$B,$B13)</f>
        <v>0</v>
      </c>
      <c r="L13" s="275">
        <f t="shared" si="2"/>
        <v>0</v>
      </c>
      <c r="M13" s="275">
        <f t="shared" si="3"/>
        <v>0</v>
      </c>
      <c r="N13" s="275">
        <f t="shared" si="0"/>
        <v>0</v>
      </c>
      <c r="O13" s="275">
        <f t="shared" si="1"/>
        <v>0</v>
      </c>
      <c r="P13" s="275">
        <f t="shared" si="4"/>
        <v>0</v>
      </c>
      <c r="Q13" s="275">
        <f t="shared" si="5"/>
        <v>0</v>
      </c>
      <c r="R13" s="275">
        <f t="shared" si="6"/>
        <v>0</v>
      </c>
      <c r="S13" s="275">
        <f t="shared" si="7"/>
        <v>0</v>
      </c>
      <c r="T13" s="275">
        <f t="shared" si="8"/>
        <v>0</v>
      </c>
    </row>
    <row r="14" spans="1:20">
      <c r="A14" s="272">
        <v>36273</v>
      </c>
      <c r="B14" s="273">
        <v>11</v>
      </c>
      <c r="C14" s="274">
        <f>'Cost Study'!G16</f>
        <v>16.471446322981187</v>
      </c>
      <c r="D14" s="269">
        <f>SUMIFS('Contact Hours DM'!D:D,'Contact Hours DM'!$A:$A,$A14,'Contact Hours DM'!$B:$B,$B14)</f>
        <v>0</v>
      </c>
      <c r="E14" s="269">
        <f>SUMIFS('Contact Hours DM'!E:E,'Contact Hours DM'!$A:$A,$A14,'Contact Hours DM'!$B:$B,$B14)</f>
        <v>0</v>
      </c>
      <c r="F14" s="269">
        <f>SUMIFS('Contact Hours DM'!G:G,'Contact Hours DM'!$A:$A,$A14,'Contact Hours DM'!$B:$B,$B14)</f>
        <v>0</v>
      </c>
      <c r="G14" s="269">
        <f>SUMIFS('Contact Hours DM'!F:F,'Contact Hours DM'!$A:$A,$A14,'Contact Hours DM'!$B:$B,$B14)</f>
        <v>0</v>
      </c>
      <c r="H14" s="269">
        <f>SUMIFS('Contact Hours DM'!H:H,'Contact Hours DM'!$A:$A,$A14,'Contact Hours DM'!$B:$B,$B14)</f>
        <v>0</v>
      </c>
      <c r="I14" s="269">
        <f>SUMIFS('Contact Hours DM'!I:I,'Contact Hours DM'!$A:$A,$A14,'Contact Hours DM'!$B:$B,$B14)</f>
        <v>186384</v>
      </c>
      <c r="J14" s="269">
        <f>SUMIFS('Contact Hours DM'!J:J,'Contact Hours DM'!$A:$A,$A14,'Contact Hours DM'!$B:$B,$B14)</f>
        <v>0</v>
      </c>
      <c r="K14" s="269">
        <f>SUMIFS('Contact Hours DM'!K:K,'Contact Hours DM'!$A:$A,$A14,'Contact Hours DM'!$B:$B,$B14)</f>
        <v>1918</v>
      </c>
      <c r="L14" s="275">
        <f t="shared" si="2"/>
        <v>0</v>
      </c>
      <c r="M14" s="275">
        <f t="shared" si="3"/>
        <v>188302</v>
      </c>
      <c r="N14" s="275">
        <f t="shared" si="0"/>
        <v>0</v>
      </c>
      <c r="O14" s="275">
        <f t="shared" si="1"/>
        <v>18830.2</v>
      </c>
      <c r="P14" s="275">
        <f t="shared" si="4"/>
        <v>0</v>
      </c>
      <c r="Q14" s="275">
        <f t="shared" si="5"/>
        <v>207132.2</v>
      </c>
      <c r="R14" s="275">
        <f t="shared" si="6"/>
        <v>0</v>
      </c>
      <c r="S14" s="275">
        <f t="shared" si="7"/>
        <v>3411766.9140610038</v>
      </c>
      <c r="T14" s="275">
        <f t="shared" si="8"/>
        <v>0</v>
      </c>
    </row>
    <row r="15" spans="1:20">
      <c r="A15" s="272">
        <v>36273</v>
      </c>
      <c r="B15" s="273">
        <v>12</v>
      </c>
      <c r="C15" s="274">
        <f>'Cost Study'!G17</f>
        <v>15.546874595272664</v>
      </c>
      <c r="D15" s="269">
        <f>SUMIFS('Contact Hours DM'!D:D,'Contact Hours DM'!$A:$A,$A15,'Contact Hours DM'!$B:$B,$B15)</f>
        <v>138400</v>
      </c>
      <c r="E15" s="269">
        <f>SUMIFS('Contact Hours DM'!E:E,'Contact Hours DM'!$A:$A,$A15,'Contact Hours DM'!$B:$B,$B15)</f>
        <v>0</v>
      </c>
      <c r="F15" s="269">
        <f>SUMIFS('Contact Hours DM'!G:G,'Contact Hours DM'!$A:$A,$A15,'Contact Hours DM'!$B:$B,$B15)</f>
        <v>0</v>
      </c>
      <c r="G15" s="269">
        <f>SUMIFS('Contact Hours DM'!F:F,'Contact Hours DM'!$A:$A,$A15,'Contact Hours DM'!$B:$B,$B15)</f>
        <v>28384</v>
      </c>
      <c r="H15" s="269">
        <f>SUMIFS('Contact Hours DM'!H:H,'Contact Hours DM'!$A:$A,$A15,'Contact Hours DM'!$B:$B,$B15)</f>
        <v>0</v>
      </c>
      <c r="I15" s="269">
        <f>SUMIFS('Contact Hours DM'!I:I,'Contact Hours DM'!$A:$A,$A15,'Contact Hours DM'!$B:$B,$B15)</f>
        <v>0</v>
      </c>
      <c r="J15" s="269">
        <f>SUMIFS('Contact Hours DM'!J:J,'Contact Hours DM'!$A:$A,$A15,'Contact Hours DM'!$B:$B,$B15)</f>
        <v>0</v>
      </c>
      <c r="K15" s="269">
        <f>SUMIFS('Contact Hours DM'!K:K,'Contact Hours DM'!$A:$A,$A15,'Contact Hours DM'!$B:$B,$B15)</f>
        <v>0</v>
      </c>
      <c r="L15" s="275">
        <f t="shared" si="2"/>
        <v>166784</v>
      </c>
      <c r="M15" s="275">
        <f t="shared" si="3"/>
        <v>0</v>
      </c>
      <c r="N15" s="275">
        <f t="shared" si="0"/>
        <v>0</v>
      </c>
      <c r="O15" s="275">
        <f t="shared" si="1"/>
        <v>0</v>
      </c>
      <c r="P15" s="275">
        <f t="shared" si="4"/>
        <v>166784</v>
      </c>
      <c r="Q15" s="275">
        <f t="shared" si="5"/>
        <v>0</v>
      </c>
      <c r="R15" s="275">
        <f t="shared" si="6"/>
        <v>2592969.9324979559</v>
      </c>
      <c r="S15" s="275">
        <f t="shared" si="7"/>
        <v>0</v>
      </c>
      <c r="T15" s="275">
        <f t="shared" si="8"/>
        <v>441282.48851221928</v>
      </c>
    </row>
    <row r="16" spans="1:20">
      <c r="A16" s="272">
        <v>36273</v>
      </c>
      <c r="B16" s="273">
        <v>13</v>
      </c>
      <c r="C16" s="274">
        <f>'Cost Study'!G18</f>
        <v>12.8937557244569</v>
      </c>
      <c r="D16" s="269">
        <f>SUMIFS('Contact Hours DM'!D:D,'Contact Hours DM'!$A:$A,$A16,'Contact Hours DM'!$B:$B,$B16)</f>
        <v>528</v>
      </c>
      <c r="E16" s="269">
        <f>SUMIFS('Contact Hours DM'!E:E,'Contact Hours DM'!$A:$A,$A16,'Contact Hours DM'!$B:$B,$B16)</f>
        <v>0</v>
      </c>
      <c r="F16" s="269">
        <f>SUMIFS('Contact Hours DM'!G:G,'Contact Hours DM'!$A:$A,$A16,'Contact Hours DM'!$B:$B,$B16)</f>
        <v>0</v>
      </c>
      <c r="G16" s="269">
        <f>SUMIFS('Contact Hours DM'!F:F,'Contact Hours DM'!$A:$A,$A16,'Contact Hours DM'!$B:$B,$B16)</f>
        <v>0</v>
      </c>
      <c r="H16" s="269">
        <f>SUMIFS('Contact Hours DM'!H:H,'Contact Hours DM'!$A:$A,$A16,'Contact Hours DM'!$B:$B,$B16)</f>
        <v>0</v>
      </c>
      <c r="I16" s="269">
        <f>SUMIFS('Contact Hours DM'!I:I,'Contact Hours DM'!$A:$A,$A16,'Contact Hours DM'!$B:$B,$B16)</f>
        <v>0</v>
      </c>
      <c r="J16" s="269">
        <f>SUMIFS('Contact Hours DM'!J:J,'Contact Hours DM'!$A:$A,$A16,'Contact Hours DM'!$B:$B,$B16)</f>
        <v>0</v>
      </c>
      <c r="K16" s="269">
        <f>SUMIFS('Contact Hours DM'!K:K,'Contact Hours DM'!$A:$A,$A16,'Contact Hours DM'!$B:$B,$B16)</f>
        <v>0</v>
      </c>
      <c r="L16" s="275">
        <f t="shared" si="2"/>
        <v>528</v>
      </c>
      <c r="M16" s="275">
        <f t="shared" si="3"/>
        <v>0</v>
      </c>
      <c r="N16" s="275">
        <f t="shared" si="0"/>
        <v>0</v>
      </c>
      <c r="O16" s="275">
        <f t="shared" si="1"/>
        <v>0</v>
      </c>
      <c r="P16" s="275">
        <f t="shared" si="4"/>
        <v>528</v>
      </c>
      <c r="Q16" s="275">
        <f t="shared" si="5"/>
        <v>0</v>
      </c>
      <c r="R16" s="275">
        <f t="shared" si="6"/>
        <v>6807.9030225132437</v>
      </c>
      <c r="S16" s="275">
        <f t="shared" si="7"/>
        <v>0</v>
      </c>
      <c r="T16" s="275">
        <f t="shared" si="8"/>
        <v>0</v>
      </c>
    </row>
    <row r="17" spans="1:20">
      <c r="A17" s="272">
        <v>36273</v>
      </c>
      <c r="B17" s="273">
        <v>14</v>
      </c>
      <c r="C17" s="274">
        <f>'Cost Study'!G19</f>
        <v>20.672217868439475</v>
      </c>
      <c r="D17" s="269">
        <f>SUMIFS('Contact Hours DM'!D:D,'Contact Hours DM'!$A:$A,$A17,'Contact Hours DM'!$B:$B,$B17)</f>
        <v>0</v>
      </c>
      <c r="E17" s="269">
        <f>SUMIFS('Contact Hours DM'!E:E,'Contact Hours DM'!$A:$A,$A17,'Contact Hours DM'!$B:$B,$B17)</f>
        <v>0</v>
      </c>
      <c r="F17" s="269">
        <f>SUMIFS('Contact Hours DM'!G:G,'Contact Hours DM'!$A:$A,$A17,'Contact Hours DM'!$B:$B,$B17)</f>
        <v>0</v>
      </c>
      <c r="G17" s="269">
        <f>SUMIFS('Contact Hours DM'!F:F,'Contact Hours DM'!$A:$A,$A17,'Contact Hours DM'!$B:$B,$B17)</f>
        <v>0</v>
      </c>
      <c r="H17" s="269">
        <f>SUMIFS('Contact Hours DM'!H:H,'Contact Hours DM'!$A:$A,$A17,'Contact Hours DM'!$B:$B,$B17)</f>
        <v>0</v>
      </c>
      <c r="I17" s="269">
        <f>SUMIFS('Contact Hours DM'!I:I,'Contact Hours DM'!$A:$A,$A17,'Contact Hours DM'!$B:$B,$B17)</f>
        <v>0</v>
      </c>
      <c r="J17" s="269">
        <f>SUMIFS('Contact Hours DM'!J:J,'Contact Hours DM'!$A:$A,$A17,'Contact Hours DM'!$B:$B,$B17)</f>
        <v>0</v>
      </c>
      <c r="K17" s="269">
        <f>SUMIFS('Contact Hours DM'!K:K,'Contact Hours DM'!$A:$A,$A17,'Contact Hours DM'!$B:$B,$B17)</f>
        <v>480</v>
      </c>
      <c r="L17" s="275">
        <f t="shared" si="2"/>
        <v>0</v>
      </c>
      <c r="M17" s="275">
        <f t="shared" si="3"/>
        <v>480</v>
      </c>
      <c r="N17" s="275">
        <f t="shared" si="0"/>
        <v>0</v>
      </c>
      <c r="O17" s="275">
        <f t="shared" si="1"/>
        <v>48</v>
      </c>
      <c r="P17" s="275">
        <f t="shared" si="4"/>
        <v>0</v>
      </c>
      <c r="Q17" s="275">
        <f t="shared" si="5"/>
        <v>528</v>
      </c>
      <c r="R17" s="275">
        <f t="shared" si="6"/>
        <v>0</v>
      </c>
      <c r="S17" s="275">
        <f t="shared" si="7"/>
        <v>10914.931034536043</v>
      </c>
      <c r="T17" s="275">
        <f t="shared" si="8"/>
        <v>0</v>
      </c>
    </row>
    <row r="18" spans="1:20">
      <c r="A18" s="272">
        <v>36273</v>
      </c>
      <c r="B18" s="273">
        <v>15</v>
      </c>
      <c r="C18" s="274">
        <f>'Cost Study'!G20</f>
        <v>29.917935145524702</v>
      </c>
      <c r="D18" s="269">
        <f>SUMIFS('Contact Hours DM'!D:D,'Contact Hours DM'!$A:$A,$A18,'Contact Hours DM'!$B:$B,$B18)</f>
        <v>0</v>
      </c>
      <c r="E18" s="269">
        <f>SUMIFS('Contact Hours DM'!E:E,'Contact Hours DM'!$A:$A,$A18,'Contact Hours DM'!$B:$B,$B18)</f>
        <v>0</v>
      </c>
      <c r="F18" s="269">
        <f>SUMIFS('Contact Hours DM'!G:G,'Contact Hours DM'!$A:$A,$A18,'Contact Hours DM'!$B:$B,$B18)</f>
        <v>0</v>
      </c>
      <c r="G18" s="269">
        <f>SUMIFS('Contact Hours DM'!F:F,'Contact Hours DM'!$A:$A,$A18,'Contact Hours DM'!$B:$B,$B18)</f>
        <v>0</v>
      </c>
      <c r="H18" s="269">
        <f>SUMIFS('Contact Hours DM'!H:H,'Contact Hours DM'!$A:$A,$A18,'Contact Hours DM'!$B:$B,$B18)</f>
        <v>0</v>
      </c>
      <c r="I18" s="269">
        <f>SUMIFS('Contact Hours DM'!I:I,'Contact Hours DM'!$A:$A,$A18,'Contact Hours DM'!$B:$B,$B18)</f>
        <v>33664</v>
      </c>
      <c r="J18" s="269">
        <f>SUMIFS('Contact Hours DM'!J:J,'Contact Hours DM'!$A:$A,$A18,'Contact Hours DM'!$B:$B,$B18)</f>
        <v>0</v>
      </c>
      <c r="K18" s="269">
        <f>SUMIFS('Contact Hours DM'!K:K,'Contact Hours DM'!$A:$A,$A18,'Contact Hours DM'!$B:$B,$B18)</f>
        <v>1715</v>
      </c>
      <c r="L18" s="275">
        <f t="shared" si="2"/>
        <v>0</v>
      </c>
      <c r="M18" s="275">
        <f t="shared" si="3"/>
        <v>35379</v>
      </c>
      <c r="N18" s="275">
        <f t="shared" si="0"/>
        <v>0</v>
      </c>
      <c r="O18" s="275">
        <f t="shared" si="1"/>
        <v>3537.9</v>
      </c>
      <c r="P18" s="275">
        <f t="shared" si="4"/>
        <v>0</v>
      </c>
      <c r="Q18" s="275">
        <f t="shared" si="5"/>
        <v>38916.9</v>
      </c>
      <c r="R18" s="275">
        <f t="shared" si="6"/>
        <v>0</v>
      </c>
      <c r="S18" s="275">
        <f t="shared" si="7"/>
        <v>1164313.2902648703</v>
      </c>
      <c r="T18" s="275">
        <f t="shared" si="8"/>
        <v>0</v>
      </c>
    </row>
    <row r="19" spans="1:20">
      <c r="A19" s="272">
        <v>36273</v>
      </c>
      <c r="B19" s="273">
        <v>16</v>
      </c>
      <c r="C19" s="274">
        <f>'Cost Study'!G21</f>
        <v>18.049248075701165</v>
      </c>
      <c r="D19" s="269">
        <f>SUMIFS('Contact Hours DM'!D:D,'Contact Hours DM'!$A:$A,$A19,'Contact Hours DM'!$B:$B,$B19)</f>
        <v>0</v>
      </c>
      <c r="E19" s="269">
        <f>SUMIFS('Contact Hours DM'!E:E,'Contact Hours DM'!$A:$A,$A19,'Contact Hours DM'!$B:$B,$B19)</f>
        <v>0</v>
      </c>
      <c r="F19" s="269">
        <f>SUMIFS('Contact Hours DM'!G:G,'Contact Hours DM'!$A:$A,$A19,'Contact Hours DM'!$B:$B,$B19)</f>
        <v>0</v>
      </c>
      <c r="G19" s="269">
        <f>SUMIFS('Contact Hours DM'!F:F,'Contact Hours DM'!$A:$A,$A19,'Contact Hours DM'!$B:$B,$B19)</f>
        <v>0</v>
      </c>
      <c r="H19" s="269">
        <f>SUMIFS('Contact Hours DM'!H:H,'Contact Hours DM'!$A:$A,$A19,'Contact Hours DM'!$B:$B,$B19)</f>
        <v>0</v>
      </c>
      <c r="I19" s="269">
        <f>SUMIFS('Contact Hours DM'!I:I,'Contact Hours DM'!$A:$A,$A19,'Contact Hours DM'!$B:$B,$B19)</f>
        <v>165072</v>
      </c>
      <c r="J19" s="269">
        <f>SUMIFS('Contact Hours DM'!J:J,'Contact Hours DM'!$A:$A,$A19,'Contact Hours DM'!$B:$B,$B19)</f>
        <v>0</v>
      </c>
      <c r="K19" s="269">
        <f>SUMIFS('Contact Hours DM'!K:K,'Contact Hours DM'!$A:$A,$A19,'Contact Hours DM'!$B:$B,$B19)</f>
        <v>2187</v>
      </c>
      <c r="L19" s="275">
        <f t="shared" si="2"/>
        <v>0</v>
      </c>
      <c r="M19" s="275">
        <f t="shared" si="3"/>
        <v>167259</v>
      </c>
      <c r="N19" s="275">
        <f t="shared" si="0"/>
        <v>0</v>
      </c>
      <c r="O19" s="275">
        <f t="shared" si="1"/>
        <v>16725.900000000001</v>
      </c>
      <c r="P19" s="275">
        <f t="shared" si="4"/>
        <v>0</v>
      </c>
      <c r="Q19" s="275">
        <f t="shared" si="5"/>
        <v>183984.9</v>
      </c>
      <c r="R19" s="275">
        <f t="shared" si="6"/>
        <v>0</v>
      </c>
      <c r="S19" s="275">
        <f t="shared" si="7"/>
        <v>3320789.1022830713</v>
      </c>
      <c r="T19" s="275">
        <f t="shared" si="8"/>
        <v>0</v>
      </c>
    </row>
    <row r="20" spans="1:20">
      <c r="A20" s="272">
        <v>36273</v>
      </c>
      <c r="B20" s="273">
        <v>17</v>
      </c>
      <c r="C20" s="274">
        <f>'Cost Study'!G22</f>
        <v>21.998777303847355</v>
      </c>
      <c r="D20" s="269">
        <f>SUMIFS('Contact Hours DM'!D:D,'Contact Hours DM'!$A:$A,$A20,'Contact Hours DM'!$B:$B,$B20)</f>
        <v>0</v>
      </c>
      <c r="E20" s="269">
        <f>SUMIFS('Contact Hours DM'!E:E,'Contact Hours DM'!$A:$A,$A20,'Contact Hours DM'!$B:$B,$B20)</f>
        <v>0</v>
      </c>
      <c r="F20" s="269">
        <f>SUMIFS('Contact Hours DM'!G:G,'Contact Hours DM'!$A:$A,$A20,'Contact Hours DM'!$B:$B,$B20)</f>
        <v>0</v>
      </c>
      <c r="G20" s="269">
        <f>SUMIFS('Contact Hours DM'!F:F,'Contact Hours DM'!$A:$A,$A20,'Contact Hours DM'!$B:$B,$B20)</f>
        <v>0</v>
      </c>
      <c r="H20" s="269">
        <f>SUMIFS('Contact Hours DM'!H:H,'Contact Hours DM'!$A:$A,$A20,'Contact Hours DM'!$B:$B,$B20)</f>
        <v>0</v>
      </c>
      <c r="I20" s="269">
        <f>SUMIFS('Contact Hours DM'!I:I,'Contact Hours DM'!$A:$A,$A20,'Contact Hours DM'!$B:$B,$B20)</f>
        <v>50512</v>
      </c>
      <c r="J20" s="269">
        <f>SUMIFS('Contact Hours DM'!J:J,'Contact Hours DM'!$A:$A,$A20,'Contact Hours DM'!$B:$B,$B20)</f>
        <v>0</v>
      </c>
      <c r="K20" s="269">
        <f>SUMIFS('Contact Hours DM'!K:K,'Contact Hours DM'!$A:$A,$A20,'Contact Hours DM'!$B:$B,$B20)</f>
        <v>180</v>
      </c>
      <c r="L20" s="275">
        <f t="shared" si="2"/>
        <v>0</v>
      </c>
      <c r="M20" s="275">
        <f t="shared" si="3"/>
        <v>50692</v>
      </c>
      <c r="N20" s="275">
        <f t="shared" si="0"/>
        <v>0</v>
      </c>
      <c r="O20" s="275">
        <f t="shared" si="1"/>
        <v>5069.2000000000007</v>
      </c>
      <c r="P20" s="275">
        <f t="shared" si="4"/>
        <v>0</v>
      </c>
      <c r="Q20" s="275">
        <f t="shared" si="5"/>
        <v>55761.2</v>
      </c>
      <c r="R20" s="275">
        <f t="shared" si="6"/>
        <v>0</v>
      </c>
      <c r="S20" s="275">
        <f t="shared" si="7"/>
        <v>1226678.220995293</v>
      </c>
      <c r="T20" s="275">
        <f t="shared" si="8"/>
        <v>0</v>
      </c>
    </row>
    <row r="21" spans="1:20">
      <c r="A21" s="272">
        <v>36273</v>
      </c>
      <c r="B21" s="273">
        <v>18</v>
      </c>
      <c r="C21" s="274">
        <f>'Cost Study'!G23</f>
        <v>19.014018574179627</v>
      </c>
      <c r="D21" s="269">
        <f>SUMIFS('Contact Hours DM'!D:D,'Contact Hours DM'!$A:$A,$A21,'Contact Hours DM'!$B:$B,$B21)</f>
        <v>0</v>
      </c>
      <c r="E21" s="269">
        <f>SUMIFS('Contact Hours DM'!E:E,'Contact Hours DM'!$A:$A,$A21,'Contact Hours DM'!$B:$B,$B21)</f>
        <v>0</v>
      </c>
      <c r="F21" s="269">
        <f>SUMIFS('Contact Hours DM'!G:G,'Contact Hours DM'!$A:$A,$A21,'Contact Hours DM'!$B:$B,$B21)</f>
        <v>0</v>
      </c>
      <c r="G21" s="269">
        <f>SUMIFS('Contact Hours DM'!F:F,'Contact Hours DM'!$A:$A,$A21,'Contact Hours DM'!$B:$B,$B21)</f>
        <v>0</v>
      </c>
      <c r="H21" s="269">
        <f>SUMIFS('Contact Hours DM'!H:H,'Contact Hours DM'!$A:$A,$A21,'Contact Hours DM'!$B:$B,$B21)</f>
        <v>0</v>
      </c>
      <c r="I21" s="269">
        <f>SUMIFS('Contact Hours DM'!I:I,'Contact Hours DM'!$A:$A,$A21,'Contact Hours DM'!$B:$B,$B21)</f>
        <v>0</v>
      </c>
      <c r="J21" s="269">
        <f>SUMIFS('Contact Hours DM'!J:J,'Contact Hours DM'!$A:$A,$A21,'Contact Hours DM'!$B:$B,$B21)</f>
        <v>0</v>
      </c>
      <c r="K21" s="269">
        <f>SUMIFS('Contact Hours DM'!K:K,'Contact Hours DM'!$A:$A,$A21,'Contact Hours DM'!$B:$B,$B21)</f>
        <v>0</v>
      </c>
      <c r="L21" s="275">
        <f t="shared" si="2"/>
        <v>0</v>
      </c>
      <c r="M21" s="275">
        <f t="shared" si="3"/>
        <v>0</v>
      </c>
      <c r="N21" s="275">
        <f t="shared" si="0"/>
        <v>0</v>
      </c>
      <c r="O21" s="275">
        <f t="shared" si="1"/>
        <v>0</v>
      </c>
      <c r="P21" s="275">
        <f t="shared" si="4"/>
        <v>0</v>
      </c>
      <c r="Q21" s="275">
        <f t="shared" si="5"/>
        <v>0</v>
      </c>
      <c r="R21" s="275">
        <f t="shared" si="6"/>
        <v>0</v>
      </c>
      <c r="S21" s="275">
        <f t="shared" si="7"/>
        <v>0</v>
      </c>
      <c r="T21" s="275">
        <f t="shared" si="8"/>
        <v>0</v>
      </c>
    </row>
    <row r="22" spans="1:20">
      <c r="A22" s="272">
        <v>36273</v>
      </c>
      <c r="B22" s="273">
        <v>19</v>
      </c>
      <c r="C22" s="274">
        <f>'Cost Study'!G24</f>
        <v>13.838426837550392</v>
      </c>
      <c r="D22" s="269">
        <f>SUMIFS('Contact Hours DM'!D:D,'Contact Hours DM'!$A:$A,$A22,'Contact Hours DM'!$B:$B,$B22)</f>
        <v>0</v>
      </c>
      <c r="E22" s="269">
        <f>SUMIFS('Contact Hours DM'!E:E,'Contact Hours DM'!$A:$A,$A22,'Contact Hours DM'!$B:$B,$B22)</f>
        <v>56496</v>
      </c>
      <c r="F22" s="269">
        <f>SUMIFS('Contact Hours DM'!G:G,'Contact Hours DM'!$A:$A,$A22,'Contact Hours DM'!$B:$B,$B22)</f>
        <v>48032</v>
      </c>
      <c r="G22" s="269">
        <f>SUMIFS('Contact Hours DM'!F:F,'Contact Hours DM'!$A:$A,$A22,'Contact Hours DM'!$B:$B,$B22)</f>
        <v>0</v>
      </c>
      <c r="H22" s="269">
        <f>SUMIFS('Contact Hours DM'!H:H,'Contact Hours DM'!$A:$A,$A22,'Contact Hours DM'!$B:$B,$B22)</f>
        <v>0</v>
      </c>
      <c r="I22" s="269">
        <f>SUMIFS('Contact Hours DM'!I:I,'Contact Hours DM'!$A:$A,$A22,'Contact Hours DM'!$B:$B,$B22)</f>
        <v>0</v>
      </c>
      <c r="J22" s="269">
        <f>SUMIFS('Contact Hours DM'!J:J,'Contact Hours DM'!$A:$A,$A22,'Contact Hours DM'!$B:$B,$B22)</f>
        <v>0</v>
      </c>
      <c r="K22" s="269">
        <f>SUMIFS('Contact Hours DM'!K:K,'Contact Hours DM'!$A:$A,$A22,'Contact Hours DM'!$B:$B,$B22)</f>
        <v>0</v>
      </c>
      <c r="L22" s="275">
        <f t="shared" si="2"/>
        <v>104528</v>
      </c>
      <c r="M22" s="275">
        <f t="shared" si="3"/>
        <v>0</v>
      </c>
      <c r="N22" s="275">
        <f t="shared" si="0"/>
        <v>10452.800000000001</v>
      </c>
      <c r="O22" s="275">
        <f t="shared" si="1"/>
        <v>0</v>
      </c>
      <c r="P22" s="275">
        <f t="shared" si="4"/>
        <v>114980.8</v>
      </c>
      <c r="Q22" s="275">
        <f t="shared" si="5"/>
        <v>0</v>
      </c>
      <c r="R22" s="275">
        <f t="shared" si="6"/>
        <v>1591153.388523014</v>
      </c>
      <c r="S22" s="275">
        <f t="shared" si="7"/>
        <v>0</v>
      </c>
      <c r="T22" s="275">
        <f t="shared" si="8"/>
        <v>731156.04964734253</v>
      </c>
    </row>
    <row r="23" spans="1:20">
      <c r="A23" s="272">
        <v>36273</v>
      </c>
      <c r="B23" s="273">
        <v>20</v>
      </c>
      <c r="C23" s="274">
        <f>'Cost Study'!G25</f>
        <v>16.863384337988059</v>
      </c>
      <c r="D23" s="269">
        <f>SUMIFS('Contact Hours DM'!D:D,'Contact Hours DM'!$A:$A,$A23,'Contact Hours DM'!$B:$B,$B23)</f>
        <v>0</v>
      </c>
      <c r="E23" s="269">
        <f>SUMIFS('Contact Hours DM'!E:E,'Contact Hours DM'!$A:$A,$A23,'Contact Hours DM'!$B:$B,$B23)</f>
        <v>0</v>
      </c>
      <c r="F23" s="269">
        <f>SUMIFS('Contact Hours DM'!G:G,'Contact Hours DM'!$A:$A,$A23,'Contact Hours DM'!$B:$B,$B23)</f>
        <v>0</v>
      </c>
      <c r="G23" s="269">
        <f>SUMIFS('Contact Hours DM'!F:F,'Contact Hours DM'!$A:$A,$A23,'Contact Hours DM'!$B:$B,$B23)</f>
        <v>0</v>
      </c>
      <c r="H23" s="269">
        <f>SUMIFS('Contact Hours DM'!H:H,'Contact Hours DM'!$A:$A,$A23,'Contact Hours DM'!$B:$B,$B23)</f>
        <v>12112</v>
      </c>
      <c r="I23" s="269">
        <f>SUMIFS('Contact Hours DM'!I:I,'Contact Hours DM'!$A:$A,$A23,'Contact Hours DM'!$B:$B,$B23)</f>
        <v>0</v>
      </c>
      <c r="J23" s="269">
        <f>SUMIFS('Contact Hours DM'!J:J,'Contact Hours DM'!$A:$A,$A23,'Contact Hours DM'!$B:$B,$B23)</f>
        <v>0</v>
      </c>
      <c r="K23" s="269">
        <f>SUMIFS('Contact Hours DM'!K:K,'Contact Hours DM'!$A:$A,$A23,'Contact Hours DM'!$B:$B,$B23)</f>
        <v>0</v>
      </c>
      <c r="L23" s="275">
        <f t="shared" si="2"/>
        <v>0</v>
      </c>
      <c r="M23" s="275">
        <f t="shared" si="3"/>
        <v>12112</v>
      </c>
      <c r="N23" s="275">
        <f t="shared" si="0"/>
        <v>0</v>
      </c>
      <c r="O23" s="275">
        <f t="shared" si="1"/>
        <v>0</v>
      </c>
      <c r="P23" s="275">
        <f t="shared" si="4"/>
        <v>0</v>
      </c>
      <c r="Q23" s="275">
        <f t="shared" si="5"/>
        <v>12112</v>
      </c>
      <c r="R23" s="275">
        <f t="shared" si="6"/>
        <v>0</v>
      </c>
      <c r="S23" s="275">
        <f t="shared" si="7"/>
        <v>204249.31110171136</v>
      </c>
      <c r="T23" s="275">
        <f t="shared" si="8"/>
        <v>0</v>
      </c>
    </row>
    <row r="24" spans="1:20">
      <c r="A24" s="272">
        <v>36273</v>
      </c>
      <c r="B24" s="273">
        <v>21</v>
      </c>
      <c r="C24" s="274">
        <f>'Cost Study'!G26</f>
        <v>18.169844388010969</v>
      </c>
      <c r="D24" s="269">
        <f>SUMIFS('Contact Hours DM'!D:D,'Contact Hours DM'!$A:$A,$A24,'Contact Hours DM'!$B:$B,$B24)</f>
        <v>0</v>
      </c>
      <c r="E24" s="269">
        <f>SUMIFS('Contact Hours DM'!E:E,'Contact Hours DM'!$A:$A,$A24,'Contact Hours DM'!$B:$B,$B24)</f>
        <v>0</v>
      </c>
      <c r="F24" s="269">
        <f>SUMIFS('Contact Hours DM'!G:G,'Contact Hours DM'!$A:$A,$A24,'Contact Hours DM'!$B:$B,$B24)</f>
        <v>0</v>
      </c>
      <c r="G24" s="269">
        <f>SUMIFS('Contact Hours DM'!F:F,'Contact Hours DM'!$A:$A,$A24,'Contact Hours DM'!$B:$B,$B24)</f>
        <v>0</v>
      </c>
      <c r="H24" s="269">
        <f>SUMIFS('Contact Hours DM'!H:H,'Contact Hours DM'!$A:$A,$A24,'Contact Hours DM'!$B:$B,$B24)</f>
        <v>26032</v>
      </c>
      <c r="I24" s="269">
        <f>SUMIFS('Contact Hours DM'!I:I,'Contact Hours DM'!$A:$A,$A24,'Contact Hours DM'!$B:$B,$B24)</f>
        <v>0</v>
      </c>
      <c r="J24" s="269">
        <f>SUMIFS('Contact Hours DM'!J:J,'Contact Hours DM'!$A:$A,$A24,'Contact Hours DM'!$B:$B,$B24)</f>
        <v>16346</v>
      </c>
      <c r="K24" s="269">
        <f>SUMIFS('Contact Hours DM'!K:K,'Contact Hours DM'!$A:$A,$A24,'Contact Hours DM'!$B:$B,$B24)</f>
        <v>0</v>
      </c>
      <c r="L24" s="275">
        <f t="shared" si="2"/>
        <v>0</v>
      </c>
      <c r="M24" s="275">
        <f t="shared" si="3"/>
        <v>42378</v>
      </c>
      <c r="N24" s="275">
        <f t="shared" si="0"/>
        <v>0</v>
      </c>
      <c r="O24" s="275">
        <f t="shared" si="1"/>
        <v>0</v>
      </c>
      <c r="P24" s="275">
        <f t="shared" si="4"/>
        <v>0</v>
      </c>
      <c r="Q24" s="275">
        <f t="shared" si="5"/>
        <v>42378</v>
      </c>
      <c r="R24" s="275">
        <f t="shared" si="6"/>
        <v>0</v>
      </c>
      <c r="S24" s="275">
        <f t="shared" si="7"/>
        <v>770001.6654751288</v>
      </c>
      <c r="T24" s="275">
        <f t="shared" si="8"/>
        <v>0</v>
      </c>
    </row>
    <row r="25" spans="1:20">
      <c r="A25" s="272">
        <v>36273</v>
      </c>
      <c r="B25" s="273">
        <v>22</v>
      </c>
      <c r="C25" s="274">
        <f>'Cost Study'!G27</f>
        <v>20.551621556129668</v>
      </c>
      <c r="D25" s="269">
        <f>SUMIFS('Contact Hours DM'!D:D,'Contact Hours DM'!$A:$A,$A25,'Contact Hours DM'!$B:$B,$B25)</f>
        <v>0</v>
      </c>
      <c r="E25" s="269">
        <f>SUMIFS('Contact Hours DM'!E:E,'Contact Hours DM'!$A:$A,$A25,'Contact Hours DM'!$B:$B,$B25)</f>
        <v>0</v>
      </c>
      <c r="F25" s="269">
        <f>SUMIFS('Contact Hours DM'!G:G,'Contact Hours DM'!$A:$A,$A25,'Contact Hours DM'!$B:$B,$B25)</f>
        <v>0</v>
      </c>
      <c r="G25" s="269">
        <f>SUMIFS('Contact Hours DM'!F:F,'Contact Hours DM'!$A:$A,$A25,'Contact Hours DM'!$B:$B,$B25)</f>
        <v>0</v>
      </c>
      <c r="H25" s="269">
        <f>SUMIFS('Contact Hours DM'!H:H,'Contact Hours DM'!$A:$A,$A25,'Contact Hours DM'!$B:$B,$B25)</f>
        <v>23424</v>
      </c>
      <c r="I25" s="269">
        <f>SUMIFS('Contact Hours DM'!I:I,'Contact Hours DM'!$A:$A,$A25,'Contact Hours DM'!$B:$B,$B25)</f>
        <v>0</v>
      </c>
      <c r="J25" s="269">
        <f>SUMIFS('Contact Hours DM'!J:J,'Contact Hours DM'!$A:$A,$A25,'Contact Hours DM'!$B:$B,$B25)</f>
        <v>72</v>
      </c>
      <c r="K25" s="269">
        <f>SUMIFS('Contact Hours DM'!K:K,'Contact Hours DM'!$A:$A,$A25,'Contact Hours DM'!$B:$B,$B25)</f>
        <v>0</v>
      </c>
      <c r="L25" s="275">
        <f t="shared" si="2"/>
        <v>0</v>
      </c>
      <c r="M25" s="275">
        <f t="shared" si="3"/>
        <v>23496</v>
      </c>
      <c r="N25" s="275">
        <f t="shared" si="0"/>
        <v>0</v>
      </c>
      <c r="O25" s="275">
        <f t="shared" si="1"/>
        <v>0</v>
      </c>
      <c r="P25" s="275">
        <f t="shared" si="4"/>
        <v>0</v>
      </c>
      <c r="Q25" s="275">
        <f t="shared" si="5"/>
        <v>23496</v>
      </c>
      <c r="R25" s="275">
        <f t="shared" si="6"/>
        <v>0</v>
      </c>
      <c r="S25" s="275">
        <f t="shared" si="7"/>
        <v>482880.90008282266</v>
      </c>
      <c r="T25" s="275">
        <f t="shared" si="8"/>
        <v>0</v>
      </c>
    </row>
    <row r="26" spans="1:20">
      <c r="A26" s="272">
        <v>36273</v>
      </c>
      <c r="B26" s="273">
        <v>23</v>
      </c>
      <c r="C26" s="274">
        <f>'Cost Study'!G28</f>
        <v>18.049248075701165</v>
      </c>
      <c r="D26" s="269">
        <f>SUMIFS('Contact Hours DM'!D:D,'Contact Hours DM'!$A:$A,$A26,'Contact Hours DM'!$B:$B,$B26)</f>
        <v>0</v>
      </c>
      <c r="E26" s="269">
        <f>SUMIFS('Contact Hours DM'!E:E,'Contact Hours DM'!$A:$A,$A26,'Contact Hours DM'!$B:$B,$B26)</f>
        <v>0</v>
      </c>
      <c r="F26" s="269">
        <f>SUMIFS('Contact Hours DM'!G:G,'Contact Hours DM'!$A:$A,$A26,'Contact Hours DM'!$B:$B,$B26)</f>
        <v>0</v>
      </c>
      <c r="G26" s="269">
        <f>SUMIFS('Contact Hours DM'!F:F,'Contact Hours DM'!$A:$A,$A26,'Contact Hours DM'!$B:$B,$B26)</f>
        <v>0</v>
      </c>
      <c r="H26" s="269">
        <f>SUMIFS('Contact Hours DM'!H:H,'Contact Hours DM'!$A:$A,$A26,'Contact Hours DM'!$B:$B,$B26)</f>
        <v>0</v>
      </c>
      <c r="I26" s="269">
        <f>SUMIFS('Contact Hours DM'!I:I,'Contact Hours DM'!$A:$A,$A26,'Contact Hours DM'!$B:$B,$B26)</f>
        <v>0</v>
      </c>
      <c r="J26" s="269">
        <f>SUMIFS('Contact Hours DM'!J:J,'Contact Hours DM'!$A:$A,$A26,'Contact Hours DM'!$B:$B,$B26)</f>
        <v>0</v>
      </c>
      <c r="K26" s="269">
        <f>SUMIFS('Contact Hours DM'!K:K,'Contact Hours DM'!$A:$A,$A26,'Contact Hours DM'!$B:$B,$B26)</f>
        <v>0</v>
      </c>
      <c r="L26" s="275">
        <f t="shared" si="2"/>
        <v>0</v>
      </c>
      <c r="M26" s="275">
        <f t="shared" si="3"/>
        <v>0</v>
      </c>
      <c r="N26" s="275">
        <f t="shared" si="0"/>
        <v>0</v>
      </c>
      <c r="O26" s="275">
        <f t="shared" si="1"/>
        <v>0</v>
      </c>
      <c r="P26" s="275">
        <f t="shared" si="4"/>
        <v>0</v>
      </c>
      <c r="Q26" s="275">
        <f t="shared" si="5"/>
        <v>0</v>
      </c>
      <c r="R26" s="275">
        <f t="shared" si="6"/>
        <v>0</v>
      </c>
      <c r="S26" s="275">
        <f t="shared" si="7"/>
        <v>0</v>
      </c>
      <c r="T26" s="275">
        <f t="shared" si="8"/>
        <v>0</v>
      </c>
    </row>
    <row r="27" spans="1:20">
      <c r="A27" s="272">
        <v>36273</v>
      </c>
      <c r="B27" s="273">
        <v>24</v>
      </c>
      <c r="C27" s="274">
        <f>'Cost Study'!G29</f>
        <v>15.466477053732792</v>
      </c>
      <c r="D27" s="269">
        <f>SUMIFS('Contact Hours DM'!D:D,'Contact Hours DM'!$A:$A,$A27,'Contact Hours DM'!$B:$B,$B27)</f>
        <v>14112</v>
      </c>
      <c r="E27" s="269">
        <f>SUMIFS('Contact Hours DM'!E:E,'Contact Hours DM'!$A:$A,$A27,'Contact Hours DM'!$B:$B,$B27)</f>
        <v>0</v>
      </c>
      <c r="F27" s="269">
        <f>SUMIFS('Contact Hours DM'!G:G,'Contact Hours DM'!$A:$A,$A27,'Contact Hours DM'!$B:$B,$B27)</f>
        <v>0</v>
      </c>
      <c r="G27" s="269">
        <f>SUMIFS('Contact Hours DM'!F:F,'Contact Hours DM'!$A:$A,$A27,'Contact Hours DM'!$B:$B,$B27)</f>
        <v>0</v>
      </c>
      <c r="H27" s="269">
        <f>SUMIFS('Contact Hours DM'!H:H,'Contact Hours DM'!$A:$A,$A27,'Contact Hours DM'!$B:$B,$B27)</f>
        <v>65024</v>
      </c>
      <c r="I27" s="269">
        <f>SUMIFS('Contact Hours DM'!I:I,'Contact Hours DM'!$A:$A,$A27,'Contact Hours DM'!$B:$B,$B27)</f>
        <v>0</v>
      </c>
      <c r="J27" s="269">
        <f>SUMIFS('Contact Hours DM'!J:J,'Contact Hours DM'!$A:$A,$A27,'Contact Hours DM'!$B:$B,$B27)</f>
        <v>292783</v>
      </c>
      <c r="K27" s="269">
        <f>SUMIFS('Contact Hours DM'!K:K,'Contact Hours DM'!$A:$A,$A27,'Contact Hours DM'!$B:$B,$B27)</f>
        <v>0</v>
      </c>
      <c r="L27" s="275">
        <f t="shared" si="2"/>
        <v>14112</v>
      </c>
      <c r="M27" s="275">
        <f t="shared" si="3"/>
        <v>357807</v>
      </c>
      <c r="N27" s="275">
        <f t="shared" si="0"/>
        <v>0</v>
      </c>
      <c r="O27" s="275">
        <f t="shared" si="1"/>
        <v>0</v>
      </c>
      <c r="P27" s="275">
        <f t="shared" si="4"/>
        <v>14112</v>
      </c>
      <c r="Q27" s="275">
        <f t="shared" si="5"/>
        <v>357807</v>
      </c>
      <c r="R27" s="275">
        <f t="shared" si="6"/>
        <v>218262.92418227714</v>
      </c>
      <c r="S27" s="275">
        <f t="shared" si="7"/>
        <v>5534013.7551649688</v>
      </c>
      <c r="T27" s="275">
        <f t="shared" si="8"/>
        <v>0</v>
      </c>
    </row>
    <row r="28" spans="1:20">
      <c r="A28" s="272">
        <v>36273</v>
      </c>
      <c r="B28" s="273">
        <v>25</v>
      </c>
      <c r="C28" s="274">
        <f>'Cost Study'!G30</f>
        <v>12.501817709450027</v>
      </c>
      <c r="D28" s="269">
        <f>SUMIFS('Contact Hours DM'!D:D,'Contact Hours DM'!$A:$A,$A28,'Contact Hours DM'!$B:$B,$B28)</f>
        <v>149728</v>
      </c>
      <c r="E28" s="269">
        <f>SUMIFS('Contact Hours DM'!E:E,'Contact Hours DM'!$A:$A,$A28,'Contact Hours DM'!$B:$B,$B28)</f>
        <v>0</v>
      </c>
      <c r="F28" s="269">
        <f>SUMIFS('Contact Hours DM'!G:G,'Contact Hours DM'!$A:$A,$A28,'Contact Hours DM'!$B:$B,$B28)</f>
        <v>0</v>
      </c>
      <c r="G28" s="269">
        <f>SUMIFS('Contact Hours DM'!F:F,'Contact Hours DM'!$A:$A,$A28,'Contact Hours DM'!$B:$B,$B28)</f>
        <v>0</v>
      </c>
      <c r="H28" s="269">
        <f>SUMIFS('Contact Hours DM'!H:H,'Contact Hours DM'!$A:$A,$A28,'Contact Hours DM'!$B:$B,$B28)</f>
        <v>0</v>
      </c>
      <c r="I28" s="269">
        <f>SUMIFS('Contact Hours DM'!I:I,'Contact Hours DM'!$A:$A,$A28,'Contact Hours DM'!$B:$B,$B28)</f>
        <v>0</v>
      </c>
      <c r="J28" s="269">
        <f>SUMIFS('Contact Hours DM'!J:J,'Contact Hours DM'!$A:$A,$A28,'Contact Hours DM'!$B:$B,$B28)</f>
        <v>0</v>
      </c>
      <c r="K28" s="269">
        <f>SUMIFS('Contact Hours DM'!K:K,'Contact Hours DM'!$A:$A,$A28,'Contact Hours DM'!$B:$B,$B28)</f>
        <v>0</v>
      </c>
      <c r="L28" s="275">
        <f t="shared" si="2"/>
        <v>149728</v>
      </c>
      <c r="M28" s="275">
        <f t="shared" si="3"/>
        <v>0</v>
      </c>
      <c r="N28" s="275">
        <f t="shared" si="0"/>
        <v>0</v>
      </c>
      <c r="O28" s="275">
        <f t="shared" si="1"/>
        <v>0</v>
      </c>
      <c r="P28" s="275">
        <f t="shared" si="4"/>
        <v>149728</v>
      </c>
      <c r="Q28" s="275">
        <f t="shared" si="5"/>
        <v>0</v>
      </c>
      <c r="R28" s="275">
        <f t="shared" si="6"/>
        <v>1871872.1620005337</v>
      </c>
      <c r="S28" s="275">
        <f t="shared" si="7"/>
        <v>0</v>
      </c>
      <c r="T28" s="275">
        <f t="shared" si="8"/>
        <v>0</v>
      </c>
    </row>
    <row r="29" spans="1:20">
      <c r="A29" s="272">
        <v>36273</v>
      </c>
      <c r="B29" s="273">
        <v>26</v>
      </c>
      <c r="C29" s="274">
        <f>'Cost Study'!G31</f>
        <v>15.325781356038016</v>
      </c>
      <c r="D29" s="269">
        <f>SUMIFS('Contact Hours DM'!D:D,'Contact Hours DM'!$A:$A,$A29,'Contact Hours DM'!$B:$B,$B29)</f>
        <v>69264</v>
      </c>
      <c r="E29" s="269">
        <f>SUMIFS('Contact Hours DM'!E:E,'Contact Hours DM'!$A:$A,$A29,'Contact Hours DM'!$B:$B,$B29)</f>
        <v>0</v>
      </c>
      <c r="F29" s="269">
        <f>SUMIFS('Contact Hours DM'!G:G,'Contact Hours DM'!$A:$A,$A29,'Contact Hours DM'!$B:$B,$B29)</f>
        <v>0</v>
      </c>
      <c r="G29" s="269">
        <f>SUMIFS('Contact Hours DM'!F:F,'Contact Hours DM'!$A:$A,$A29,'Contact Hours DM'!$B:$B,$B29)</f>
        <v>0</v>
      </c>
      <c r="H29" s="269">
        <f>SUMIFS('Contact Hours DM'!H:H,'Contact Hours DM'!$A:$A,$A29,'Contact Hours DM'!$B:$B,$B29)</f>
        <v>30432</v>
      </c>
      <c r="I29" s="269">
        <f>SUMIFS('Contact Hours DM'!I:I,'Contact Hours DM'!$A:$A,$A29,'Contact Hours DM'!$B:$B,$B29)</f>
        <v>0</v>
      </c>
      <c r="J29" s="269">
        <f>SUMIFS('Contact Hours DM'!J:J,'Contact Hours DM'!$A:$A,$A29,'Contact Hours DM'!$B:$B,$B29)</f>
        <v>0</v>
      </c>
      <c r="K29" s="269">
        <f>SUMIFS('Contact Hours DM'!K:K,'Contact Hours DM'!$A:$A,$A29,'Contact Hours DM'!$B:$B,$B29)</f>
        <v>0</v>
      </c>
      <c r="L29" s="275">
        <f t="shared" si="2"/>
        <v>69264</v>
      </c>
      <c r="M29" s="275">
        <f t="shared" si="3"/>
        <v>30432</v>
      </c>
      <c r="N29" s="275">
        <f t="shared" si="0"/>
        <v>0</v>
      </c>
      <c r="O29" s="275">
        <f t="shared" si="1"/>
        <v>0</v>
      </c>
      <c r="P29" s="275">
        <f t="shared" si="4"/>
        <v>69264</v>
      </c>
      <c r="Q29" s="275">
        <f t="shared" si="5"/>
        <v>30432</v>
      </c>
      <c r="R29" s="275">
        <f t="shared" si="6"/>
        <v>1061524.9198446171</v>
      </c>
      <c r="S29" s="275">
        <f t="shared" si="7"/>
        <v>466394.17822694889</v>
      </c>
      <c r="T29" s="275">
        <f t="shared" si="8"/>
        <v>0</v>
      </c>
    </row>
    <row r="30" spans="1:20">
      <c r="A30" s="272">
        <v>23582</v>
      </c>
      <c r="B30" s="273">
        <v>1</v>
      </c>
      <c r="C30" s="274">
        <f t="shared" ref="C30:C61" si="9">C4</f>
        <v>13.768078988703003</v>
      </c>
      <c r="D30" s="269">
        <f>SUMIFS('Contact Hours DM'!D:D,'Contact Hours DM'!$A:$A,$A30,'Contact Hours DM'!$B:$B,$B30)</f>
        <v>0</v>
      </c>
      <c r="E30" s="269">
        <f>SUMIFS('Contact Hours DM'!E:E,'Contact Hours DM'!$A:$A,$A30,'Contact Hours DM'!$B:$B,$B30)</f>
        <v>0</v>
      </c>
      <c r="F30" s="269">
        <f>SUMIFS('Contact Hours DM'!G:G,'Contact Hours DM'!$A:$A,$A30,'Contact Hours DM'!$B:$B,$B30)</f>
        <v>0</v>
      </c>
      <c r="G30" s="269">
        <f>SUMIFS('Contact Hours DM'!F:F,'Contact Hours DM'!$A:$A,$A30,'Contact Hours DM'!$B:$B,$B30)</f>
        <v>0</v>
      </c>
      <c r="H30" s="269">
        <f>SUMIFS('Contact Hours DM'!H:H,'Contact Hours DM'!$A:$A,$A30,'Contact Hours DM'!$B:$B,$B30)</f>
        <v>0</v>
      </c>
      <c r="I30" s="269">
        <f>SUMIFS('Contact Hours DM'!I:I,'Contact Hours DM'!$A:$A,$A30,'Contact Hours DM'!$B:$B,$B30)</f>
        <v>0</v>
      </c>
      <c r="J30" s="269">
        <f>SUMIFS('Contact Hours DM'!J:J,'Contact Hours DM'!$A:$A,$A30,'Contact Hours DM'!$B:$B,$B30)</f>
        <v>0</v>
      </c>
      <c r="K30" s="269">
        <f>SUMIFS('Contact Hours DM'!K:K,'Contact Hours DM'!$A:$A,$A30,'Contact Hours DM'!$B:$B,$B30)</f>
        <v>0</v>
      </c>
      <c r="L30" s="275">
        <f t="shared" si="2"/>
        <v>0</v>
      </c>
      <c r="M30" s="275">
        <f t="shared" si="3"/>
        <v>0</v>
      </c>
      <c r="N30" s="275">
        <f t="shared" si="0"/>
        <v>0</v>
      </c>
      <c r="O30" s="275">
        <f t="shared" si="1"/>
        <v>0</v>
      </c>
      <c r="P30" s="275">
        <f t="shared" si="4"/>
        <v>0</v>
      </c>
      <c r="Q30" s="275">
        <f t="shared" si="5"/>
        <v>0</v>
      </c>
      <c r="R30" s="275">
        <f t="shared" si="6"/>
        <v>0</v>
      </c>
      <c r="S30" s="275">
        <f t="shared" si="7"/>
        <v>0</v>
      </c>
      <c r="T30" s="275">
        <f t="shared" si="8"/>
        <v>0</v>
      </c>
    </row>
    <row r="31" spans="1:20">
      <c r="A31" s="272">
        <v>23582</v>
      </c>
      <c r="B31" s="273">
        <v>2</v>
      </c>
      <c r="C31" s="274">
        <f t="shared" si="9"/>
        <v>15.486576439117758</v>
      </c>
      <c r="D31" s="269">
        <f>SUMIFS('Contact Hours DM'!D:D,'Contact Hours DM'!$A:$A,$A31,'Contact Hours DM'!$B:$B,$B31)</f>
        <v>0</v>
      </c>
      <c r="E31" s="269">
        <f>SUMIFS('Contact Hours DM'!E:E,'Contact Hours DM'!$A:$A,$A31,'Contact Hours DM'!$B:$B,$B31)</f>
        <v>0</v>
      </c>
      <c r="F31" s="269">
        <f>SUMIFS('Contact Hours DM'!G:G,'Contact Hours DM'!$A:$A,$A31,'Contact Hours DM'!$B:$B,$B31)</f>
        <v>0</v>
      </c>
      <c r="G31" s="269">
        <f>SUMIFS('Contact Hours DM'!F:F,'Contact Hours DM'!$A:$A,$A31,'Contact Hours DM'!$B:$B,$B31)</f>
        <v>0</v>
      </c>
      <c r="H31" s="269">
        <f>SUMIFS('Contact Hours DM'!H:H,'Contact Hours DM'!$A:$A,$A31,'Contact Hours DM'!$B:$B,$B31)</f>
        <v>15776</v>
      </c>
      <c r="I31" s="269">
        <f>SUMIFS('Contact Hours DM'!I:I,'Contact Hours DM'!$A:$A,$A31,'Contact Hours DM'!$B:$B,$B31)</f>
        <v>0</v>
      </c>
      <c r="J31" s="269">
        <f>SUMIFS('Contact Hours DM'!J:J,'Contact Hours DM'!$A:$A,$A31,'Contact Hours DM'!$B:$B,$B31)</f>
        <v>0</v>
      </c>
      <c r="K31" s="269">
        <f>SUMIFS('Contact Hours DM'!K:K,'Contact Hours DM'!$A:$A,$A31,'Contact Hours DM'!$B:$B,$B31)</f>
        <v>0</v>
      </c>
      <c r="L31" s="275">
        <f t="shared" si="2"/>
        <v>0</v>
      </c>
      <c r="M31" s="275">
        <f t="shared" si="3"/>
        <v>15776</v>
      </c>
      <c r="N31" s="275">
        <f t="shared" ref="N31:N57" si="10">IF(B31&lt;28,E31+F31,0)*0.1</f>
        <v>0</v>
      </c>
      <c r="O31" s="275">
        <f t="shared" ref="O31:O57" si="11">IF(B31&lt;28,I31+K31,0)*0.1</f>
        <v>0</v>
      </c>
      <c r="P31" s="275">
        <f t="shared" si="4"/>
        <v>0</v>
      </c>
      <c r="Q31" s="275">
        <f t="shared" si="5"/>
        <v>15776</v>
      </c>
      <c r="R31" s="275">
        <f t="shared" si="6"/>
        <v>0</v>
      </c>
      <c r="S31" s="275">
        <f t="shared" si="7"/>
        <v>244316.22990352174</v>
      </c>
      <c r="T31" s="275">
        <f t="shared" si="8"/>
        <v>0</v>
      </c>
    </row>
    <row r="32" spans="1:20">
      <c r="A32" s="272">
        <v>23582</v>
      </c>
      <c r="B32" s="273">
        <v>3</v>
      </c>
      <c r="C32" s="274">
        <f t="shared" si="9"/>
        <v>13.597234212930777</v>
      </c>
      <c r="D32" s="269">
        <f>SUMIFS('Contact Hours DM'!D:D,'Contact Hours DM'!$A:$A,$A32,'Contact Hours DM'!$B:$B,$B32)</f>
        <v>0</v>
      </c>
      <c r="E32" s="269">
        <f>SUMIFS('Contact Hours DM'!E:E,'Contact Hours DM'!$A:$A,$A32,'Contact Hours DM'!$B:$B,$B32)</f>
        <v>107936</v>
      </c>
      <c r="F32" s="269">
        <f>SUMIFS('Contact Hours DM'!G:G,'Contact Hours DM'!$A:$A,$A32,'Contact Hours DM'!$B:$B,$B32)</f>
        <v>0</v>
      </c>
      <c r="G32" s="269">
        <f>SUMIFS('Contact Hours DM'!F:F,'Contact Hours DM'!$A:$A,$A32,'Contact Hours DM'!$B:$B,$B32)</f>
        <v>0</v>
      </c>
      <c r="H32" s="269">
        <f>SUMIFS('Contact Hours DM'!H:H,'Contact Hours DM'!$A:$A,$A32,'Contact Hours DM'!$B:$B,$B32)</f>
        <v>52752</v>
      </c>
      <c r="I32" s="269">
        <f>SUMIFS('Contact Hours DM'!I:I,'Contact Hours DM'!$A:$A,$A32,'Contact Hours DM'!$B:$B,$B32)</f>
        <v>5040</v>
      </c>
      <c r="J32" s="269">
        <f>SUMIFS('Contact Hours DM'!J:J,'Contact Hours DM'!$A:$A,$A32,'Contact Hours DM'!$B:$B,$B32)</f>
        <v>0</v>
      </c>
      <c r="K32" s="269">
        <f>SUMIFS('Contact Hours DM'!K:K,'Contact Hours DM'!$A:$A,$A32,'Contact Hours DM'!$B:$B,$B32)</f>
        <v>0</v>
      </c>
      <c r="L32" s="275">
        <f t="shared" si="2"/>
        <v>107936</v>
      </c>
      <c r="M32" s="275">
        <f t="shared" si="3"/>
        <v>57792</v>
      </c>
      <c r="N32" s="275">
        <f t="shared" si="10"/>
        <v>10793.6</v>
      </c>
      <c r="O32" s="275">
        <f t="shared" si="11"/>
        <v>504</v>
      </c>
      <c r="P32" s="275">
        <f t="shared" si="4"/>
        <v>118729.60000000001</v>
      </c>
      <c r="Q32" s="275">
        <f t="shared" si="5"/>
        <v>58296</v>
      </c>
      <c r="R32" s="275">
        <f t="shared" si="6"/>
        <v>1614394.179207586</v>
      </c>
      <c r="S32" s="275">
        <f t="shared" si="7"/>
        <v>792664.3656770126</v>
      </c>
      <c r="T32" s="275">
        <f t="shared" si="8"/>
        <v>0</v>
      </c>
    </row>
    <row r="33" spans="1:20">
      <c r="A33" s="272">
        <v>23582</v>
      </c>
      <c r="B33" s="273">
        <v>4</v>
      </c>
      <c r="C33" s="274">
        <f t="shared" si="9"/>
        <v>12.783209104839578</v>
      </c>
      <c r="D33" s="269">
        <f>SUMIFS('Contact Hours DM'!D:D,'Contact Hours DM'!$A:$A,$A33,'Contact Hours DM'!$B:$B,$B33)</f>
        <v>10416</v>
      </c>
      <c r="E33" s="269">
        <f>SUMIFS('Contact Hours DM'!E:E,'Contact Hours DM'!$A:$A,$A33,'Contact Hours DM'!$B:$B,$B33)</f>
        <v>0</v>
      </c>
      <c r="F33" s="269">
        <f>SUMIFS('Contact Hours DM'!G:G,'Contact Hours DM'!$A:$A,$A33,'Contact Hours DM'!$B:$B,$B33)</f>
        <v>0</v>
      </c>
      <c r="G33" s="269">
        <f>SUMIFS('Contact Hours DM'!F:F,'Contact Hours DM'!$A:$A,$A33,'Contact Hours DM'!$B:$B,$B33)</f>
        <v>0</v>
      </c>
      <c r="H33" s="269">
        <f>SUMIFS('Contact Hours DM'!H:H,'Contact Hours DM'!$A:$A,$A33,'Contact Hours DM'!$B:$B,$B33)</f>
        <v>23680</v>
      </c>
      <c r="I33" s="269">
        <f>SUMIFS('Contact Hours DM'!I:I,'Contact Hours DM'!$A:$A,$A33,'Contact Hours DM'!$B:$B,$B33)</f>
        <v>9952</v>
      </c>
      <c r="J33" s="269">
        <f>SUMIFS('Contact Hours DM'!J:J,'Contact Hours DM'!$A:$A,$A33,'Contact Hours DM'!$B:$B,$B33)</f>
        <v>8413</v>
      </c>
      <c r="K33" s="269">
        <f>SUMIFS('Contact Hours DM'!K:K,'Contact Hours DM'!$A:$A,$A33,'Contact Hours DM'!$B:$B,$B33)</f>
        <v>0</v>
      </c>
      <c r="L33" s="275">
        <f t="shared" si="2"/>
        <v>10416</v>
      </c>
      <c r="M33" s="275">
        <f t="shared" si="3"/>
        <v>42045</v>
      </c>
      <c r="N33" s="275">
        <f t="shared" si="10"/>
        <v>0</v>
      </c>
      <c r="O33" s="275">
        <f t="shared" si="11"/>
        <v>995.2</v>
      </c>
      <c r="P33" s="275">
        <f t="shared" si="4"/>
        <v>10416</v>
      </c>
      <c r="Q33" s="275">
        <f t="shared" si="5"/>
        <v>43040.2</v>
      </c>
      <c r="R33" s="275">
        <f t="shared" si="6"/>
        <v>133149.90603600905</v>
      </c>
      <c r="S33" s="275">
        <f t="shared" si="7"/>
        <v>550191.87651411642</v>
      </c>
      <c r="T33" s="275">
        <f t="shared" si="8"/>
        <v>0</v>
      </c>
    </row>
    <row r="34" spans="1:20">
      <c r="A34" s="272">
        <v>23582</v>
      </c>
      <c r="B34" s="273">
        <v>5</v>
      </c>
      <c r="C34" s="274">
        <f t="shared" si="9"/>
        <v>43.414672431530647</v>
      </c>
      <c r="D34" s="269">
        <f>SUMIFS('Contact Hours DM'!D:D,'Contact Hours DM'!$A:$A,$A34,'Contact Hours DM'!$B:$B,$B34)</f>
        <v>0</v>
      </c>
      <c r="E34" s="269">
        <f>SUMIFS('Contact Hours DM'!E:E,'Contact Hours DM'!$A:$A,$A34,'Contact Hours DM'!$B:$B,$B34)</f>
        <v>0</v>
      </c>
      <c r="F34" s="269">
        <f>SUMIFS('Contact Hours DM'!G:G,'Contact Hours DM'!$A:$A,$A34,'Contact Hours DM'!$B:$B,$B34)</f>
        <v>0</v>
      </c>
      <c r="G34" s="269">
        <f>SUMIFS('Contact Hours DM'!F:F,'Contact Hours DM'!$A:$A,$A34,'Contact Hours DM'!$B:$B,$B34)</f>
        <v>0</v>
      </c>
      <c r="H34" s="269">
        <f>SUMIFS('Contact Hours DM'!H:H,'Contact Hours DM'!$A:$A,$A34,'Contact Hours DM'!$B:$B,$B34)</f>
        <v>0</v>
      </c>
      <c r="I34" s="269">
        <f>SUMIFS('Contact Hours DM'!I:I,'Contact Hours DM'!$A:$A,$A34,'Contact Hours DM'!$B:$B,$B34)</f>
        <v>0</v>
      </c>
      <c r="J34" s="269">
        <f>SUMIFS('Contact Hours DM'!J:J,'Contact Hours DM'!$A:$A,$A34,'Contact Hours DM'!$B:$B,$B34)</f>
        <v>0</v>
      </c>
      <c r="K34" s="269">
        <f>SUMIFS('Contact Hours DM'!K:K,'Contact Hours DM'!$A:$A,$A34,'Contact Hours DM'!$B:$B,$B34)</f>
        <v>0</v>
      </c>
      <c r="L34" s="275">
        <f t="shared" si="2"/>
        <v>0</v>
      </c>
      <c r="M34" s="275">
        <f t="shared" si="3"/>
        <v>0</v>
      </c>
      <c r="N34" s="275">
        <f t="shared" si="10"/>
        <v>0</v>
      </c>
      <c r="O34" s="275">
        <f t="shared" si="11"/>
        <v>0</v>
      </c>
      <c r="P34" s="275">
        <f t="shared" si="4"/>
        <v>0</v>
      </c>
      <c r="Q34" s="275">
        <f t="shared" si="5"/>
        <v>0</v>
      </c>
      <c r="R34" s="275">
        <f t="shared" si="6"/>
        <v>0</v>
      </c>
      <c r="S34" s="275">
        <f t="shared" si="7"/>
        <v>0</v>
      </c>
      <c r="T34" s="275">
        <f t="shared" si="8"/>
        <v>0</v>
      </c>
    </row>
    <row r="35" spans="1:20">
      <c r="A35" s="272">
        <v>23582</v>
      </c>
      <c r="B35" s="273">
        <v>6</v>
      </c>
      <c r="C35" s="274">
        <f t="shared" si="9"/>
        <v>12.079730616365701</v>
      </c>
      <c r="D35" s="269">
        <f>SUMIFS('Contact Hours DM'!D:D,'Contact Hours DM'!$A:$A,$A35,'Contact Hours DM'!$B:$B,$B35)</f>
        <v>19632</v>
      </c>
      <c r="E35" s="269">
        <f>SUMIFS('Contact Hours DM'!E:E,'Contact Hours DM'!$A:$A,$A35,'Contact Hours DM'!$B:$B,$B35)</f>
        <v>0</v>
      </c>
      <c r="F35" s="269">
        <f>SUMIFS('Contact Hours DM'!G:G,'Contact Hours DM'!$A:$A,$A35,'Contact Hours DM'!$B:$B,$B35)</f>
        <v>0</v>
      </c>
      <c r="G35" s="269">
        <f>SUMIFS('Contact Hours DM'!F:F,'Contact Hours DM'!$A:$A,$A35,'Contact Hours DM'!$B:$B,$B35)</f>
        <v>0</v>
      </c>
      <c r="H35" s="269">
        <f>SUMIFS('Contact Hours DM'!H:H,'Contact Hours DM'!$A:$A,$A35,'Contact Hours DM'!$B:$B,$B35)</f>
        <v>0</v>
      </c>
      <c r="I35" s="269">
        <f>SUMIFS('Contact Hours DM'!I:I,'Contact Hours DM'!$A:$A,$A35,'Contact Hours DM'!$B:$B,$B35)</f>
        <v>0</v>
      </c>
      <c r="J35" s="269">
        <f>SUMIFS('Contact Hours DM'!J:J,'Contact Hours DM'!$A:$A,$A35,'Contact Hours DM'!$B:$B,$B35)</f>
        <v>0</v>
      </c>
      <c r="K35" s="269">
        <f>SUMIFS('Contact Hours DM'!K:K,'Contact Hours DM'!$A:$A,$A35,'Contact Hours DM'!$B:$B,$B35)</f>
        <v>0</v>
      </c>
      <c r="L35" s="275">
        <f t="shared" si="2"/>
        <v>19632</v>
      </c>
      <c r="M35" s="275">
        <f t="shared" si="3"/>
        <v>0</v>
      </c>
      <c r="N35" s="275">
        <f t="shared" si="10"/>
        <v>0</v>
      </c>
      <c r="O35" s="275">
        <f t="shared" si="11"/>
        <v>0</v>
      </c>
      <c r="P35" s="275">
        <f t="shared" si="4"/>
        <v>19632</v>
      </c>
      <c r="Q35" s="275">
        <f t="shared" si="5"/>
        <v>0</v>
      </c>
      <c r="R35" s="275">
        <f t="shared" si="6"/>
        <v>237149.27146049144</v>
      </c>
      <c r="S35" s="275">
        <f t="shared" si="7"/>
        <v>0</v>
      </c>
      <c r="T35" s="275">
        <f t="shared" si="8"/>
        <v>0</v>
      </c>
    </row>
    <row r="36" spans="1:20">
      <c r="A36" s="272">
        <v>23582</v>
      </c>
      <c r="B36" s="273">
        <v>7</v>
      </c>
      <c r="C36" s="274">
        <f t="shared" si="9"/>
        <v>16.4613966302887</v>
      </c>
      <c r="D36" s="269">
        <f>SUMIFS('Contact Hours DM'!D:D,'Contact Hours DM'!$A:$A,$A36,'Contact Hours DM'!$B:$B,$B36)</f>
        <v>0</v>
      </c>
      <c r="E36" s="269">
        <f>SUMIFS('Contact Hours DM'!E:E,'Contact Hours DM'!$A:$A,$A36,'Contact Hours DM'!$B:$B,$B36)</f>
        <v>15760</v>
      </c>
      <c r="F36" s="269">
        <f>SUMIFS('Contact Hours DM'!G:G,'Contact Hours DM'!$A:$A,$A36,'Contact Hours DM'!$B:$B,$B36)</f>
        <v>0</v>
      </c>
      <c r="G36" s="269">
        <f>SUMIFS('Contact Hours DM'!F:F,'Contact Hours DM'!$A:$A,$A36,'Contact Hours DM'!$B:$B,$B36)</f>
        <v>0</v>
      </c>
      <c r="H36" s="269">
        <f>SUMIFS('Contact Hours DM'!H:H,'Contact Hours DM'!$A:$A,$A36,'Contact Hours DM'!$B:$B,$B36)</f>
        <v>0</v>
      </c>
      <c r="I36" s="269">
        <f>SUMIFS('Contact Hours DM'!I:I,'Contact Hours DM'!$A:$A,$A36,'Contact Hours DM'!$B:$B,$B36)</f>
        <v>10144</v>
      </c>
      <c r="J36" s="269">
        <f>SUMIFS('Contact Hours DM'!J:J,'Contact Hours DM'!$A:$A,$A36,'Contact Hours DM'!$B:$B,$B36)</f>
        <v>0</v>
      </c>
      <c r="K36" s="269">
        <f>SUMIFS('Contact Hours DM'!K:K,'Contact Hours DM'!$A:$A,$A36,'Contact Hours DM'!$B:$B,$B36)</f>
        <v>1200</v>
      </c>
      <c r="L36" s="275">
        <f t="shared" si="2"/>
        <v>15760</v>
      </c>
      <c r="M36" s="275">
        <f t="shared" si="3"/>
        <v>11344</v>
      </c>
      <c r="N36" s="275">
        <f t="shared" si="10"/>
        <v>1576</v>
      </c>
      <c r="O36" s="275">
        <f t="shared" si="11"/>
        <v>1134.4000000000001</v>
      </c>
      <c r="P36" s="275">
        <f t="shared" si="4"/>
        <v>17336</v>
      </c>
      <c r="Q36" s="275">
        <f t="shared" si="5"/>
        <v>12478.4</v>
      </c>
      <c r="R36" s="275">
        <f t="shared" si="6"/>
        <v>285374.77198268491</v>
      </c>
      <c r="S36" s="275">
        <f t="shared" si="7"/>
        <v>205411.89171139451</v>
      </c>
      <c r="T36" s="275">
        <f t="shared" si="8"/>
        <v>0</v>
      </c>
    </row>
    <row r="37" spans="1:20">
      <c r="A37" s="272">
        <v>23582</v>
      </c>
      <c r="B37" s="273">
        <v>8</v>
      </c>
      <c r="C37" s="274">
        <f t="shared" si="9"/>
        <v>16.702589254908318</v>
      </c>
      <c r="D37" s="269">
        <f>SUMIFS('Contact Hours DM'!D:D,'Contact Hours DM'!$A:$A,$A37,'Contact Hours DM'!$B:$B,$B37)</f>
        <v>0</v>
      </c>
      <c r="E37" s="269">
        <f>SUMIFS('Contact Hours DM'!E:E,'Contact Hours DM'!$A:$A,$A37,'Contact Hours DM'!$B:$B,$B37)</f>
        <v>0</v>
      </c>
      <c r="F37" s="269">
        <f>SUMIFS('Contact Hours DM'!G:G,'Contact Hours DM'!$A:$A,$A37,'Contact Hours DM'!$B:$B,$B37)</f>
        <v>0</v>
      </c>
      <c r="G37" s="269">
        <f>SUMIFS('Contact Hours DM'!F:F,'Contact Hours DM'!$A:$A,$A37,'Contact Hours DM'!$B:$B,$B37)</f>
        <v>0</v>
      </c>
      <c r="H37" s="269">
        <f>SUMIFS('Contact Hours DM'!H:H,'Contact Hours DM'!$A:$A,$A37,'Contact Hours DM'!$B:$B,$B37)</f>
        <v>1216</v>
      </c>
      <c r="I37" s="269">
        <f>SUMIFS('Contact Hours DM'!I:I,'Contact Hours DM'!$A:$A,$A37,'Contact Hours DM'!$B:$B,$B37)</f>
        <v>0</v>
      </c>
      <c r="J37" s="269">
        <f>SUMIFS('Contact Hours DM'!J:J,'Contact Hours DM'!$A:$A,$A37,'Contact Hours DM'!$B:$B,$B37)</f>
        <v>0</v>
      </c>
      <c r="K37" s="269">
        <f>SUMIFS('Contact Hours DM'!K:K,'Contact Hours DM'!$A:$A,$A37,'Contact Hours DM'!$B:$B,$B37)</f>
        <v>0</v>
      </c>
      <c r="L37" s="275">
        <f t="shared" si="2"/>
        <v>0</v>
      </c>
      <c r="M37" s="275">
        <f t="shared" si="3"/>
        <v>1216</v>
      </c>
      <c r="N37" s="275">
        <f t="shared" si="10"/>
        <v>0</v>
      </c>
      <c r="O37" s="275">
        <f t="shared" si="11"/>
        <v>0</v>
      </c>
      <c r="P37" s="275">
        <f t="shared" si="4"/>
        <v>0</v>
      </c>
      <c r="Q37" s="275">
        <f t="shared" si="5"/>
        <v>1216</v>
      </c>
      <c r="R37" s="275">
        <f t="shared" si="6"/>
        <v>0</v>
      </c>
      <c r="S37" s="275">
        <f t="shared" si="7"/>
        <v>20310.348533968514</v>
      </c>
      <c r="T37" s="275">
        <f t="shared" si="8"/>
        <v>0</v>
      </c>
    </row>
    <row r="38" spans="1:20">
      <c r="A38" s="272">
        <v>23582</v>
      </c>
      <c r="B38" s="273">
        <v>9</v>
      </c>
      <c r="C38" s="274">
        <f t="shared" si="9"/>
        <v>15.657421214889986</v>
      </c>
      <c r="D38" s="269">
        <f>SUMIFS('Contact Hours DM'!D:D,'Contact Hours DM'!$A:$A,$A38,'Contact Hours DM'!$B:$B,$B38)</f>
        <v>13968</v>
      </c>
      <c r="E38" s="269">
        <f>SUMIFS('Contact Hours DM'!E:E,'Contact Hours DM'!$A:$A,$A38,'Contact Hours DM'!$B:$B,$B38)</f>
        <v>6304</v>
      </c>
      <c r="F38" s="269">
        <f>SUMIFS('Contact Hours DM'!G:G,'Contact Hours DM'!$A:$A,$A38,'Contact Hours DM'!$B:$B,$B38)</f>
        <v>0</v>
      </c>
      <c r="G38" s="269">
        <f>SUMIFS('Contact Hours DM'!F:F,'Contact Hours DM'!$A:$A,$A38,'Contact Hours DM'!$B:$B,$B38)</f>
        <v>0</v>
      </c>
      <c r="H38" s="269">
        <f>SUMIFS('Contact Hours DM'!H:H,'Contact Hours DM'!$A:$A,$A38,'Contact Hours DM'!$B:$B,$B38)</f>
        <v>52704</v>
      </c>
      <c r="I38" s="269">
        <f>SUMIFS('Contact Hours DM'!I:I,'Contact Hours DM'!$A:$A,$A38,'Contact Hours DM'!$B:$B,$B38)</f>
        <v>0</v>
      </c>
      <c r="J38" s="269">
        <f>SUMIFS('Contact Hours DM'!J:J,'Contact Hours DM'!$A:$A,$A38,'Contact Hours DM'!$B:$B,$B38)</f>
        <v>0</v>
      </c>
      <c r="K38" s="269">
        <f>SUMIFS('Contact Hours DM'!K:K,'Contact Hours DM'!$A:$A,$A38,'Contact Hours DM'!$B:$B,$B38)</f>
        <v>0</v>
      </c>
      <c r="L38" s="275">
        <f t="shared" si="2"/>
        <v>20272</v>
      </c>
      <c r="M38" s="275">
        <f t="shared" si="3"/>
        <v>52704</v>
      </c>
      <c r="N38" s="275">
        <f t="shared" si="10"/>
        <v>630.40000000000009</v>
      </c>
      <c r="O38" s="275">
        <f t="shared" si="11"/>
        <v>0</v>
      </c>
      <c r="P38" s="275">
        <f t="shared" si="4"/>
        <v>20902.400000000001</v>
      </c>
      <c r="Q38" s="275">
        <f t="shared" si="5"/>
        <v>52704</v>
      </c>
      <c r="R38" s="275">
        <f t="shared" si="6"/>
        <v>327277.68120211648</v>
      </c>
      <c r="S38" s="275">
        <f t="shared" si="7"/>
        <v>825208.72770956182</v>
      </c>
      <c r="T38" s="275">
        <f t="shared" si="8"/>
        <v>0</v>
      </c>
    </row>
    <row r="39" spans="1:20">
      <c r="A39" s="272">
        <v>23582</v>
      </c>
      <c r="B39" s="273">
        <v>10</v>
      </c>
      <c r="C39" s="274">
        <f t="shared" si="9"/>
        <v>21.636988366917933</v>
      </c>
      <c r="D39" s="269">
        <f>SUMIFS('Contact Hours DM'!D:D,'Contact Hours DM'!$A:$A,$A39,'Contact Hours DM'!$B:$B,$B39)</f>
        <v>0</v>
      </c>
      <c r="E39" s="269">
        <f>SUMIFS('Contact Hours DM'!E:E,'Contact Hours DM'!$A:$A,$A39,'Contact Hours DM'!$B:$B,$B39)</f>
        <v>0</v>
      </c>
      <c r="F39" s="269">
        <f>SUMIFS('Contact Hours DM'!G:G,'Contact Hours DM'!$A:$A,$A39,'Contact Hours DM'!$B:$B,$B39)</f>
        <v>0</v>
      </c>
      <c r="G39" s="269">
        <f>SUMIFS('Contact Hours DM'!F:F,'Contact Hours DM'!$A:$A,$A39,'Contact Hours DM'!$B:$B,$B39)</f>
        <v>0</v>
      </c>
      <c r="H39" s="269">
        <f>SUMIFS('Contact Hours DM'!H:H,'Contact Hours DM'!$A:$A,$A39,'Contact Hours DM'!$B:$B,$B39)</f>
        <v>0</v>
      </c>
      <c r="I39" s="269">
        <f>SUMIFS('Contact Hours DM'!I:I,'Contact Hours DM'!$A:$A,$A39,'Contact Hours DM'!$B:$B,$B39)</f>
        <v>0</v>
      </c>
      <c r="J39" s="269">
        <f>SUMIFS('Contact Hours DM'!J:J,'Contact Hours DM'!$A:$A,$A39,'Contact Hours DM'!$B:$B,$B39)</f>
        <v>0</v>
      </c>
      <c r="K39" s="269">
        <f>SUMIFS('Contact Hours DM'!K:K,'Contact Hours DM'!$A:$A,$A39,'Contact Hours DM'!$B:$B,$B39)</f>
        <v>0</v>
      </c>
      <c r="L39" s="275">
        <f t="shared" si="2"/>
        <v>0</v>
      </c>
      <c r="M39" s="275">
        <f t="shared" si="3"/>
        <v>0</v>
      </c>
      <c r="N39" s="275">
        <f t="shared" si="10"/>
        <v>0</v>
      </c>
      <c r="O39" s="275">
        <f t="shared" si="11"/>
        <v>0</v>
      </c>
      <c r="P39" s="275">
        <f t="shared" si="4"/>
        <v>0</v>
      </c>
      <c r="Q39" s="275">
        <f t="shared" si="5"/>
        <v>0</v>
      </c>
      <c r="R39" s="275">
        <f t="shared" si="6"/>
        <v>0</v>
      </c>
      <c r="S39" s="275">
        <f t="shared" si="7"/>
        <v>0</v>
      </c>
      <c r="T39" s="275">
        <f t="shared" si="8"/>
        <v>0</v>
      </c>
    </row>
    <row r="40" spans="1:20">
      <c r="A40" s="272">
        <v>23582</v>
      </c>
      <c r="B40" s="273">
        <v>11</v>
      </c>
      <c r="C40" s="274">
        <f t="shared" si="9"/>
        <v>16.471446322981187</v>
      </c>
      <c r="D40" s="269">
        <f>SUMIFS('Contact Hours DM'!D:D,'Contact Hours DM'!$A:$A,$A40,'Contact Hours DM'!$B:$B,$B40)</f>
        <v>0</v>
      </c>
      <c r="E40" s="269">
        <f>SUMIFS('Contact Hours DM'!E:E,'Contact Hours DM'!$A:$A,$A40,'Contact Hours DM'!$B:$B,$B40)</f>
        <v>0</v>
      </c>
      <c r="F40" s="269">
        <f>SUMIFS('Contact Hours DM'!G:G,'Contact Hours DM'!$A:$A,$A40,'Contact Hours DM'!$B:$B,$B40)</f>
        <v>0</v>
      </c>
      <c r="G40" s="269">
        <f>SUMIFS('Contact Hours DM'!F:F,'Contact Hours DM'!$A:$A,$A40,'Contact Hours DM'!$B:$B,$B40)</f>
        <v>0</v>
      </c>
      <c r="H40" s="269">
        <f>SUMIFS('Contact Hours DM'!H:H,'Contact Hours DM'!$A:$A,$A40,'Contact Hours DM'!$B:$B,$B40)</f>
        <v>0</v>
      </c>
      <c r="I40" s="269">
        <f>SUMIFS('Contact Hours DM'!I:I,'Contact Hours DM'!$A:$A,$A40,'Contact Hours DM'!$B:$B,$B40)</f>
        <v>40800</v>
      </c>
      <c r="J40" s="269">
        <f>SUMIFS('Contact Hours DM'!J:J,'Contact Hours DM'!$A:$A,$A40,'Contact Hours DM'!$B:$B,$B40)</f>
        <v>0</v>
      </c>
      <c r="K40" s="269">
        <f>SUMIFS('Contact Hours DM'!K:K,'Contact Hours DM'!$A:$A,$A40,'Contact Hours DM'!$B:$B,$B40)</f>
        <v>3080</v>
      </c>
      <c r="L40" s="275">
        <f t="shared" si="2"/>
        <v>0</v>
      </c>
      <c r="M40" s="275">
        <f t="shared" si="3"/>
        <v>43880</v>
      </c>
      <c r="N40" s="275">
        <f t="shared" si="10"/>
        <v>0</v>
      </c>
      <c r="O40" s="275">
        <f t="shared" si="11"/>
        <v>4388</v>
      </c>
      <c r="P40" s="275">
        <f t="shared" si="4"/>
        <v>0</v>
      </c>
      <c r="Q40" s="275">
        <f t="shared" si="5"/>
        <v>48268</v>
      </c>
      <c r="R40" s="275">
        <f t="shared" si="6"/>
        <v>0</v>
      </c>
      <c r="S40" s="275">
        <f t="shared" si="7"/>
        <v>795043.77111765591</v>
      </c>
      <c r="T40" s="275">
        <f t="shared" si="8"/>
        <v>0</v>
      </c>
    </row>
    <row r="41" spans="1:20">
      <c r="A41" s="272">
        <v>23582</v>
      </c>
      <c r="B41" s="273">
        <v>12</v>
      </c>
      <c r="C41" s="274">
        <f t="shared" si="9"/>
        <v>15.546874595272664</v>
      </c>
      <c r="D41" s="269">
        <f>SUMIFS('Contact Hours DM'!D:D,'Contact Hours DM'!$A:$A,$A41,'Contact Hours DM'!$B:$B,$B41)</f>
        <v>70368</v>
      </c>
      <c r="E41" s="269">
        <f>SUMIFS('Contact Hours DM'!E:E,'Contact Hours DM'!$A:$A,$A41,'Contact Hours DM'!$B:$B,$B41)</f>
        <v>0</v>
      </c>
      <c r="F41" s="269">
        <f>SUMIFS('Contact Hours DM'!G:G,'Contact Hours DM'!$A:$A,$A41,'Contact Hours DM'!$B:$B,$B41)</f>
        <v>0</v>
      </c>
      <c r="G41" s="269">
        <f>SUMIFS('Contact Hours DM'!F:F,'Contact Hours DM'!$A:$A,$A41,'Contact Hours DM'!$B:$B,$B41)</f>
        <v>11312</v>
      </c>
      <c r="H41" s="269">
        <f>SUMIFS('Contact Hours DM'!H:H,'Contact Hours DM'!$A:$A,$A41,'Contact Hours DM'!$B:$B,$B41)</f>
        <v>0</v>
      </c>
      <c r="I41" s="269">
        <f>SUMIFS('Contact Hours DM'!I:I,'Contact Hours DM'!$A:$A,$A41,'Contact Hours DM'!$B:$B,$B41)</f>
        <v>0</v>
      </c>
      <c r="J41" s="269">
        <f>SUMIFS('Contact Hours DM'!J:J,'Contact Hours DM'!$A:$A,$A41,'Contact Hours DM'!$B:$B,$B41)</f>
        <v>0</v>
      </c>
      <c r="K41" s="269">
        <f>SUMIFS('Contact Hours DM'!K:K,'Contact Hours DM'!$A:$A,$A41,'Contact Hours DM'!$B:$B,$B41)</f>
        <v>0</v>
      </c>
      <c r="L41" s="275">
        <f t="shared" si="2"/>
        <v>81680</v>
      </c>
      <c r="M41" s="275">
        <f t="shared" si="3"/>
        <v>0</v>
      </c>
      <c r="N41" s="275">
        <f t="shared" si="10"/>
        <v>0</v>
      </c>
      <c r="O41" s="275">
        <f t="shared" si="11"/>
        <v>0</v>
      </c>
      <c r="P41" s="275">
        <f t="shared" si="4"/>
        <v>81680</v>
      </c>
      <c r="Q41" s="275">
        <f t="shared" si="5"/>
        <v>0</v>
      </c>
      <c r="R41" s="275">
        <f t="shared" si="6"/>
        <v>1269868.7169418712</v>
      </c>
      <c r="S41" s="275">
        <f t="shared" si="7"/>
        <v>0</v>
      </c>
      <c r="T41" s="275">
        <f t="shared" si="8"/>
        <v>175866.24542172436</v>
      </c>
    </row>
    <row r="42" spans="1:20">
      <c r="A42" s="272">
        <v>23582</v>
      </c>
      <c r="B42" s="273">
        <v>13</v>
      </c>
      <c r="C42" s="274">
        <f t="shared" si="9"/>
        <v>12.8937557244569</v>
      </c>
      <c r="D42" s="269">
        <f>SUMIFS('Contact Hours DM'!D:D,'Contact Hours DM'!$A:$A,$A42,'Contact Hours DM'!$B:$B,$B42)</f>
        <v>2496</v>
      </c>
      <c r="E42" s="269">
        <f>SUMIFS('Contact Hours DM'!E:E,'Contact Hours DM'!$A:$A,$A42,'Contact Hours DM'!$B:$B,$B42)</f>
        <v>0</v>
      </c>
      <c r="F42" s="269">
        <f>SUMIFS('Contact Hours DM'!G:G,'Contact Hours DM'!$A:$A,$A42,'Contact Hours DM'!$B:$B,$B42)</f>
        <v>0</v>
      </c>
      <c r="G42" s="269">
        <f>SUMIFS('Contact Hours DM'!F:F,'Contact Hours DM'!$A:$A,$A42,'Contact Hours DM'!$B:$B,$B42)</f>
        <v>0</v>
      </c>
      <c r="H42" s="269">
        <f>SUMIFS('Contact Hours DM'!H:H,'Contact Hours DM'!$A:$A,$A42,'Contact Hours DM'!$B:$B,$B42)</f>
        <v>0</v>
      </c>
      <c r="I42" s="269">
        <f>SUMIFS('Contact Hours DM'!I:I,'Contact Hours DM'!$A:$A,$A42,'Contact Hours DM'!$B:$B,$B42)</f>
        <v>0</v>
      </c>
      <c r="J42" s="269">
        <f>SUMIFS('Contact Hours DM'!J:J,'Contact Hours DM'!$A:$A,$A42,'Contact Hours DM'!$B:$B,$B42)</f>
        <v>0</v>
      </c>
      <c r="K42" s="269">
        <f>SUMIFS('Contact Hours DM'!K:K,'Contact Hours DM'!$A:$A,$A42,'Contact Hours DM'!$B:$B,$B42)</f>
        <v>0</v>
      </c>
      <c r="L42" s="275">
        <f t="shared" si="2"/>
        <v>2496</v>
      </c>
      <c r="M42" s="275">
        <f t="shared" si="3"/>
        <v>0</v>
      </c>
      <c r="N42" s="275">
        <f t="shared" si="10"/>
        <v>0</v>
      </c>
      <c r="O42" s="275">
        <f t="shared" si="11"/>
        <v>0</v>
      </c>
      <c r="P42" s="275">
        <f t="shared" si="4"/>
        <v>2496</v>
      </c>
      <c r="Q42" s="275">
        <f t="shared" si="5"/>
        <v>0</v>
      </c>
      <c r="R42" s="275">
        <f t="shared" si="6"/>
        <v>32182.814288244423</v>
      </c>
      <c r="S42" s="275">
        <f t="shared" si="7"/>
        <v>0</v>
      </c>
      <c r="T42" s="275">
        <f t="shared" si="8"/>
        <v>0</v>
      </c>
    </row>
    <row r="43" spans="1:20">
      <c r="A43" s="272">
        <v>23582</v>
      </c>
      <c r="B43" s="273">
        <v>14</v>
      </c>
      <c r="C43" s="274">
        <f t="shared" si="9"/>
        <v>20.672217868439475</v>
      </c>
      <c r="D43" s="269">
        <f>SUMIFS('Contact Hours DM'!D:D,'Contact Hours DM'!$A:$A,$A43,'Contact Hours DM'!$B:$B,$B43)</f>
        <v>0</v>
      </c>
      <c r="E43" s="269">
        <f>SUMIFS('Contact Hours DM'!E:E,'Contact Hours DM'!$A:$A,$A43,'Contact Hours DM'!$B:$B,$B43)</f>
        <v>0</v>
      </c>
      <c r="F43" s="269">
        <f>SUMIFS('Contact Hours DM'!G:G,'Contact Hours DM'!$A:$A,$A43,'Contact Hours DM'!$B:$B,$B43)</f>
        <v>0</v>
      </c>
      <c r="G43" s="269">
        <f>SUMIFS('Contact Hours DM'!F:F,'Contact Hours DM'!$A:$A,$A43,'Contact Hours DM'!$B:$B,$B43)</f>
        <v>0</v>
      </c>
      <c r="H43" s="269">
        <f>SUMIFS('Contact Hours DM'!H:H,'Contact Hours DM'!$A:$A,$A43,'Contact Hours DM'!$B:$B,$B43)</f>
        <v>0</v>
      </c>
      <c r="I43" s="269">
        <f>SUMIFS('Contact Hours DM'!I:I,'Contact Hours DM'!$A:$A,$A43,'Contact Hours DM'!$B:$B,$B43)</f>
        <v>102736</v>
      </c>
      <c r="J43" s="269">
        <f>SUMIFS('Contact Hours DM'!J:J,'Contact Hours DM'!$A:$A,$A43,'Contact Hours DM'!$B:$B,$B43)</f>
        <v>0</v>
      </c>
      <c r="K43" s="269">
        <f>SUMIFS('Contact Hours DM'!K:K,'Contact Hours DM'!$A:$A,$A43,'Contact Hours DM'!$B:$B,$B43)</f>
        <v>4504</v>
      </c>
      <c r="L43" s="275">
        <f t="shared" si="2"/>
        <v>0</v>
      </c>
      <c r="M43" s="275">
        <f t="shared" si="3"/>
        <v>107240</v>
      </c>
      <c r="N43" s="275">
        <f t="shared" si="10"/>
        <v>0</v>
      </c>
      <c r="O43" s="275">
        <f t="shared" si="11"/>
        <v>10724</v>
      </c>
      <c r="P43" s="275">
        <f t="shared" si="4"/>
        <v>0</v>
      </c>
      <c r="Q43" s="275">
        <f t="shared" si="5"/>
        <v>117964</v>
      </c>
      <c r="R43" s="275">
        <f t="shared" si="6"/>
        <v>0</v>
      </c>
      <c r="S43" s="275">
        <f t="shared" si="7"/>
        <v>2438577.5086325943</v>
      </c>
      <c r="T43" s="275">
        <f t="shared" si="8"/>
        <v>0</v>
      </c>
    </row>
    <row r="44" spans="1:20">
      <c r="A44" s="272">
        <v>23582</v>
      </c>
      <c r="B44" s="273">
        <v>15</v>
      </c>
      <c r="C44" s="274">
        <f t="shared" si="9"/>
        <v>29.917935145524702</v>
      </c>
      <c r="D44" s="269">
        <f>SUMIFS('Contact Hours DM'!D:D,'Contact Hours DM'!$A:$A,$A44,'Contact Hours DM'!$B:$B,$B44)</f>
        <v>0</v>
      </c>
      <c r="E44" s="269">
        <f>SUMIFS('Contact Hours DM'!E:E,'Contact Hours DM'!$A:$A,$A44,'Contact Hours DM'!$B:$B,$B44)</f>
        <v>0</v>
      </c>
      <c r="F44" s="269">
        <f>SUMIFS('Contact Hours DM'!G:G,'Contact Hours DM'!$A:$A,$A44,'Contact Hours DM'!$B:$B,$B44)</f>
        <v>0</v>
      </c>
      <c r="G44" s="269">
        <f>SUMIFS('Contact Hours DM'!F:F,'Contact Hours DM'!$A:$A,$A44,'Contact Hours DM'!$B:$B,$B44)</f>
        <v>0</v>
      </c>
      <c r="H44" s="269">
        <f>SUMIFS('Contact Hours DM'!H:H,'Contact Hours DM'!$A:$A,$A44,'Contact Hours DM'!$B:$B,$B44)</f>
        <v>0</v>
      </c>
      <c r="I44" s="269">
        <f>SUMIFS('Contact Hours DM'!I:I,'Contact Hours DM'!$A:$A,$A44,'Contact Hours DM'!$B:$B,$B44)</f>
        <v>0</v>
      </c>
      <c r="J44" s="269">
        <f>SUMIFS('Contact Hours DM'!J:J,'Contact Hours DM'!$A:$A,$A44,'Contact Hours DM'!$B:$B,$B44)</f>
        <v>0</v>
      </c>
      <c r="K44" s="269">
        <f>SUMIFS('Contact Hours DM'!K:K,'Contact Hours DM'!$A:$A,$A44,'Contact Hours DM'!$B:$B,$B44)</f>
        <v>0</v>
      </c>
      <c r="L44" s="275">
        <f t="shared" si="2"/>
        <v>0</v>
      </c>
      <c r="M44" s="275">
        <f t="shared" si="3"/>
        <v>0</v>
      </c>
      <c r="N44" s="275">
        <f t="shared" si="10"/>
        <v>0</v>
      </c>
      <c r="O44" s="275">
        <f t="shared" si="11"/>
        <v>0</v>
      </c>
      <c r="P44" s="275">
        <f t="shared" si="4"/>
        <v>0</v>
      </c>
      <c r="Q44" s="275">
        <f t="shared" si="5"/>
        <v>0</v>
      </c>
      <c r="R44" s="275">
        <f t="shared" si="6"/>
        <v>0</v>
      </c>
      <c r="S44" s="275">
        <f t="shared" si="7"/>
        <v>0</v>
      </c>
      <c r="T44" s="275">
        <f t="shared" si="8"/>
        <v>0</v>
      </c>
    </row>
    <row r="45" spans="1:20">
      <c r="A45" s="272">
        <v>23582</v>
      </c>
      <c r="B45" s="273">
        <v>16</v>
      </c>
      <c r="C45" s="274">
        <f t="shared" si="9"/>
        <v>18.049248075701165</v>
      </c>
      <c r="D45" s="269">
        <f>SUMIFS('Contact Hours DM'!D:D,'Contact Hours DM'!$A:$A,$A45,'Contact Hours DM'!$B:$B,$B45)</f>
        <v>0</v>
      </c>
      <c r="E45" s="269">
        <f>SUMIFS('Contact Hours DM'!E:E,'Contact Hours DM'!$A:$A,$A45,'Contact Hours DM'!$B:$B,$B45)</f>
        <v>0</v>
      </c>
      <c r="F45" s="269">
        <f>SUMIFS('Contact Hours DM'!G:G,'Contact Hours DM'!$A:$A,$A45,'Contact Hours DM'!$B:$B,$B45)</f>
        <v>0</v>
      </c>
      <c r="G45" s="269">
        <f>SUMIFS('Contact Hours DM'!F:F,'Contact Hours DM'!$A:$A,$A45,'Contact Hours DM'!$B:$B,$B45)</f>
        <v>0</v>
      </c>
      <c r="H45" s="269">
        <f>SUMIFS('Contact Hours DM'!H:H,'Contact Hours DM'!$A:$A,$A45,'Contact Hours DM'!$B:$B,$B45)</f>
        <v>2176</v>
      </c>
      <c r="I45" s="269">
        <f>SUMIFS('Contact Hours DM'!I:I,'Contact Hours DM'!$A:$A,$A45,'Contact Hours DM'!$B:$B,$B45)</f>
        <v>30608</v>
      </c>
      <c r="J45" s="269">
        <f>SUMIFS('Contact Hours DM'!J:J,'Contact Hours DM'!$A:$A,$A45,'Contact Hours DM'!$B:$B,$B45)</f>
        <v>0</v>
      </c>
      <c r="K45" s="269">
        <f>SUMIFS('Contact Hours DM'!K:K,'Contact Hours DM'!$A:$A,$A45,'Contact Hours DM'!$B:$B,$B45)</f>
        <v>8084</v>
      </c>
      <c r="L45" s="275">
        <f t="shared" si="2"/>
        <v>0</v>
      </c>
      <c r="M45" s="275">
        <f t="shared" si="3"/>
        <v>40868</v>
      </c>
      <c r="N45" s="275">
        <f t="shared" si="10"/>
        <v>0</v>
      </c>
      <c r="O45" s="275">
        <f t="shared" si="11"/>
        <v>3869.2000000000003</v>
      </c>
      <c r="P45" s="275">
        <f t="shared" si="4"/>
        <v>0</v>
      </c>
      <c r="Q45" s="275">
        <f t="shared" si="5"/>
        <v>44737.2</v>
      </c>
      <c r="R45" s="275">
        <f t="shared" si="6"/>
        <v>0</v>
      </c>
      <c r="S45" s="275">
        <f t="shared" si="7"/>
        <v>807472.82101225806</v>
      </c>
      <c r="T45" s="275">
        <f t="shared" si="8"/>
        <v>0</v>
      </c>
    </row>
    <row r="46" spans="1:20">
      <c r="A46" s="272">
        <v>23582</v>
      </c>
      <c r="B46" s="273">
        <v>17</v>
      </c>
      <c r="C46" s="274">
        <f t="shared" si="9"/>
        <v>21.998777303847355</v>
      </c>
      <c r="D46" s="269">
        <f>SUMIFS('Contact Hours DM'!D:D,'Contact Hours DM'!$A:$A,$A46,'Contact Hours DM'!$B:$B,$B46)</f>
        <v>0</v>
      </c>
      <c r="E46" s="269">
        <f>SUMIFS('Contact Hours DM'!E:E,'Contact Hours DM'!$A:$A,$A46,'Contact Hours DM'!$B:$B,$B46)</f>
        <v>0</v>
      </c>
      <c r="F46" s="269">
        <f>SUMIFS('Contact Hours DM'!G:G,'Contact Hours DM'!$A:$A,$A46,'Contact Hours DM'!$B:$B,$B46)</f>
        <v>0</v>
      </c>
      <c r="G46" s="269">
        <f>SUMIFS('Contact Hours DM'!F:F,'Contact Hours DM'!$A:$A,$A46,'Contact Hours DM'!$B:$B,$B46)</f>
        <v>0</v>
      </c>
      <c r="H46" s="269">
        <f>SUMIFS('Contact Hours DM'!H:H,'Contact Hours DM'!$A:$A,$A46,'Contact Hours DM'!$B:$B,$B46)</f>
        <v>0</v>
      </c>
      <c r="I46" s="269">
        <f>SUMIFS('Contact Hours DM'!I:I,'Contact Hours DM'!$A:$A,$A46,'Contact Hours DM'!$B:$B,$B46)</f>
        <v>0</v>
      </c>
      <c r="J46" s="269">
        <f>SUMIFS('Contact Hours DM'!J:J,'Contact Hours DM'!$A:$A,$A46,'Contact Hours DM'!$B:$B,$B46)</f>
        <v>0</v>
      </c>
      <c r="K46" s="269">
        <f>SUMIFS('Contact Hours DM'!K:K,'Contact Hours DM'!$A:$A,$A46,'Contact Hours DM'!$B:$B,$B46)</f>
        <v>0</v>
      </c>
      <c r="L46" s="275">
        <f t="shared" si="2"/>
        <v>0</v>
      </c>
      <c r="M46" s="275">
        <f t="shared" si="3"/>
        <v>0</v>
      </c>
      <c r="N46" s="275">
        <f t="shared" si="10"/>
        <v>0</v>
      </c>
      <c r="O46" s="275">
        <f t="shared" si="11"/>
        <v>0</v>
      </c>
      <c r="P46" s="275">
        <f t="shared" si="4"/>
        <v>0</v>
      </c>
      <c r="Q46" s="275">
        <f t="shared" si="5"/>
        <v>0</v>
      </c>
      <c r="R46" s="275">
        <f t="shared" si="6"/>
        <v>0</v>
      </c>
      <c r="S46" s="275">
        <f t="shared" si="7"/>
        <v>0</v>
      </c>
      <c r="T46" s="275">
        <f t="shared" si="8"/>
        <v>0</v>
      </c>
    </row>
    <row r="47" spans="1:20">
      <c r="A47" s="272">
        <v>23582</v>
      </c>
      <c r="B47" s="273">
        <v>18</v>
      </c>
      <c r="C47" s="274">
        <f t="shared" si="9"/>
        <v>19.014018574179627</v>
      </c>
      <c r="D47" s="269">
        <f>SUMIFS('Contact Hours DM'!D:D,'Contact Hours DM'!$A:$A,$A47,'Contact Hours DM'!$B:$B,$B47)</f>
        <v>0</v>
      </c>
      <c r="E47" s="269">
        <f>SUMIFS('Contact Hours DM'!E:E,'Contact Hours DM'!$A:$A,$A47,'Contact Hours DM'!$B:$B,$B47)</f>
        <v>0</v>
      </c>
      <c r="F47" s="269">
        <f>SUMIFS('Contact Hours DM'!G:G,'Contact Hours DM'!$A:$A,$A47,'Contact Hours DM'!$B:$B,$B47)</f>
        <v>0</v>
      </c>
      <c r="G47" s="269">
        <f>SUMIFS('Contact Hours DM'!F:F,'Contact Hours DM'!$A:$A,$A47,'Contact Hours DM'!$B:$B,$B47)</f>
        <v>0</v>
      </c>
      <c r="H47" s="269">
        <f>SUMIFS('Contact Hours DM'!H:H,'Contact Hours DM'!$A:$A,$A47,'Contact Hours DM'!$B:$B,$B47)</f>
        <v>0</v>
      </c>
      <c r="I47" s="269">
        <f>SUMIFS('Contact Hours DM'!I:I,'Contact Hours DM'!$A:$A,$A47,'Contact Hours DM'!$B:$B,$B47)</f>
        <v>180320</v>
      </c>
      <c r="J47" s="269">
        <f>SUMIFS('Contact Hours DM'!J:J,'Contact Hours DM'!$A:$A,$A47,'Contact Hours DM'!$B:$B,$B47)</f>
        <v>0</v>
      </c>
      <c r="K47" s="269">
        <f>SUMIFS('Contact Hours DM'!K:K,'Contact Hours DM'!$A:$A,$A47,'Contact Hours DM'!$B:$B,$B47)</f>
        <v>720</v>
      </c>
      <c r="L47" s="275">
        <f t="shared" si="2"/>
        <v>0</v>
      </c>
      <c r="M47" s="275">
        <f t="shared" si="3"/>
        <v>181040</v>
      </c>
      <c r="N47" s="275">
        <f t="shared" si="10"/>
        <v>0</v>
      </c>
      <c r="O47" s="275">
        <f t="shared" si="11"/>
        <v>18104</v>
      </c>
      <c r="P47" s="275">
        <f t="shared" si="4"/>
        <v>0</v>
      </c>
      <c r="Q47" s="275">
        <f t="shared" si="5"/>
        <v>199144</v>
      </c>
      <c r="R47" s="275">
        <f t="shared" si="6"/>
        <v>0</v>
      </c>
      <c r="S47" s="275">
        <f t="shared" si="7"/>
        <v>3786527.7149364278</v>
      </c>
      <c r="T47" s="275">
        <f t="shared" si="8"/>
        <v>0</v>
      </c>
    </row>
    <row r="48" spans="1:20">
      <c r="A48" s="272">
        <v>23582</v>
      </c>
      <c r="B48" s="273">
        <v>19</v>
      </c>
      <c r="C48" s="274">
        <f t="shared" si="9"/>
        <v>13.838426837550392</v>
      </c>
      <c r="D48" s="269">
        <f>SUMIFS('Contact Hours DM'!D:D,'Contact Hours DM'!$A:$A,$A48,'Contact Hours DM'!$B:$B,$B48)</f>
        <v>0</v>
      </c>
      <c r="E48" s="269">
        <f>SUMIFS('Contact Hours DM'!E:E,'Contact Hours DM'!$A:$A,$A48,'Contact Hours DM'!$B:$B,$B48)</f>
        <v>30960</v>
      </c>
      <c r="F48" s="269">
        <f>SUMIFS('Contact Hours DM'!G:G,'Contact Hours DM'!$A:$A,$A48,'Contact Hours DM'!$B:$B,$B48)</f>
        <v>22096</v>
      </c>
      <c r="G48" s="269">
        <f>SUMIFS('Contact Hours DM'!F:F,'Contact Hours DM'!$A:$A,$A48,'Contact Hours DM'!$B:$B,$B48)</f>
        <v>0</v>
      </c>
      <c r="H48" s="269">
        <f>SUMIFS('Contact Hours DM'!H:H,'Contact Hours DM'!$A:$A,$A48,'Contact Hours DM'!$B:$B,$B48)</f>
        <v>0</v>
      </c>
      <c r="I48" s="269">
        <f>SUMIFS('Contact Hours DM'!I:I,'Contact Hours DM'!$A:$A,$A48,'Contact Hours DM'!$B:$B,$B48)</f>
        <v>0</v>
      </c>
      <c r="J48" s="269">
        <f>SUMIFS('Contact Hours DM'!J:J,'Contact Hours DM'!$A:$A,$A48,'Contact Hours DM'!$B:$B,$B48)</f>
        <v>0</v>
      </c>
      <c r="K48" s="269">
        <f>SUMIFS('Contact Hours DM'!K:K,'Contact Hours DM'!$A:$A,$A48,'Contact Hours DM'!$B:$B,$B48)</f>
        <v>473</v>
      </c>
      <c r="L48" s="275">
        <f t="shared" si="2"/>
        <v>53056</v>
      </c>
      <c r="M48" s="275">
        <f t="shared" si="3"/>
        <v>473</v>
      </c>
      <c r="N48" s="275">
        <f t="shared" si="10"/>
        <v>5305.6</v>
      </c>
      <c r="O48" s="275">
        <f t="shared" si="11"/>
        <v>47.300000000000004</v>
      </c>
      <c r="P48" s="275">
        <f t="shared" si="4"/>
        <v>58361.599999999999</v>
      </c>
      <c r="Q48" s="275">
        <f t="shared" si="5"/>
        <v>520.29999999999995</v>
      </c>
      <c r="R48" s="275">
        <f t="shared" si="6"/>
        <v>807632.73172238097</v>
      </c>
      <c r="S48" s="275">
        <f t="shared" si="7"/>
        <v>7200.1334835774678</v>
      </c>
      <c r="T48" s="275">
        <f t="shared" si="8"/>
        <v>336351.26734276483</v>
      </c>
    </row>
    <row r="49" spans="1:20">
      <c r="A49" s="272">
        <v>23582</v>
      </c>
      <c r="B49" s="273">
        <v>20</v>
      </c>
      <c r="C49" s="274">
        <f t="shared" si="9"/>
        <v>16.863384337988059</v>
      </c>
      <c r="D49" s="269">
        <f>SUMIFS('Contact Hours DM'!D:D,'Contact Hours DM'!$A:$A,$A49,'Contact Hours DM'!$B:$B,$B49)</f>
        <v>0</v>
      </c>
      <c r="E49" s="269">
        <f>SUMIFS('Contact Hours DM'!E:E,'Contact Hours DM'!$A:$A,$A49,'Contact Hours DM'!$B:$B,$B49)</f>
        <v>0</v>
      </c>
      <c r="F49" s="269">
        <f>SUMIFS('Contact Hours DM'!G:G,'Contact Hours DM'!$A:$A,$A49,'Contact Hours DM'!$B:$B,$B49)</f>
        <v>0</v>
      </c>
      <c r="G49" s="269">
        <f>SUMIFS('Contact Hours DM'!F:F,'Contact Hours DM'!$A:$A,$A49,'Contact Hours DM'!$B:$B,$B49)</f>
        <v>0</v>
      </c>
      <c r="H49" s="269">
        <f>SUMIFS('Contact Hours DM'!H:H,'Contact Hours DM'!$A:$A,$A49,'Contact Hours DM'!$B:$B,$B49)</f>
        <v>0</v>
      </c>
      <c r="I49" s="269">
        <f>SUMIFS('Contact Hours DM'!I:I,'Contact Hours DM'!$A:$A,$A49,'Contact Hours DM'!$B:$B,$B49)</f>
        <v>0</v>
      </c>
      <c r="J49" s="269">
        <f>SUMIFS('Contact Hours DM'!J:J,'Contact Hours DM'!$A:$A,$A49,'Contact Hours DM'!$B:$B,$B49)</f>
        <v>320</v>
      </c>
      <c r="K49" s="269">
        <f>SUMIFS('Contact Hours DM'!K:K,'Contact Hours DM'!$A:$A,$A49,'Contact Hours DM'!$B:$B,$B49)</f>
        <v>0</v>
      </c>
      <c r="L49" s="275">
        <f t="shared" si="2"/>
        <v>0</v>
      </c>
      <c r="M49" s="275">
        <f t="shared" si="3"/>
        <v>320</v>
      </c>
      <c r="N49" s="275">
        <f t="shared" si="10"/>
        <v>0</v>
      </c>
      <c r="O49" s="275">
        <f t="shared" si="11"/>
        <v>0</v>
      </c>
      <c r="P49" s="275">
        <f t="shared" si="4"/>
        <v>0</v>
      </c>
      <c r="Q49" s="275">
        <f t="shared" si="5"/>
        <v>320</v>
      </c>
      <c r="R49" s="275">
        <f t="shared" si="6"/>
        <v>0</v>
      </c>
      <c r="S49" s="275">
        <f t="shared" si="7"/>
        <v>5396.2829881561793</v>
      </c>
      <c r="T49" s="275">
        <f t="shared" si="8"/>
        <v>0</v>
      </c>
    </row>
    <row r="50" spans="1:20">
      <c r="A50" s="272">
        <v>23582</v>
      </c>
      <c r="B50" s="273">
        <v>21</v>
      </c>
      <c r="C50" s="274">
        <f t="shared" si="9"/>
        <v>18.169844388010969</v>
      </c>
      <c r="D50" s="269">
        <f>SUMIFS('Contact Hours DM'!D:D,'Contact Hours DM'!$A:$A,$A50,'Contact Hours DM'!$B:$B,$B50)</f>
        <v>0</v>
      </c>
      <c r="E50" s="269">
        <f>SUMIFS('Contact Hours DM'!E:E,'Contact Hours DM'!$A:$A,$A50,'Contact Hours DM'!$B:$B,$B50)</f>
        <v>0</v>
      </c>
      <c r="F50" s="269">
        <f>SUMIFS('Contact Hours DM'!G:G,'Contact Hours DM'!$A:$A,$A50,'Contact Hours DM'!$B:$B,$B50)</f>
        <v>0</v>
      </c>
      <c r="G50" s="269">
        <f>SUMIFS('Contact Hours DM'!F:F,'Contact Hours DM'!$A:$A,$A50,'Contact Hours DM'!$B:$B,$B50)</f>
        <v>0</v>
      </c>
      <c r="H50" s="269">
        <f>SUMIFS('Contact Hours DM'!H:H,'Contact Hours DM'!$A:$A,$A50,'Contact Hours DM'!$B:$B,$B50)</f>
        <v>5280</v>
      </c>
      <c r="I50" s="269">
        <f>SUMIFS('Contact Hours DM'!I:I,'Contact Hours DM'!$A:$A,$A50,'Contact Hours DM'!$B:$B,$B50)</f>
        <v>0</v>
      </c>
      <c r="J50" s="269">
        <f>SUMIFS('Contact Hours DM'!J:J,'Contact Hours DM'!$A:$A,$A50,'Contact Hours DM'!$B:$B,$B50)</f>
        <v>16044</v>
      </c>
      <c r="K50" s="269">
        <f>SUMIFS('Contact Hours DM'!K:K,'Contact Hours DM'!$A:$A,$A50,'Contact Hours DM'!$B:$B,$B50)</f>
        <v>0</v>
      </c>
      <c r="L50" s="275">
        <f t="shared" si="2"/>
        <v>0</v>
      </c>
      <c r="M50" s="275">
        <f t="shared" si="3"/>
        <v>21324</v>
      </c>
      <c r="N50" s="275">
        <f t="shared" si="10"/>
        <v>0</v>
      </c>
      <c r="O50" s="275">
        <f t="shared" si="11"/>
        <v>0</v>
      </c>
      <c r="P50" s="275">
        <f t="shared" si="4"/>
        <v>0</v>
      </c>
      <c r="Q50" s="275">
        <f t="shared" si="5"/>
        <v>21324</v>
      </c>
      <c r="R50" s="275">
        <f t="shared" si="6"/>
        <v>0</v>
      </c>
      <c r="S50" s="275">
        <f t="shared" si="7"/>
        <v>387453.76172994589</v>
      </c>
      <c r="T50" s="275">
        <f t="shared" si="8"/>
        <v>0</v>
      </c>
    </row>
    <row r="51" spans="1:20">
      <c r="A51" s="272">
        <v>23582</v>
      </c>
      <c r="B51" s="273">
        <v>22</v>
      </c>
      <c r="C51" s="274">
        <f t="shared" si="9"/>
        <v>20.551621556129668</v>
      </c>
      <c r="D51" s="269">
        <f>SUMIFS('Contact Hours DM'!D:D,'Contact Hours DM'!$A:$A,$A51,'Contact Hours DM'!$B:$B,$B51)</f>
        <v>0</v>
      </c>
      <c r="E51" s="269">
        <f>SUMIFS('Contact Hours DM'!E:E,'Contact Hours DM'!$A:$A,$A51,'Contact Hours DM'!$B:$B,$B51)</f>
        <v>0</v>
      </c>
      <c r="F51" s="269">
        <f>SUMIFS('Contact Hours DM'!G:G,'Contact Hours DM'!$A:$A,$A51,'Contact Hours DM'!$B:$B,$B51)</f>
        <v>0</v>
      </c>
      <c r="G51" s="269">
        <f>SUMIFS('Contact Hours DM'!F:F,'Contact Hours DM'!$A:$A,$A51,'Contact Hours DM'!$B:$B,$B51)</f>
        <v>0</v>
      </c>
      <c r="H51" s="269">
        <f>SUMIFS('Contact Hours DM'!H:H,'Contact Hours DM'!$A:$A,$A51,'Contact Hours DM'!$B:$B,$B51)</f>
        <v>3168</v>
      </c>
      <c r="I51" s="269">
        <f>SUMIFS('Contact Hours DM'!I:I,'Contact Hours DM'!$A:$A,$A51,'Contact Hours DM'!$B:$B,$B51)</f>
        <v>0</v>
      </c>
      <c r="J51" s="269">
        <f>SUMIFS('Contact Hours DM'!J:J,'Contact Hours DM'!$A:$A,$A51,'Contact Hours DM'!$B:$B,$B51)</f>
        <v>0</v>
      </c>
      <c r="K51" s="269">
        <f>SUMIFS('Contact Hours DM'!K:K,'Contact Hours DM'!$A:$A,$A51,'Contact Hours DM'!$B:$B,$B51)</f>
        <v>0</v>
      </c>
      <c r="L51" s="275">
        <f t="shared" si="2"/>
        <v>0</v>
      </c>
      <c r="M51" s="275">
        <f t="shared" si="3"/>
        <v>3168</v>
      </c>
      <c r="N51" s="275">
        <f t="shared" si="10"/>
        <v>0</v>
      </c>
      <c r="O51" s="275">
        <f t="shared" si="11"/>
        <v>0</v>
      </c>
      <c r="P51" s="275">
        <f t="shared" si="4"/>
        <v>0</v>
      </c>
      <c r="Q51" s="275">
        <f t="shared" si="5"/>
        <v>3168</v>
      </c>
      <c r="R51" s="275">
        <f t="shared" si="6"/>
        <v>0</v>
      </c>
      <c r="S51" s="275">
        <f t="shared" si="7"/>
        <v>65107.53708981879</v>
      </c>
      <c r="T51" s="275">
        <f t="shared" si="8"/>
        <v>0</v>
      </c>
    </row>
    <row r="52" spans="1:20">
      <c r="A52" s="272">
        <v>23582</v>
      </c>
      <c r="B52" s="273">
        <v>23</v>
      </c>
      <c r="C52" s="274">
        <f t="shared" si="9"/>
        <v>18.049248075701165</v>
      </c>
      <c r="D52" s="269">
        <f>SUMIFS('Contact Hours DM'!D:D,'Contact Hours DM'!$A:$A,$A52,'Contact Hours DM'!$B:$B,$B52)</f>
        <v>0</v>
      </c>
      <c r="E52" s="269">
        <f>SUMIFS('Contact Hours DM'!E:E,'Contact Hours DM'!$A:$A,$A52,'Contact Hours DM'!$B:$B,$B52)</f>
        <v>0</v>
      </c>
      <c r="F52" s="269">
        <f>SUMIFS('Contact Hours DM'!G:G,'Contact Hours DM'!$A:$A,$A52,'Contact Hours DM'!$B:$B,$B52)</f>
        <v>0</v>
      </c>
      <c r="G52" s="269">
        <f>SUMIFS('Contact Hours DM'!F:F,'Contact Hours DM'!$A:$A,$A52,'Contact Hours DM'!$B:$B,$B52)</f>
        <v>0</v>
      </c>
      <c r="H52" s="269">
        <f>SUMIFS('Contact Hours DM'!H:H,'Contact Hours DM'!$A:$A,$A52,'Contact Hours DM'!$B:$B,$B52)</f>
        <v>0</v>
      </c>
      <c r="I52" s="269">
        <f>SUMIFS('Contact Hours DM'!I:I,'Contact Hours DM'!$A:$A,$A52,'Contact Hours DM'!$B:$B,$B52)</f>
        <v>0</v>
      </c>
      <c r="J52" s="269">
        <f>SUMIFS('Contact Hours DM'!J:J,'Contact Hours DM'!$A:$A,$A52,'Contact Hours DM'!$B:$B,$B52)</f>
        <v>0</v>
      </c>
      <c r="K52" s="269">
        <f>SUMIFS('Contact Hours DM'!K:K,'Contact Hours DM'!$A:$A,$A52,'Contact Hours DM'!$B:$B,$B52)</f>
        <v>0</v>
      </c>
      <c r="L52" s="275">
        <f t="shared" si="2"/>
        <v>0</v>
      </c>
      <c r="M52" s="275">
        <f t="shared" si="3"/>
        <v>0</v>
      </c>
      <c r="N52" s="275">
        <f t="shared" si="10"/>
        <v>0</v>
      </c>
      <c r="O52" s="275">
        <f t="shared" si="11"/>
        <v>0</v>
      </c>
      <c r="P52" s="275">
        <f t="shared" si="4"/>
        <v>0</v>
      </c>
      <c r="Q52" s="275">
        <f t="shared" si="5"/>
        <v>0</v>
      </c>
      <c r="R52" s="275">
        <f t="shared" si="6"/>
        <v>0</v>
      </c>
      <c r="S52" s="275">
        <f t="shared" si="7"/>
        <v>0</v>
      </c>
      <c r="T52" s="275">
        <f t="shared" si="8"/>
        <v>0</v>
      </c>
    </row>
    <row r="53" spans="1:20">
      <c r="A53" s="272">
        <v>23582</v>
      </c>
      <c r="B53" s="273">
        <v>24</v>
      </c>
      <c r="C53" s="274">
        <f t="shared" si="9"/>
        <v>15.466477053732792</v>
      </c>
      <c r="D53" s="269">
        <f>SUMIFS('Contact Hours DM'!D:D,'Contact Hours DM'!$A:$A,$A53,'Contact Hours DM'!$B:$B,$B53)</f>
        <v>3888</v>
      </c>
      <c r="E53" s="269">
        <f>SUMIFS('Contact Hours DM'!E:E,'Contact Hours DM'!$A:$A,$A53,'Contact Hours DM'!$B:$B,$B53)</f>
        <v>0</v>
      </c>
      <c r="F53" s="269">
        <f>SUMIFS('Contact Hours DM'!G:G,'Contact Hours DM'!$A:$A,$A53,'Contact Hours DM'!$B:$B,$B53)</f>
        <v>0</v>
      </c>
      <c r="G53" s="269">
        <f>SUMIFS('Contact Hours DM'!F:F,'Contact Hours DM'!$A:$A,$A53,'Contact Hours DM'!$B:$B,$B53)</f>
        <v>0</v>
      </c>
      <c r="H53" s="269">
        <f>SUMIFS('Contact Hours DM'!H:H,'Contact Hours DM'!$A:$A,$A53,'Contact Hours DM'!$B:$B,$B53)</f>
        <v>6704</v>
      </c>
      <c r="I53" s="269">
        <f>SUMIFS('Contact Hours DM'!I:I,'Contact Hours DM'!$A:$A,$A53,'Contact Hours DM'!$B:$B,$B53)</f>
        <v>0</v>
      </c>
      <c r="J53" s="269">
        <f>SUMIFS('Contact Hours DM'!J:J,'Contact Hours DM'!$A:$A,$A53,'Contact Hours DM'!$B:$B,$B53)</f>
        <v>10032</v>
      </c>
      <c r="K53" s="269">
        <f>SUMIFS('Contact Hours DM'!K:K,'Contact Hours DM'!$A:$A,$A53,'Contact Hours DM'!$B:$B,$B53)</f>
        <v>0</v>
      </c>
      <c r="L53" s="275">
        <f t="shared" si="2"/>
        <v>3888</v>
      </c>
      <c r="M53" s="275">
        <f t="shared" si="3"/>
        <v>16736</v>
      </c>
      <c r="N53" s="275">
        <f t="shared" si="10"/>
        <v>0</v>
      </c>
      <c r="O53" s="275">
        <f t="shared" si="11"/>
        <v>0</v>
      </c>
      <c r="P53" s="275">
        <f t="shared" si="4"/>
        <v>3888</v>
      </c>
      <c r="Q53" s="275">
        <f t="shared" si="5"/>
        <v>16736</v>
      </c>
      <c r="R53" s="275">
        <f t="shared" si="6"/>
        <v>60133.662784913096</v>
      </c>
      <c r="S53" s="275">
        <f t="shared" si="7"/>
        <v>258846.95997127201</v>
      </c>
      <c r="T53" s="275">
        <f t="shared" si="8"/>
        <v>0</v>
      </c>
    </row>
    <row r="54" spans="1:20">
      <c r="A54" s="272">
        <v>23582</v>
      </c>
      <c r="B54" s="273">
        <v>25</v>
      </c>
      <c r="C54" s="274">
        <f t="shared" si="9"/>
        <v>12.501817709450027</v>
      </c>
      <c r="D54" s="269">
        <f>SUMIFS('Contact Hours DM'!D:D,'Contact Hours DM'!$A:$A,$A54,'Contact Hours DM'!$B:$B,$B54)</f>
        <v>164496</v>
      </c>
      <c r="E54" s="269">
        <f>SUMIFS('Contact Hours DM'!E:E,'Contact Hours DM'!$A:$A,$A54,'Contact Hours DM'!$B:$B,$B54)</f>
        <v>0</v>
      </c>
      <c r="F54" s="269">
        <f>SUMIFS('Contact Hours DM'!G:G,'Contact Hours DM'!$A:$A,$A54,'Contact Hours DM'!$B:$B,$B54)</f>
        <v>0</v>
      </c>
      <c r="G54" s="269">
        <f>SUMIFS('Contact Hours DM'!F:F,'Contact Hours DM'!$A:$A,$A54,'Contact Hours DM'!$B:$B,$B54)</f>
        <v>0</v>
      </c>
      <c r="H54" s="269">
        <f>SUMIFS('Contact Hours DM'!H:H,'Contact Hours DM'!$A:$A,$A54,'Contact Hours DM'!$B:$B,$B54)</f>
        <v>0</v>
      </c>
      <c r="I54" s="269">
        <f>SUMIFS('Contact Hours DM'!I:I,'Contact Hours DM'!$A:$A,$A54,'Contact Hours DM'!$B:$B,$B54)</f>
        <v>0</v>
      </c>
      <c r="J54" s="269">
        <f>SUMIFS('Contact Hours DM'!J:J,'Contact Hours DM'!$A:$A,$A54,'Contact Hours DM'!$B:$B,$B54)</f>
        <v>0</v>
      </c>
      <c r="K54" s="269">
        <f>SUMIFS('Contact Hours DM'!K:K,'Contact Hours DM'!$A:$A,$A54,'Contact Hours DM'!$B:$B,$B54)</f>
        <v>0</v>
      </c>
      <c r="L54" s="275">
        <f t="shared" si="2"/>
        <v>164496</v>
      </c>
      <c r="M54" s="275">
        <f t="shared" si="3"/>
        <v>0</v>
      </c>
      <c r="N54" s="275">
        <f t="shared" si="10"/>
        <v>0</v>
      </c>
      <c r="O54" s="275">
        <f t="shared" si="11"/>
        <v>0</v>
      </c>
      <c r="P54" s="275">
        <f t="shared" si="4"/>
        <v>164496</v>
      </c>
      <c r="Q54" s="275">
        <f t="shared" si="5"/>
        <v>0</v>
      </c>
      <c r="R54" s="275">
        <f t="shared" si="6"/>
        <v>2056499.0059336915</v>
      </c>
      <c r="S54" s="275">
        <f t="shared" si="7"/>
        <v>0</v>
      </c>
      <c r="T54" s="275">
        <f t="shared" si="8"/>
        <v>0</v>
      </c>
    </row>
    <row r="55" spans="1:20">
      <c r="A55" s="272">
        <v>23582</v>
      </c>
      <c r="B55" s="273">
        <v>26</v>
      </c>
      <c r="C55" s="274">
        <f t="shared" si="9"/>
        <v>15.325781356038016</v>
      </c>
      <c r="D55" s="269">
        <f>SUMIFS('Contact Hours DM'!D:D,'Contact Hours DM'!$A:$A,$A55,'Contact Hours DM'!$B:$B,$B55)</f>
        <v>31200</v>
      </c>
      <c r="E55" s="269">
        <f>SUMIFS('Contact Hours DM'!E:E,'Contact Hours DM'!$A:$A,$A55,'Contact Hours DM'!$B:$B,$B55)</f>
        <v>0</v>
      </c>
      <c r="F55" s="269">
        <f>SUMIFS('Contact Hours DM'!G:G,'Contact Hours DM'!$A:$A,$A55,'Contact Hours DM'!$B:$B,$B55)</f>
        <v>0</v>
      </c>
      <c r="G55" s="269">
        <f>SUMIFS('Contact Hours DM'!F:F,'Contact Hours DM'!$A:$A,$A55,'Contact Hours DM'!$B:$B,$B55)</f>
        <v>0</v>
      </c>
      <c r="H55" s="269">
        <f>SUMIFS('Contact Hours DM'!H:H,'Contact Hours DM'!$A:$A,$A55,'Contact Hours DM'!$B:$B,$B55)</f>
        <v>0</v>
      </c>
      <c r="I55" s="269">
        <f>SUMIFS('Contact Hours DM'!I:I,'Contact Hours DM'!$A:$A,$A55,'Contact Hours DM'!$B:$B,$B55)</f>
        <v>0</v>
      </c>
      <c r="J55" s="269">
        <f>SUMIFS('Contact Hours DM'!J:J,'Contact Hours DM'!$A:$A,$A55,'Contact Hours DM'!$B:$B,$B55)</f>
        <v>0</v>
      </c>
      <c r="K55" s="269">
        <f>SUMIFS('Contact Hours DM'!K:K,'Contact Hours DM'!$A:$A,$A55,'Contact Hours DM'!$B:$B,$B55)</f>
        <v>0</v>
      </c>
      <c r="L55" s="275">
        <f t="shared" si="2"/>
        <v>31200</v>
      </c>
      <c r="M55" s="275">
        <f t="shared" si="3"/>
        <v>0</v>
      </c>
      <c r="N55" s="275">
        <f t="shared" si="10"/>
        <v>0</v>
      </c>
      <c r="O55" s="275">
        <f t="shared" si="11"/>
        <v>0</v>
      </c>
      <c r="P55" s="275">
        <f t="shared" si="4"/>
        <v>31200</v>
      </c>
      <c r="Q55" s="275">
        <f t="shared" si="5"/>
        <v>0</v>
      </c>
      <c r="R55" s="275">
        <f t="shared" si="6"/>
        <v>478164.37830838608</v>
      </c>
      <c r="S55" s="275">
        <f t="shared" si="7"/>
        <v>0</v>
      </c>
      <c r="T55" s="275">
        <f t="shared" si="8"/>
        <v>0</v>
      </c>
    </row>
    <row r="56" spans="1:20">
      <c r="A56" s="272">
        <v>23485</v>
      </c>
      <c r="B56" s="273">
        <v>1</v>
      </c>
      <c r="C56" s="274">
        <f t="shared" si="9"/>
        <v>13.768078988703003</v>
      </c>
      <c r="D56" s="269">
        <f>SUMIFS('Contact Hours DM'!D:D,'Contact Hours DM'!$A:$A,$A56,'Contact Hours DM'!$B:$B,$B56)</f>
        <v>0</v>
      </c>
      <c r="E56" s="269">
        <f>SUMIFS('Contact Hours DM'!E:E,'Contact Hours DM'!$A:$A,$A56,'Contact Hours DM'!$B:$B,$B56)</f>
        <v>0</v>
      </c>
      <c r="F56" s="269">
        <f>SUMIFS('Contact Hours DM'!G:G,'Contact Hours DM'!$A:$A,$A56,'Contact Hours DM'!$B:$B,$B56)</f>
        <v>0</v>
      </c>
      <c r="G56" s="269">
        <f>SUMIFS('Contact Hours DM'!F:F,'Contact Hours DM'!$A:$A,$A56,'Contact Hours DM'!$B:$B,$B56)</f>
        <v>0</v>
      </c>
      <c r="H56" s="269">
        <f>SUMIFS('Contact Hours DM'!H:H,'Contact Hours DM'!$A:$A,$A56,'Contact Hours DM'!$B:$B,$B56)</f>
        <v>0</v>
      </c>
      <c r="I56" s="269">
        <f>SUMIFS('Contact Hours DM'!I:I,'Contact Hours DM'!$A:$A,$A56,'Contact Hours DM'!$B:$B,$B56)</f>
        <v>0</v>
      </c>
      <c r="J56" s="269">
        <f>SUMIFS('Contact Hours DM'!J:J,'Contact Hours DM'!$A:$A,$A56,'Contact Hours DM'!$B:$B,$B56)</f>
        <v>0</v>
      </c>
      <c r="K56" s="269">
        <f>SUMIFS('Contact Hours DM'!K:K,'Contact Hours DM'!$A:$A,$A56,'Contact Hours DM'!$B:$B,$B56)</f>
        <v>0</v>
      </c>
      <c r="L56" s="275">
        <f t="shared" si="2"/>
        <v>0</v>
      </c>
      <c r="M56" s="275">
        <f t="shared" si="3"/>
        <v>0</v>
      </c>
      <c r="N56" s="275">
        <f t="shared" si="10"/>
        <v>0</v>
      </c>
      <c r="O56" s="275">
        <f t="shared" si="11"/>
        <v>0</v>
      </c>
      <c r="P56" s="275">
        <f t="shared" si="4"/>
        <v>0</v>
      </c>
      <c r="Q56" s="275">
        <f t="shared" si="5"/>
        <v>0</v>
      </c>
      <c r="R56" s="275">
        <f t="shared" si="6"/>
        <v>0</v>
      </c>
      <c r="S56" s="275">
        <f t="shared" si="7"/>
        <v>0</v>
      </c>
      <c r="T56" s="275">
        <f t="shared" si="8"/>
        <v>0</v>
      </c>
    </row>
    <row r="57" spans="1:20">
      <c r="A57" s="272">
        <v>23485</v>
      </c>
      <c r="B57" s="273">
        <v>2</v>
      </c>
      <c r="C57" s="274">
        <f t="shared" si="9"/>
        <v>15.486576439117758</v>
      </c>
      <c r="D57" s="269">
        <f>SUMIFS('Contact Hours DM'!D:D,'Contact Hours DM'!$A:$A,$A57,'Contact Hours DM'!$B:$B,$B57)</f>
        <v>0</v>
      </c>
      <c r="E57" s="269">
        <f>SUMIFS('Contact Hours DM'!E:E,'Contact Hours DM'!$A:$A,$A57,'Contact Hours DM'!$B:$B,$B57)</f>
        <v>0</v>
      </c>
      <c r="F57" s="269">
        <f>SUMIFS('Contact Hours DM'!G:G,'Contact Hours DM'!$A:$A,$A57,'Contact Hours DM'!$B:$B,$B57)</f>
        <v>0</v>
      </c>
      <c r="G57" s="269">
        <f>SUMIFS('Contact Hours DM'!F:F,'Contact Hours DM'!$A:$A,$A57,'Contact Hours DM'!$B:$B,$B57)</f>
        <v>0</v>
      </c>
      <c r="H57" s="269">
        <f>SUMIFS('Contact Hours DM'!H:H,'Contact Hours DM'!$A:$A,$A57,'Contact Hours DM'!$B:$B,$B57)</f>
        <v>37568</v>
      </c>
      <c r="I57" s="269">
        <f>SUMIFS('Contact Hours DM'!I:I,'Contact Hours DM'!$A:$A,$A57,'Contact Hours DM'!$B:$B,$B57)</f>
        <v>0</v>
      </c>
      <c r="J57" s="269">
        <f>SUMIFS('Contact Hours DM'!J:J,'Contact Hours DM'!$A:$A,$A57,'Contact Hours DM'!$B:$B,$B57)</f>
        <v>0</v>
      </c>
      <c r="K57" s="269">
        <f>SUMIFS('Contact Hours DM'!K:K,'Contact Hours DM'!$A:$A,$A57,'Contact Hours DM'!$B:$B,$B57)</f>
        <v>0</v>
      </c>
      <c r="L57" s="275">
        <f t="shared" si="2"/>
        <v>0</v>
      </c>
      <c r="M57" s="275">
        <f t="shared" si="3"/>
        <v>37568</v>
      </c>
      <c r="N57" s="275">
        <f t="shared" si="10"/>
        <v>0</v>
      </c>
      <c r="O57" s="275">
        <f t="shared" si="11"/>
        <v>0</v>
      </c>
      <c r="P57" s="275">
        <f t="shared" si="4"/>
        <v>0</v>
      </c>
      <c r="Q57" s="275">
        <f t="shared" si="5"/>
        <v>37568</v>
      </c>
      <c r="R57" s="275">
        <f t="shared" si="6"/>
        <v>0</v>
      </c>
      <c r="S57" s="275">
        <f t="shared" si="7"/>
        <v>581799.70366477594</v>
      </c>
      <c r="T57" s="275">
        <f t="shared" si="8"/>
        <v>0</v>
      </c>
    </row>
    <row r="58" spans="1:20">
      <c r="A58" s="272">
        <v>23485</v>
      </c>
      <c r="B58" s="273">
        <v>3</v>
      </c>
      <c r="C58" s="274">
        <f t="shared" si="9"/>
        <v>13.597234212930777</v>
      </c>
      <c r="D58" s="269">
        <f>SUMIFS('Contact Hours DM'!D:D,'Contact Hours DM'!$A:$A,$A58,'Contact Hours DM'!$B:$B,$B58)</f>
        <v>0</v>
      </c>
      <c r="E58" s="269">
        <f>SUMIFS('Contact Hours DM'!E:E,'Contact Hours DM'!$A:$A,$A58,'Contact Hours DM'!$B:$B,$B58)</f>
        <v>103648</v>
      </c>
      <c r="F58" s="269">
        <f>SUMIFS('Contact Hours DM'!G:G,'Contact Hours DM'!$A:$A,$A58,'Contact Hours DM'!$B:$B,$B58)</f>
        <v>0</v>
      </c>
      <c r="G58" s="269">
        <f>SUMIFS('Contact Hours DM'!F:F,'Contact Hours DM'!$A:$A,$A58,'Contact Hours DM'!$B:$B,$B58)</f>
        <v>0</v>
      </c>
      <c r="H58" s="269">
        <f>SUMIFS('Contact Hours DM'!H:H,'Contact Hours DM'!$A:$A,$A58,'Contact Hours DM'!$B:$B,$B58)</f>
        <v>36944</v>
      </c>
      <c r="I58" s="269">
        <f>SUMIFS('Contact Hours DM'!I:I,'Contact Hours DM'!$A:$A,$A58,'Contact Hours DM'!$B:$B,$B58)</f>
        <v>0</v>
      </c>
      <c r="J58" s="269">
        <f>SUMIFS('Contact Hours DM'!J:J,'Contact Hours DM'!$A:$A,$A58,'Contact Hours DM'!$B:$B,$B58)</f>
        <v>17544</v>
      </c>
      <c r="K58" s="269">
        <f>SUMIFS('Contact Hours DM'!K:K,'Contact Hours DM'!$A:$A,$A58,'Contact Hours DM'!$B:$B,$B58)</f>
        <v>0</v>
      </c>
      <c r="L58" s="275">
        <f t="shared" si="2"/>
        <v>103648</v>
      </c>
      <c r="M58" s="275">
        <f t="shared" si="3"/>
        <v>54488</v>
      </c>
      <c r="N58" s="275">
        <f t="shared" ref="N58:N81" si="12">IF(B58&lt;28,E58+F58,0)*0.1</f>
        <v>10364.800000000001</v>
      </c>
      <c r="O58" s="275">
        <f t="shared" ref="O58:O81" si="13">IF(B58&lt;28,I58+K58,0)*0.1</f>
        <v>0</v>
      </c>
      <c r="P58" s="275">
        <f t="shared" si="4"/>
        <v>114012.8</v>
      </c>
      <c r="Q58" s="275">
        <f t="shared" si="5"/>
        <v>54488</v>
      </c>
      <c r="R58" s="275">
        <f t="shared" si="6"/>
        <v>1550258.7448720341</v>
      </c>
      <c r="S58" s="275">
        <f t="shared" si="7"/>
        <v>740886.09779417224</v>
      </c>
      <c r="T58" s="275">
        <f t="shared" si="8"/>
        <v>0</v>
      </c>
    </row>
    <row r="59" spans="1:20">
      <c r="A59" s="272">
        <v>23485</v>
      </c>
      <c r="B59" s="273">
        <v>4</v>
      </c>
      <c r="C59" s="274">
        <f t="shared" si="9"/>
        <v>12.783209104839578</v>
      </c>
      <c r="D59" s="269">
        <f>SUMIFS('Contact Hours DM'!D:D,'Contact Hours DM'!$A:$A,$A59,'Contact Hours DM'!$B:$B,$B59)</f>
        <v>11040</v>
      </c>
      <c r="E59" s="269">
        <f>SUMIFS('Contact Hours DM'!E:E,'Contact Hours DM'!$A:$A,$A59,'Contact Hours DM'!$B:$B,$B59)</f>
        <v>31776</v>
      </c>
      <c r="F59" s="269">
        <f>SUMIFS('Contact Hours DM'!G:G,'Contact Hours DM'!$A:$A,$A59,'Contact Hours DM'!$B:$B,$B59)</f>
        <v>0</v>
      </c>
      <c r="G59" s="269">
        <f>SUMIFS('Contact Hours DM'!F:F,'Contact Hours DM'!$A:$A,$A59,'Contact Hours DM'!$B:$B,$B59)</f>
        <v>0</v>
      </c>
      <c r="H59" s="269">
        <f>SUMIFS('Contact Hours DM'!H:H,'Contact Hours DM'!$A:$A,$A59,'Contact Hours DM'!$B:$B,$B59)</f>
        <v>21456</v>
      </c>
      <c r="I59" s="269">
        <f>SUMIFS('Contact Hours DM'!I:I,'Contact Hours DM'!$A:$A,$A59,'Contact Hours DM'!$B:$B,$B59)</f>
        <v>12080</v>
      </c>
      <c r="J59" s="269">
        <f>SUMIFS('Contact Hours DM'!J:J,'Contact Hours DM'!$A:$A,$A59,'Contact Hours DM'!$B:$B,$B59)</f>
        <v>14552</v>
      </c>
      <c r="K59" s="269">
        <f>SUMIFS('Contact Hours DM'!K:K,'Contact Hours DM'!$A:$A,$A59,'Contact Hours DM'!$B:$B,$B59)</f>
        <v>0</v>
      </c>
      <c r="L59" s="275">
        <f t="shared" ref="L59:L81" si="14">SUM(D59:G59)</f>
        <v>42816</v>
      </c>
      <c r="M59" s="275">
        <f t="shared" ref="M59:M81" si="15">SUM(H59:K59)</f>
        <v>48088</v>
      </c>
      <c r="N59" s="275">
        <f t="shared" si="12"/>
        <v>3177.6000000000004</v>
      </c>
      <c r="O59" s="275">
        <f t="shared" si="13"/>
        <v>1208</v>
      </c>
      <c r="P59" s="275">
        <f t="shared" ref="P59:P81" si="16">L59+N59</f>
        <v>45993.599999999999</v>
      </c>
      <c r="Q59" s="275">
        <f t="shared" ref="Q59:Q81" si="17">M59+O59</f>
        <v>49296</v>
      </c>
      <c r="R59" s="275">
        <f t="shared" ref="R59:R81" si="18">C59*P59</f>
        <v>587945.80628434964</v>
      </c>
      <c r="S59" s="275">
        <f t="shared" ref="S59:S81" si="19">C59*Q59</f>
        <v>630161.07603217184</v>
      </c>
      <c r="T59" s="275">
        <f t="shared" ref="T59:T81" si="20">(G59+F59*1.1)*C59</f>
        <v>0</v>
      </c>
    </row>
    <row r="60" spans="1:20">
      <c r="A60" s="272">
        <v>23485</v>
      </c>
      <c r="B60" s="273">
        <v>5</v>
      </c>
      <c r="C60" s="274">
        <f t="shared" si="9"/>
        <v>43.414672431530647</v>
      </c>
      <c r="D60" s="269">
        <f>SUMIFS('Contact Hours DM'!D:D,'Contact Hours DM'!$A:$A,$A60,'Contact Hours DM'!$B:$B,$B60)</f>
        <v>0</v>
      </c>
      <c r="E60" s="269">
        <f>SUMIFS('Contact Hours DM'!E:E,'Contact Hours DM'!$A:$A,$A60,'Contact Hours DM'!$B:$B,$B60)</f>
        <v>0</v>
      </c>
      <c r="F60" s="269">
        <f>SUMIFS('Contact Hours DM'!G:G,'Contact Hours DM'!$A:$A,$A60,'Contact Hours DM'!$B:$B,$B60)</f>
        <v>0</v>
      </c>
      <c r="G60" s="269">
        <f>SUMIFS('Contact Hours DM'!F:F,'Contact Hours DM'!$A:$A,$A60,'Contact Hours DM'!$B:$B,$B60)</f>
        <v>0</v>
      </c>
      <c r="H60" s="269">
        <f>SUMIFS('Contact Hours DM'!H:H,'Contact Hours DM'!$A:$A,$A60,'Contact Hours DM'!$B:$B,$B60)</f>
        <v>0</v>
      </c>
      <c r="I60" s="269">
        <f>SUMIFS('Contact Hours DM'!I:I,'Contact Hours DM'!$A:$A,$A60,'Contact Hours DM'!$B:$B,$B60)</f>
        <v>0</v>
      </c>
      <c r="J60" s="269">
        <f>SUMIFS('Contact Hours DM'!J:J,'Contact Hours DM'!$A:$A,$A60,'Contact Hours DM'!$B:$B,$B60)</f>
        <v>0</v>
      </c>
      <c r="K60" s="269">
        <f>SUMIFS('Contact Hours DM'!K:K,'Contact Hours DM'!$A:$A,$A60,'Contact Hours DM'!$B:$B,$B60)</f>
        <v>0</v>
      </c>
      <c r="L60" s="275">
        <f t="shared" si="14"/>
        <v>0</v>
      </c>
      <c r="M60" s="275">
        <f t="shared" si="15"/>
        <v>0</v>
      </c>
      <c r="N60" s="275">
        <f t="shared" si="12"/>
        <v>0</v>
      </c>
      <c r="O60" s="275">
        <f t="shared" si="13"/>
        <v>0</v>
      </c>
      <c r="P60" s="275">
        <f t="shared" si="16"/>
        <v>0</v>
      </c>
      <c r="Q60" s="275">
        <f t="shared" si="17"/>
        <v>0</v>
      </c>
      <c r="R60" s="275">
        <f t="shared" si="18"/>
        <v>0</v>
      </c>
      <c r="S60" s="275">
        <f t="shared" si="19"/>
        <v>0</v>
      </c>
      <c r="T60" s="275">
        <f t="shared" si="20"/>
        <v>0</v>
      </c>
    </row>
    <row r="61" spans="1:20">
      <c r="A61" s="272">
        <v>23485</v>
      </c>
      <c r="B61" s="273">
        <v>6</v>
      </c>
      <c r="C61" s="274">
        <f t="shared" si="9"/>
        <v>12.079730616365701</v>
      </c>
      <c r="D61" s="269">
        <f>SUMIFS('Contact Hours DM'!D:D,'Contact Hours DM'!$A:$A,$A61,'Contact Hours DM'!$B:$B,$B61)</f>
        <v>23664</v>
      </c>
      <c r="E61" s="269">
        <f>SUMIFS('Contact Hours DM'!E:E,'Contact Hours DM'!$A:$A,$A61,'Contact Hours DM'!$B:$B,$B61)</f>
        <v>0</v>
      </c>
      <c r="F61" s="269">
        <f>SUMIFS('Contact Hours DM'!G:G,'Contact Hours DM'!$A:$A,$A61,'Contact Hours DM'!$B:$B,$B61)</f>
        <v>0</v>
      </c>
      <c r="G61" s="269">
        <f>SUMIFS('Contact Hours DM'!F:F,'Contact Hours DM'!$A:$A,$A61,'Contact Hours DM'!$B:$B,$B61)</f>
        <v>0</v>
      </c>
      <c r="H61" s="269">
        <f>SUMIFS('Contact Hours DM'!H:H,'Contact Hours DM'!$A:$A,$A61,'Contact Hours DM'!$B:$B,$B61)</f>
        <v>10112</v>
      </c>
      <c r="I61" s="269">
        <f>SUMIFS('Contact Hours DM'!I:I,'Contact Hours DM'!$A:$A,$A61,'Contact Hours DM'!$B:$B,$B61)</f>
        <v>0</v>
      </c>
      <c r="J61" s="269">
        <f>SUMIFS('Contact Hours DM'!J:J,'Contact Hours DM'!$A:$A,$A61,'Contact Hours DM'!$B:$B,$B61)</f>
        <v>0</v>
      </c>
      <c r="K61" s="269">
        <f>SUMIFS('Contact Hours DM'!K:K,'Contact Hours DM'!$A:$A,$A61,'Contact Hours DM'!$B:$B,$B61)</f>
        <v>0</v>
      </c>
      <c r="L61" s="275">
        <f t="shared" si="14"/>
        <v>23664</v>
      </c>
      <c r="M61" s="275">
        <f t="shared" si="15"/>
        <v>10112</v>
      </c>
      <c r="N61" s="275">
        <f t="shared" si="12"/>
        <v>0</v>
      </c>
      <c r="O61" s="275">
        <f t="shared" si="13"/>
        <v>0</v>
      </c>
      <c r="P61" s="275">
        <f t="shared" si="16"/>
        <v>23664</v>
      </c>
      <c r="Q61" s="275">
        <f t="shared" si="17"/>
        <v>10112</v>
      </c>
      <c r="R61" s="275">
        <f t="shared" si="18"/>
        <v>285854.74530567793</v>
      </c>
      <c r="S61" s="275">
        <f t="shared" si="19"/>
        <v>122150.23599268997</v>
      </c>
      <c r="T61" s="275">
        <f t="shared" si="20"/>
        <v>0</v>
      </c>
    </row>
    <row r="62" spans="1:20">
      <c r="A62" s="272">
        <v>23485</v>
      </c>
      <c r="B62" s="273">
        <v>7</v>
      </c>
      <c r="C62" s="274">
        <f t="shared" ref="C62:C81" si="21">C36</f>
        <v>16.4613966302887</v>
      </c>
      <c r="D62" s="269">
        <f>SUMIFS('Contact Hours DM'!D:D,'Contact Hours DM'!$A:$A,$A62,'Contact Hours DM'!$B:$B,$B62)</f>
        <v>0</v>
      </c>
      <c r="E62" s="269">
        <f>SUMIFS('Contact Hours DM'!E:E,'Contact Hours DM'!$A:$A,$A62,'Contact Hours DM'!$B:$B,$B62)</f>
        <v>0</v>
      </c>
      <c r="F62" s="269">
        <f>SUMIFS('Contact Hours DM'!G:G,'Contact Hours DM'!$A:$A,$A62,'Contact Hours DM'!$B:$B,$B62)</f>
        <v>0</v>
      </c>
      <c r="G62" s="269">
        <f>SUMIFS('Contact Hours DM'!F:F,'Contact Hours DM'!$A:$A,$A62,'Contact Hours DM'!$B:$B,$B62)</f>
        <v>0</v>
      </c>
      <c r="H62" s="269">
        <f>SUMIFS('Contact Hours DM'!H:H,'Contact Hours DM'!$A:$A,$A62,'Contact Hours DM'!$B:$B,$B62)</f>
        <v>0</v>
      </c>
      <c r="I62" s="269">
        <f>SUMIFS('Contact Hours DM'!I:I,'Contact Hours DM'!$A:$A,$A62,'Contact Hours DM'!$B:$B,$B62)</f>
        <v>22160</v>
      </c>
      <c r="J62" s="269">
        <f>SUMIFS('Contact Hours DM'!J:J,'Contact Hours DM'!$A:$A,$A62,'Contact Hours DM'!$B:$B,$B62)</f>
        <v>0</v>
      </c>
      <c r="K62" s="269">
        <f>SUMIFS('Contact Hours DM'!K:K,'Contact Hours DM'!$A:$A,$A62,'Contact Hours DM'!$B:$B,$B62)</f>
        <v>0</v>
      </c>
      <c r="L62" s="275">
        <f t="shared" si="14"/>
        <v>0</v>
      </c>
      <c r="M62" s="275">
        <f t="shared" si="15"/>
        <v>22160</v>
      </c>
      <c r="N62" s="275">
        <f t="shared" si="12"/>
        <v>0</v>
      </c>
      <c r="O62" s="275">
        <f t="shared" si="13"/>
        <v>2216</v>
      </c>
      <c r="P62" s="275">
        <f t="shared" si="16"/>
        <v>0</v>
      </c>
      <c r="Q62" s="275">
        <f t="shared" si="17"/>
        <v>24376</v>
      </c>
      <c r="R62" s="275">
        <f t="shared" si="18"/>
        <v>0</v>
      </c>
      <c r="S62" s="275">
        <f t="shared" si="19"/>
        <v>401263.00425991736</v>
      </c>
      <c r="T62" s="275">
        <f t="shared" si="20"/>
        <v>0</v>
      </c>
    </row>
    <row r="63" spans="1:20">
      <c r="A63" s="272">
        <v>23485</v>
      </c>
      <c r="B63" s="273">
        <v>8</v>
      </c>
      <c r="C63" s="274">
        <f t="shared" si="21"/>
        <v>16.702589254908318</v>
      </c>
      <c r="D63" s="269">
        <f>SUMIFS('Contact Hours DM'!D:D,'Contact Hours DM'!$A:$A,$A63,'Contact Hours DM'!$B:$B,$B63)</f>
        <v>0</v>
      </c>
      <c r="E63" s="269">
        <f>SUMIFS('Contact Hours DM'!E:E,'Contact Hours DM'!$A:$A,$A63,'Contact Hours DM'!$B:$B,$B63)</f>
        <v>0</v>
      </c>
      <c r="F63" s="269">
        <f>SUMIFS('Contact Hours DM'!G:G,'Contact Hours DM'!$A:$A,$A63,'Contact Hours DM'!$B:$B,$B63)</f>
        <v>0</v>
      </c>
      <c r="G63" s="269">
        <f>SUMIFS('Contact Hours DM'!F:F,'Contact Hours DM'!$A:$A,$A63,'Contact Hours DM'!$B:$B,$B63)</f>
        <v>0</v>
      </c>
      <c r="H63" s="269">
        <f>SUMIFS('Contact Hours DM'!H:H,'Contact Hours DM'!$A:$A,$A63,'Contact Hours DM'!$B:$B,$B63)</f>
        <v>0</v>
      </c>
      <c r="I63" s="269">
        <f>SUMIFS('Contact Hours DM'!I:I,'Contact Hours DM'!$A:$A,$A63,'Contact Hours DM'!$B:$B,$B63)</f>
        <v>0</v>
      </c>
      <c r="J63" s="269">
        <f>SUMIFS('Contact Hours DM'!J:J,'Contact Hours DM'!$A:$A,$A63,'Contact Hours DM'!$B:$B,$B63)</f>
        <v>0</v>
      </c>
      <c r="K63" s="269">
        <f>SUMIFS('Contact Hours DM'!K:K,'Contact Hours DM'!$A:$A,$A63,'Contact Hours DM'!$B:$B,$B63)</f>
        <v>0</v>
      </c>
      <c r="L63" s="275">
        <f t="shared" si="14"/>
        <v>0</v>
      </c>
      <c r="M63" s="275">
        <f t="shared" si="15"/>
        <v>0</v>
      </c>
      <c r="N63" s="275">
        <f t="shared" si="12"/>
        <v>0</v>
      </c>
      <c r="O63" s="275">
        <f t="shared" si="13"/>
        <v>0</v>
      </c>
      <c r="P63" s="275">
        <f t="shared" si="16"/>
        <v>0</v>
      </c>
      <c r="Q63" s="275">
        <f t="shared" si="17"/>
        <v>0</v>
      </c>
      <c r="R63" s="275">
        <f t="shared" si="18"/>
        <v>0</v>
      </c>
      <c r="S63" s="275">
        <f t="shared" si="19"/>
        <v>0</v>
      </c>
      <c r="T63" s="275">
        <f t="shared" si="20"/>
        <v>0</v>
      </c>
    </row>
    <row r="64" spans="1:20">
      <c r="A64" s="272">
        <v>23485</v>
      </c>
      <c r="B64" s="273">
        <v>9</v>
      </c>
      <c r="C64" s="274">
        <f t="shared" si="21"/>
        <v>15.657421214889986</v>
      </c>
      <c r="D64" s="269">
        <f>SUMIFS('Contact Hours DM'!D:D,'Contact Hours DM'!$A:$A,$A64,'Contact Hours DM'!$B:$B,$B64)</f>
        <v>12384</v>
      </c>
      <c r="E64" s="269">
        <f>SUMIFS('Contact Hours DM'!E:E,'Contact Hours DM'!$A:$A,$A64,'Contact Hours DM'!$B:$B,$B64)</f>
        <v>2496</v>
      </c>
      <c r="F64" s="269">
        <f>SUMIFS('Contact Hours DM'!G:G,'Contact Hours DM'!$A:$A,$A64,'Contact Hours DM'!$B:$B,$B64)</f>
        <v>0</v>
      </c>
      <c r="G64" s="269">
        <f>SUMIFS('Contact Hours DM'!F:F,'Contact Hours DM'!$A:$A,$A64,'Contact Hours DM'!$B:$B,$B64)</f>
        <v>0</v>
      </c>
      <c r="H64" s="269">
        <f>SUMIFS('Contact Hours DM'!H:H,'Contact Hours DM'!$A:$A,$A64,'Contact Hours DM'!$B:$B,$B64)</f>
        <v>77088</v>
      </c>
      <c r="I64" s="269">
        <f>SUMIFS('Contact Hours DM'!I:I,'Contact Hours DM'!$A:$A,$A64,'Contact Hours DM'!$B:$B,$B64)</f>
        <v>0</v>
      </c>
      <c r="J64" s="269">
        <f>SUMIFS('Contact Hours DM'!J:J,'Contact Hours DM'!$A:$A,$A64,'Contact Hours DM'!$B:$B,$B64)</f>
        <v>0</v>
      </c>
      <c r="K64" s="269">
        <f>SUMIFS('Contact Hours DM'!K:K,'Contact Hours DM'!$A:$A,$A64,'Contact Hours DM'!$B:$B,$B64)</f>
        <v>0</v>
      </c>
      <c r="L64" s="275">
        <f t="shared" si="14"/>
        <v>14880</v>
      </c>
      <c r="M64" s="275">
        <f t="shared" si="15"/>
        <v>77088</v>
      </c>
      <c r="N64" s="275">
        <f t="shared" si="12"/>
        <v>249.60000000000002</v>
      </c>
      <c r="O64" s="275">
        <f t="shared" si="13"/>
        <v>0</v>
      </c>
      <c r="P64" s="275">
        <f t="shared" si="16"/>
        <v>15129.6</v>
      </c>
      <c r="Q64" s="275">
        <f t="shared" si="17"/>
        <v>77088</v>
      </c>
      <c r="R64" s="275">
        <f t="shared" si="18"/>
        <v>236890.52001279953</v>
      </c>
      <c r="S64" s="275">
        <f t="shared" si="19"/>
        <v>1206999.2866134392</v>
      </c>
      <c r="T64" s="275">
        <f t="shared" si="20"/>
        <v>0</v>
      </c>
    </row>
    <row r="65" spans="1:20">
      <c r="A65" s="272">
        <v>23485</v>
      </c>
      <c r="B65" s="273">
        <v>10</v>
      </c>
      <c r="C65" s="274">
        <f t="shared" si="21"/>
        <v>21.636988366917933</v>
      </c>
      <c r="D65" s="269">
        <f>SUMIFS('Contact Hours DM'!D:D,'Contact Hours DM'!$A:$A,$A65,'Contact Hours DM'!$B:$B,$B65)</f>
        <v>0</v>
      </c>
      <c r="E65" s="269">
        <f>SUMIFS('Contact Hours DM'!E:E,'Contact Hours DM'!$A:$A,$A65,'Contact Hours DM'!$B:$B,$B65)</f>
        <v>0</v>
      </c>
      <c r="F65" s="269">
        <f>SUMIFS('Contact Hours DM'!G:G,'Contact Hours DM'!$A:$A,$A65,'Contact Hours DM'!$B:$B,$B65)</f>
        <v>0</v>
      </c>
      <c r="G65" s="269">
        <f>SUMIFS('Contact Hours DM'!F:F,'Contact Hours DM'!$A:$A,$A65,'Contact Hours DM'!$B:$B,$B65)</f>
        <v>0</v>
      </c>
      <c r="H65" s="269">
        <f>SUMIFS('Contact Hours DM'!H:H,'Contact Hours DM'!$A:$A,$A65,'Contact Hours DM'!$B:$B,$B65)</f>
        <v>0</v>
      </c>
      <c r="I65" s="269">
        <f>SUMIFS('Contact Hours DM'!I:I,'Contact Hours DM'!$A:$A,$A65,'Contact Hours DM'!$B:$B,$B65)</f>
        <v>0</v>
      </c>
      <c r="J65" s="269">
        <f>SUMIFS('Contact Hours DM'!J:J,'Contact Hours DM'!$A:$A,$A65,'Contact Hours DM'!$B:$B,$B65)</f>
        <v>0</v>
      </c>
      <c r="K65" s="269">
        <f>SUMIFS('Contact Hours DM'!K:K,'Contact Hours DM'!$A:$A,$A65,'Contact Hours DM'!$B:$B,$B65)</f>
        <v>0</v>
      </c>
      <c r="L65" s="275">
        <f t="shared" si="14"/>
        <v>0</v>
      </c>
      <c r="M65" s="275">
        <f t="shared" si="15"/>
        <v>0</v>
      </c>
      <c r="N65" s="275">
        <f t="shared" si="12"/>
        <v>0</v>
      </c>
      <c r="O65" s="275">
        <f t="shared" si="13"/>
        <v>0</v>
      </c>
      <c r="P65" s="275">
        <f t="shared" si="16"/>
        <v>0</v>
      </c>
      <c r="Q65" s="275">
        <f t="shared" si="17"/>
        <v>0</v>
      </c>
      <c r="R65" s="275">
        <f t="shared" si="18"/>
        <v>0</v>
      </c>
      <c r="S65" s="275">
        <f t="shared" si="19"/>
        <v>0</v>
      </c>
      <c r="T65" s="275">
        <f t="shared" si="20"/>
        <v>0</v>
      </c>
    </row>
    <row r="66" spans="1:20">
      <c r="A66" s="272">
        <v>23485</v>
      </c>
      <c r="B66" s="273">
        <v>11</v>
      </c>
      <c r="C66" s="274">
        <f t="shared" si="21"/>
        <v>16.471446322981187</v>
      </c>
      <c r="D66" s="269">
        <f>SUMIFS('Contact Hours DM'!D:D,'Contact Hours DM'!$A:$A,$A66,'Contact Hours DM'!$B:$B,$B66)</f>
        <v>0</v>
      </c>
      <c r="E66" s="269">
        <f>SUMIFS('Contact Hours DM'!E:E,'Contact Hours DM'!$A:$A,$A66,'Contact Hours DM'!$B:$B,$B66)</f>
        <v>0</v>
      </c>
      <c r="F66" s="269">
        <f>SUMIFS('Contact Hours DM'!G:G,'Contact Hours DM'!$A:$A,$A66,'Contact Hours DM'!$B:$B,$B66)</f>
        <v>0</v>
      </c>
      <c r="G66" s="269">
        <f>SUMIFS('Contact Hours DM'!F:F,'Contact Hours DM'!$A:$A,$A66,'Contact Hours DM'!$B:$B,$B66)</f>
        <v>0</v>
      </c>
      <c r="H66" s="269">
        <f>SUMIFS('Contact Hours DM'!H:H,'Contact Hours DM'!$A:$A,$A66,'Contact Hours DM'!$B:$B,$B66)</f>
        <v>0</v>
      </c>
      <c r="I66" s="269">
        <f>SUMIFS('Contact Hours DM'!I:I,'Contact Hours DM'!$A:$A,$A66,'Contact Hours DM'!$B:$B,$B66)</f>
        <v>62656</v>
      </c>
      <c r="J66" s="269">
        <f>SUMIFS('Contact Hours DM'!J:J,'Contact Hours DM'!$A:$A,$A66,'Contact Hours DM'!$B:$B,$B66)</f>
        <v>0</v>
      </c>
      <c r="K66" s="269">
        <f>SUMIFS('Contact Hours DM'!K:K,'Contact Hours DM'!$A:$A,$A66,'Contact Hours DM'!$B:$B,$B66)</f>
        <v>29012</v>
      </c>
      <c r="L66" s="275">
        <f t="shared" si="14"/>
        <v>0</v>
      </c>
      <c r="M66" s="275">
        <f t="shared" si="15"/>
        <v>91668</v>
      </c>
      <c r="N66" s="275">
        <f t="shared" si="12"/>
        <v>0</v>
      </c>
      <c r="O66" s="275">
        <f t="shared" si="13"/>
        <v>9166.8000000000011</v>
      </c>
      <c r="P66" s="275">
        <f t="shared" si="16"/>
        <v>0</v>
      </c>
      <c r="Q66" s="275">
        <f t="shared" si="17"/>
        <v>100834.8</v>
      </c>
      <c r="R66" s="275">
        <f t="shared" si="18"/>
        <v>0</v>
      </c>
      <c r="S66" s="275">
        <f t="shared" si="19"/>
        <v>1660894.9956885434</v>
      </c>
      <c r="T66" s="275">
        <f t="shared" si="20"/>
        <v>0</v>
      </c>
    </row>
    <row r="67" spans="1:20">
      <c r="A67" s="272">
        <v>23485</v>
      </c>
      <c r="B67" s="273">
        <v>12</v>
      </c>
      <c r="C67" s="274">
        <f t="shared" si="21"/>
        <v>15.546874595272664</v>
      </c>
      <c r="D67" s="269">
        <f>SUMIFS('Contact Hours DM'!D:D,'Contact Hours DM'!$A:$A,$A67,'Contact Hours DM'!$B:$B,$B67)</f>
        <v>71952</v>
      </c>
      <c r="E67" s="269">
        <f>SUMIFS('Contact Hours DM'!E:E,'Contact Hours DM'!$A:$A,$A67,'Contact Hours DM'!$B:$B,$B67)</f>
        <v>0</v>
      </c>
      <c r="F67" s="269">
        <f>SUMIFS('Contact Hours DM'!G:G,'Contact Hours DM'!$A:$A,$A67,'Contact Hours DM'!$B:$B,$B67)</f>
        <v>0</v>
      </c>
      <c r="G67" s="269">
        <f>SUMIFS('Contact Hours DM'!F:F,'Contact Hours DM'!$A:$A,$A67,'Contact Hours DM'!$B:$B,$B67)</f>
        <v>14560</v>
      </c>
      <c r="H67" s="269">
        <f>SUMIFS('Contact Hours DM'!H:H,'Contact Hours DM'!$A:$A,$A67,'Contact Hours DM'!$B:$B,$B67)</f>
        <v>0</v>
      </c>
      <c r="I67" s="269">
        <f>SUMIFS('Contact Hours DM'!I:I,'Contact Hours DM'!$A:$A,$A67,'Contact Hours DM'!$B:$B,$B67)</f>
        <v>0</v>
      </c>
      <c r="J67" s="269">
        <f>SUMIFS('Contact Hours DM'!J:J,'Contact Hours DM'!$A:$A,$A67,'Contact Hours DM'!$B:$B,$B67)</f>
        <v>0</v>
      </c>
      <c r="K67" s="269">
        <f>SUMIFS('Contact Hours DM'!K:K,'Contact Hours DM'!$A:$A,$A67,'Contact Hours DM'!$B:$B,$B67)</f>
        <v>0</v>
      </c>
      <c r="L67" s="275">
        <f t="shared" si="14"/>
        <v>86512</v>
      </c>
      <c r="M67" s="275">
        <f t="shared" si="15"/>
        <v>0</v>
      </c>
      <c r="N67" s="275">
        <f t="shared" si="12"/>
        <v>0</v>
      </c>
      <c r="O67" s="275">
        <f t="shared" si="13"/>
        <v>0</v>
      </c>
      <c r="P67" s="275">
        <f t="shared" si="16"/>
        <v>86512</v>
      </c>
      <c r="Q67" s="275">
        <f t="shared" si="17"/>
        <v>0</v>
      </c>
      <c r="R67" s="275">
        <f t="shared" si="18"/>
        <v>1344991.2149862286</v>
      </c>
      <c r="S67" s="275">
        <f t="shared" si="19"/>
        <v>0</v>
      </c>
      <c r="T67" s="275">
        <f t="shared" si="20"/>
        <v>226362.49410716997</v>
      </c>
    </row>
    <row r="68" spans="1:20">
      <c r="A68" s="272">
        <v>23485</v>
      </c>
      <c r="B68" s="273">
        <v>13</v>
      </c>
      <c r="C68" s="274">
        <f t="shared" si="21"/>
        <v>12.8937557244569</v>
      </c>
      <c r="D68" s="269">
        <f>SUMIFS('Contact Hours DM'!D:D,'Contact Hours DM'!$A:$A,$A68,'Contact Hours DM'!$B:$B,$B68)</f>
        <v>1152</v>
      </c>
      <c r="E68" s="269">
        <f>SUMIFS('Contact Hours DM'!E:E,'Contact Hours DM'!$A:$A,$A68,'Contact Hours DM'!$B:$B,$B68)</f>
        <v>0</v>
      </c>
      <c r="F68" s="269">
        <f>SUMIFS('Contact Hours DM'!G:G,'Contact Hours DM'!$A:$A,$A68,'Contact Hours DM'!$B:$B,$B68)</f>
        <v>0</v>
      </c>
      <c r="G68" s="269">
        <f>SUMIFS('Contact Hours DM'!F:F,'Contact Hours DM'!$A:$A,$A68,'Contact Hours DM'!$B:$B,$B68)</f>
        <v>0</v>
      </c>
      <c r="H68" s="269">
        <f>SUMIFS('Contact Hours DM'!H:H,'Contact Hours DM'!$A:$A,$A68,'Contact Hours DM'!$B:$B,$B68)</f>
        <v>0</v>
      </c>
      <c r="I68" s="269">
        <f>SUMIFS('Contact Hours DM'!I:I,'Contact Hours DM'!$A:$A,$A68,'Contact Hours DM'!$B:$B,$B68)</f>
        <v>0</v>
      </c>
      <c r="J68" s="269">
        <f>SUMIFS('Contact Hours DM'!J:J,'Contact Hours DM'!$A:$A,$A68,'Contact Hours DM'!$B:$B,$B68)</f>
        <v>0</v>
      </c>
      <c r="K68" s="269">
        <f>SUMIFS('Contact Hours DM'!K:K,'Contact Hours DM'!$A:$A,$A68,'Contact Hours DM'!$B:$B,$B68)</f>
        <v>0</v>
      </c>
      <c r="L68" s="275">
        <f t="shared" si="14"/>
        <v>1152</v>
      </c>
      <c r="M68" s="275">
        <f t="shared" si="15"/>
        <v>0</v>
      </c>
      <c r="N68" s="275">
        <f t="shared" si="12"/>
        <v>0</v>
      </c>
      <c r="O68" s="275">
        <f t="shared" si="13"/>
        <v>0</v>
      </c>
      <c r="P68" s="275">
        <f t="shared" si="16"/>
        <v>1152</v>
      </c>
      <c r="Q68" s="275">
        <f t="shared" si="17"/>
        <v>0</v>
      </c>
      <c r="R68" s="275">
        <f t="shared" si="18"/>
        <v>14853.606594574348</v>
      </c>
      <c r="S68" s="275">
        <f t="shared" si="19"/>
        <v>0</v>
      </c>
      <c r="T68" s="275">
        <f t="shared" si="20"/>
        <v>0</v>
      </c>
    </row>
    <row r="69" spans="1:20">
      <c r="A69" s="272">
        <v>23485</v>
      </c>
      <c r="B69" s="273">
        <v>14</v>
      </c>
      <c r="C69" s="274">
        <f t="shared" si="21"/>
        <v>20.672217868439475</v>
      </c>
      <c r="D69" s="269">
        <f>SUMIFS('Contact Hours DM'!D:D,'Contact Hours DM'!$A:$A,$A69,'Contact Hours DM'!$B:$B,$B69)</f>
        <v>0</v>
      </c>
      <c r="E69" s="269">
        <f>SUMIFS('Contact Hours DM'!E:E,'Contact Hours DM'!$A:$A,$A69,'Contact Hours DM'!$B:$B,$B69)</f>
        <v>0</v>
      </c>
      <c r="F69" s="269">
        <f>SUMIFS('Contact Hours DM'!G:G,'Contact Hours DM'!$A:$A,$A69,'Contact Hours DM'!$B:$B,$B69)</f>
        <v>0</v>
      </c>
      <c r="G69" s="269">
        <f>SUMIFS('Contact Hours DM'!F:F,'Contact Hours DM'!$A:$A,$A69,'Contact Hours DM'!$B:$B,$B69)</f>
        <v>0</v>
      </c>
      <c r="H69" s="269">
        <f>SUMIFS('Contact Hours DM'!H:H,'Contact Hours DM'!$A:$A,$A69,'Contact Hours DM'!$B:$B,$B69)</f>
        <v>0</v>
      </c>
      <c r="I69" s="269">
        <f>SUMIFS('Contact Hours DM'!I:I,'Contact Hours DM'!$A:$A,$A69,'Contact Hours DM'!$B:$B,$B69)</f>
        <v>50880</v>
      </c>
      <c r="J69" s="269">
        <f>SUMIFS('Contact Hours DM'!J:J,'Contact Hours DM'!$A:$A,$A69,'Contact Hours DM'!$B:$B,$B69)</f>
        <v>0</v>
      </c>
      <c r="K69" s="269">
        <f>SUMIFS('Contact Hours DM'!K:K,'Contact Hours DM'!$A:$A,$A69,'Contact Hours DM'!$B:$B,$B69)</f>
        <v>0</v>
      </c>
      <c r="L69" s="275">
        <f t="shared" si="14"/>
        <v>0</v>
      </c>
      <c r="M69" s="275">
        <f t="shared" si="15"/>
        <v>50880</v>
      </c>
      <c r="N69" s="275">
        <f t="shared" si="12"/>
        <v>0</v>
      </c>
      <c r="O69" s="275">
        <f t="shared" si="13"/>
        <v>5088</v>
      </c>
      <c r="P69" s="275">
        <f t="shared" si="16"/>
        <v>0</v>
      </c>
      <c r="Q69" s="275">
        <f t="shared" si="17"/>
        <v>55968</v>
      </c>
      <c r="R69" s="275">
        <f t="shared" si="18"/>
        <v>0</v>
      </c>
      <c r="S69" s="275">
        <f t="shared" si="19"/>
        <v>1156982.6896608206</v>
      </c>
      <c r="T69" s="275">
        <f t="shared" si="20"/>
        <v>0</v>
      </c>
    </row>
    <row r="70" spans="1:20">
      <c r="A70" s="272">
        <v>23485</v>
      </c>
      <c r="B70" s="273">
        <v>15</v>
      </c>
      <c r="C70" s="274">
        <f t="shared" si="21"/>
        <v>29.917935145524702</v>
      </c>
      <c r="D70" s="269">
        <f>SUMIFS('Contact Hours DM'!D:D,'Contact Hours DM'!$A:$A,$A70,'Contact Hours DM'!$B:$B,$B70)</f>
        <v>0</v>
      </c>
      <c r="E70" s="269">
        <f>SUMIFS('Contact Hours DM'!E:E,'Contact Hours DM'!$A:$A,$A70,'Contact Hours DM'!$B:$B,$B70)</f>
        <v>0</v>
      </c>
      <c r="F70" s="269">
        <f>SUMIFS('Contact Hours DM'!G:G,'Contact Hours DM'!$A:$A,$A70,'Contact Hours DM'!$B:$B,$B70)</f>
        <v>0</v>
      </c>
      <c r="G70" s="269">
        <f>SUMIFS('Contact Hours DM'!F:F,'Contact Hours DM'!$A:$A,$A70,'Contact Hours DM'!$B:$B,$B70)</f>
        <v>0</v>
      </c>
      <c r="H70" s="269">
        <f>SUMIFS('Contact Hours DM'!H:H,'Contact Hours DM'!$A:$A,$A70,'Contact Hours DM'!$B:$B,$B70)</f>
        <v>0</v>
      </c>
      <c r="I70" s="269">
        <f>SUMIFS('Contact Hours DM'!I:I,'Contact Hours DM'!$A:$A,$A70,'Contact Hours DM'!$B:$B,$B70)</f>
        <v>0</v>
      </c>
      <c r="J70" s="269">
        <f>SUMIFS('Contact Hours DM'!J:J,'Contact Hours DM'!$A:$A,$A70,'Contact Hours DM'!$B:$B,$B70)</f>
        <v>0</v>
      </c>
      <c r="K70" s="269">
        <f>SUMIFS('Contact Hours DM'!K:K,'Contact Hours DM'!$A:$A,$A70,'Contact Hours DM'!$B:$B,$B70)</f>
        <v>0</v>
      </c>
      <c r="L70" s="275">
        <f t="shared" si="14"/>
        <v>0</v>
      </c>
      <c r="M70" s="275">
        <f t="shared" si="15"/>
        <v>0</v>
      </c>
      <c r="N70" s="275">
        <f t="shared" si="12"/>
        <v>0</v>
      </c>
      <c r="O70" s="275">
        <f t="shared" si="13"/>
        <v>0</v>
      </c>
      <c r="P70" s="275">
        <f t="shared" si="16"/>
        <v>0</v>
      </c>
      <c r="Q70" s="275">
        <f t="shared" si="17"/>
        <v>0</v>
      </c>
      <c r="R70" s="275">
        <f t="shared" si="18"/>
        <v>0</v>
      </c>
      <c r="S70" s="275">
        <f t="shared" si="19"/>
        <v>0</v>
      </c>
      <c r="T70" s="275">
        <f t="shared" si="20"/>
        <v>0</v>
      </c>
    </row>
    <row r="71" spans="1:20">
      <c r="A71" s="272">
        <v>23485</v>
      </c>
      <c r="B71" s="273">
        <v>16</v>
      </c>
      <c r="C71" s="274">
        <f t="shared" si="21"/>
        <v>18.049248075701165</v>
      </c>
      <c r="D71" s="269">
        <f>SUMIFS('Contact Hours DM'!D:D,'Contact Hours DM'!$A:$A,$A71,'Contact Hours DM'!$B:$B,$B71)</f>
        <v>1392</v>
      </c>
      <c r="E71" s="269">
        <f>SUMIFS('Contact Hours DM'!E:E,'Contact Hours DM'!$A:$A,$A71,'Contact Hours DM'!$B:$B,$B71)</f>
        <v>480</v>
      </c>
      <c r="F71" s="269">
        <f>SUMIFS('Contact Hours DM'!G:G,'Contact Hours DM'!$A:$A,$A71,'Contact Hours DM'!$B:$B,$B71)</f>
        <v>0</v>
      </c>
      <c r="G71" s="269">
        <f>SUMIFS('Contact Hours DM'!F:F,'Contact Hours DM'!$A:$A,$A71,'Contact Hours DM'!$B:$B,$B71)</f>
        <v>0</v>
      </c>
      <c r="H71" s="269">
        <f>SUMIFS('Contact Hours DM'!H:H,'Contact Hours DM'!$A:$A,$A71,'Contact Hours DM'!$B:$B,$B71)</f>
        <v>0</v>
      </c>
      <c r="I71" s="269">
        <f>SUMIFS('Contact Hours DM'!I:I,'Contact Hours DM'!$A:$A,$A71,'Contact Hours DM'!$B:$B,$B71)</f>
        <v>58624</v>
      </c>
      <c r="J71" s="269">
        <f>SUMIFS('Contact Hours DM'!J:J,'Contact Hours DM'!$A:$A,$A71,'Contact Hours DM'!$B:$B,$B71)</f>
        <v>0</v>
      </c>
      <c r="K71" s="269">
        <f>SUMIFS('Contact Hours DM'!K:K,'Contact Hours DM'!$A:$A,$A71,'Contact Hours DM'!$B:$B,$B71)</f>
        <v>14203</v>
      </c>
      <c r="L71" s="275">
        <f t="shared" si="14"/>
        <v>1872</v>
      </c>
      <c r="M71" s="275">
        <f t="shared" si="15"/>
        <v>72827</v>
      </c>
      <c r="N71" s="275">
        <f t="shared" si="12"/>
        <v>48</v>
      </c>
      <c r="O71" s="275">
        <f t="shared" si="13"/>
        <v>7282.7000000000007</v>
      </c>
      <c r="P71" s="275">
        <f t="shared" si="16"/>
        <v>1920</v>
      </c>
      <c r="Q71" s="275">
        <f t="shared" si="17"/>
        <v>80109.7</v>
      </c>
      <c r="R71" s="275">
        <f t="shared" si="18"/>
        <v>34654.556305346239</v>
      </c>
      <c r="S71" s="275">
        <f t="shared" si="19"/>
        <v>1445919.8485699976</v>
      </c>
      <c r="T71" s="275">
        <f t="shared" si="20"/>
        <v>0</v>
      </c>
    </row>
    <row r="72" spans="1:20">
      <c r="A72" s="272">
        <v>23485</v>
      </c>
      <c r="B72" s="273">
        <v>17</v>
      </c>
      <c r="C72" s="274">
        <f t="shared" si="21"/>
        <v>21.998777303847355</v>
      </c>
      <c r="D72" s="269">
        <f>SUMIFS('Contact Hours DM'!D:D,'Contact Hours DM'!$A:$A,$A72,'Contact Hours DM'!$B:$B,$B72)</f>
        <v>0</v>
      </c>
      <c r="E72" s="269">
        <f>SUMIFS('Contact Hours DM'!E:E,'Contact Hours DM'!$A:$A,$A72,'Contact Hours DM'!$B:$B,$B72)</f>
        <v>0</v>
      </c>
      <c r="F72" s="269">
        <f>SUMIFS('Contact Hours DM'!G:G,'Contact Hours DM'!$A:$A,$A72,'Contact Hours DM'!$B:$B,$B72)</f>
        <v>0</v>
      </c>
      <c r="G72" s="269">
        <f>SUMIFS('Contact Hours DM'!F:F,'Contact Hours DM'!$A:$A,$A72,'Contact Hours DM'!$B:$B,$B72)</f>
        <v>0</v>
      </c>
      <c r="H72" s="269">
        <f>SUMIFS('Contact Hours DM'!H:H,'Contact Hours DM'!$A:$A,$A72,'Contact Hours DM'!$B:$B,$B72)</f>
        <v>0</v>
      </c>
      <c r="I72" s="269">
        <f>SUMIFS('Contact Hours DM'!I:I,'Contact Hours DM'!$A:$A,$A72,'Contact Hours DM'!$B:$B,$B72)</f>
        <v>0</v>
      </c>
      <c r="J72" s="269">
        <f>SUMIFS('Contact Hours DM'!J:J,'Contact Hours DM'!$A:$A,$A72,'Contact Hours DM'!$B:$B,$B72)</f>
        <v>0</v>
      </c>
      <c r="K72" s="269">
        <f>SUMIFS('Contact Hours DM'!K:K,'Contact Hours DM'!$A:$A,$A72,'Contact Hours DM'!$B:$B,$B72)</f>
        <v>0</v>
      </c>
      <c r="L72" s="275">
        <f t="shared" si="14"/>
        <v>0</v>
      </c>
      <c r="M72" s="275">
        <f t="shared" si="15"/>
        <v>0</v>
      </c>
      <c r="N72" s="275">
        <f t="shared" si="12"/>
        <v>0</v>
      </c>
      <c r="O72" s="275">
        <f t="shared" si="13"/>
        <v>0</v>
      </c>
      <c r="P72" s="275">
        <f t="shared" si="16"/>
        <v>0</v>
      </c>
      <c r="Q72" s="275">
        <f t="shared" si="17"/>
        <v>0</v>
      </c>
      <c r="R72" s="275">
        <f t="shared" si="18"/>
        <v>0</v>
      </c>
      <c r="S72" s="275">
        <f t="shared" si="19"/>
        <v>0</v>
      </c>
      <c r="T72" s="275">
        <f t="shared" si="20"/>
        <v>0</v>
      </c>
    </row>
    <row r="73" spans="1:20">
      <c r="A73" s="272">
        <v>23485</v>
      </c>
      <c r="B73" s="273">
        <v>18</v>
      </c>
      <c r="C73" s="274">
        <f t="shared" si="21"/>
        <v>19.014018574179627</v>
      </c>
      <c r="D73" s="269">
        <f>SUMIFS('Contact Hours DM'!D:D,'Contact Hours DM'!$A:$A,$A73,'Contact Hours DM'!$B:$B,$B73)</f>
        <v>0</v>
      </c>
      <c r="E73" s="269">
        <f>SUMIFS('Contact Hours DM'!E:E,'Contact Hours DM'!$A:$A,$A73,'Contact Hours DM'!$B:$B,$B73)</f>
        <v>0</v>
      </c>
      <c r="F73" s="269">
        <f>SUMIFS('Contact Hours DM'!G:G,'Contact Hours DM'!$A:$A,$A73,'Contact Hours DM'!$B:$B,$B73)</f>
        <v>0</v>
      </c>
      <c r="G73" s="269">
        <f>SUMIFS('Contact Hours DM'!F:F,'Contact Hours DM'!$A:$A,$A73,'Contact Hours DM'!$B:$B,$B73)</f>
        <v>0</v>
      </c>
      <c r="H73" s="269">
        <f>SUMIFS('Contact Hours DM'!H:H,'Contact Hours DM'!$A:$A,$A73,'Contact Hours DM'!$B:$B,$B73)</f>
        <v>0</v>
      </c>
      <c r="I73" s="269">
        <f>SUMIFS('Contact Hours DM'!I:I,'Contact Hours DM'!$A:$A,$A73,'Contact Hours DM'!$B:$B,$B73)</f>
        <v>107680</v>
      </c>
      <c r="J73" s="269">
        <f>SUMIFS('Contact Hours DM'!J:J,'Contact Hours DM'!$A:$A,$A73,'Contact Hours DM'!$B:$B,$B73)</f>
        <v>0</v>
      </c>
      <c r="K73" s="269">
        <f>SUMIFS('Contact Hours DM'!K:K,'Contact Hours DM'!$A:$A,$A73,'Contact Hours DM'!$B:$B,$B73)</f>
        <v>0</v>
      </c>
      <c r="L73" s="275">
        <f t="shared" si="14"/>
        <v>0</v>
      </c>
      <c r="M73" s="275">
        <f t="shared" si="15"/>
        <v>107680</v>
      </c>
      <c r="N73" s="275">
        <f t="shared" si="12"/>
        <v>0</v>
      </c>
      <c r="O73" s="275">
        <f t="shared" si="13"/>
        <v>10768</v>
      </c>
      <c r="P73" s="275">
        <f t="shared" si="16"/>
        <v>0</v>
      </c>
      <c r="Q73" s="275">
        <f t="shared" si="17"/>
        <v>118448</v>
      </c>
      <c r="R73" s="275">
        <f t="shared" si="18"/>
        <v>0</v>
      </c>
      <c r="S73" s="275">
        <f t="shared" si="19"/>
        <v>2252172.4720744286</v>
      </c>
      <c r="T73" s="275">
        <f t="shared" si="20"/>
        <v>0</v>
      </c>
    </row>
    <row r="74" spans="1:20">
      <c r="A74" s="272">
        <v>23485</v>
      </c>
      <c r="B74" s="273">
        <v>19</v>
      </c>
      <c r="C74" s="274">
        <f t="shared" si="21"/>
        <v>13.838426837550392</v>
      </c>
      <c r="D74" s="269">
        <f>SUMIFS('Contact Hours DM'!D:D,'Contact Hours DM'!$A:$A,$A74,'Contact Hours DM'!$B:$B,$B74)</f>
        <v>0</v>
      </c>
      <c r="E74" s="269">
        <f>SUMIFS('Contact Hours DM'!E:E,'Contact Hours DM'!$A:$A,$A74,'Contact Hours DM'!$B:$B,$B74)</f>
        <v>28432</v>
      </c>
      <c r="F74" s="269">
        <f>SUMIFS('Contact Hours DM'!G:G,'Contact Hours DM'!$A:$A,$A74,'Contact Hours DM'!$B:$B,$B74)</f>
        <v>22384</v>
      </c>
      <c r="G74" s="269">
        <f>SUMIFS('Contact Hours DM'!F:F,'Contact Hours DM'!$A:$A,$A74,'Contact Hours DM'!$B:$B,$B74)</f>
        <v>0</v>
      </c>
      <c r="H74" s="269">
        <f>SUMIFS('Contact Hours DM'!H:H,'Contact Hours DM'!$A:$A,$A74,'Contact Hours DM'!$B:$B,$B74)</f>
        <v>0</v>
      </c>
      <c r="I74" s="269">
        <f>SUMIFS('Contact Hours DM'!I:I,'Contact Hours DM'!$A:$A,$A74,'Contact Hours DM'!$B:$B,$B74)</f>
        <v>3648</v>
      </c>
      <c r="J74" s="269">
        <f>SUMIFS('Contact Hours DM'!J:J,'Contact Hours DM'!$A:$A,$A74,'Contact Hours DM'!$B:$B,$B74)</f>
        <v>0</v>
      </c>
      <c r="K74" s="269">
        <f>SUMIFS('Contact Hours DM'!K:K,'Contact Hours DM'!$A:$A,$A74,'Contact Hours DM'!$B:$B,$B74)</f>
        <v>0</v>
      </c>
      <c r="L74" s="275">
        <f t="shared" si="14"/>
        <v>50816</v>
      </c>
      <c r="M74" s="275">
        <f t="shared" si="15"/>
        <v>3648</v>
      </c>
      <c r="N74" s="275">
        <f t="shared" si="12"/>
        <v>5081.6000000000004</v>
      </c>
      <c r="O74" s="275">
        <f t="shared" si="13"/>
        <v>364.8</v>
      </c>
      <c r="P74" s="275">
        <f>L74+N74</f>
        <v>55897.599999999999</v>
      </c>
      <c r="Q74" s="275">
        <f t="shared" si="17"/>
        <v>4012.8</v>
      </c>
      <c r="R74" s="275">
        <f t="shared" si="18"/>
        <v>773534.84799465677</v>
      </c>
      <c r="S74" s="275">
        <f t="shared" si="19"/>
        <v>55530.839213722218</v>
      </c>
      <c r="T74" s="275">
        <f t="shared" si="20"/>
        <v>340735.2809649008</v>
      </c>
    </row>
    <row r="75" spans="1:20">
      <c r="A75" s="272">
        <v>23485</v>
      </c>
      <c r="B75" s="273">
        <v>20</v>
      </c>
      <c r="C75" s="274">
        <f t="shared" si="21"/>
        <v>16.863384337988059</v>
      </c>
      <c r="D75" s="269">
        <f>SUMIFS('Contact Hours DM'!D:D,'Contact Hours DM'!$A:$A,$A75,'Contact Hours DM'!$B:$B,$B75)</f>
        <v>0</v>
      </c>
      <c r="E75" s="269">
        <f>SUMIFS('Contact Hours DM'!E:E,'Contact Hours DM'!$A:$A,$A75,'Contact Hours DM'!$B:$B,$B75)</f>
        <v>0</v>
      </c>
      <c r="F75" s="269">
        <f>SUMIFS('Contact Hours DM'!G:G,'Contact Hours DM'!$A:$A,$A75,'Contact Hours DM'!$B:$B,$B75)</f>
        <v>0</v>
      </c>
      <c r="G75" s="269">
        <f>SUMIFS('Contact Hours DM'!F:F,'Contact Hours DM'!$A:$A,$A75,'Contact Hours DM'!$B:$B,$B75)</f>
        <v>0</v>
      </c>
      <c r="H75" s="269">
        <f>SUMIFS('Contact Hours DM'!H:H,'Contact Hours DM'!$A:$A,$A75,'Contact Hours DM'!$B:$B,$B75)</f>
        <v>16672</v>
      </c>
      <c r="I75" s="269">
        <f>SUMIFS('Contact Hours DM'!I:I,'Contact Hours DM'!$A:$A,$A75,'Contact Hours DM'!$B:$B,$B75)</f>
        <v>0</v>
      </c>
      <c r="J75" s="269">
        <f>SUMIFS('Contact Hours DM'!J:J,'Contact Hours DM'!$A:$A,$A75,'Contact Hours DM'!$B:$B,$B75)</f>
        <v>0</v>
      </c>
      <c r="K75" s="269">
        <f>SUMIFS('Contact Hours DM'!K:K,'Contact Hours DM'!$A:$A,$A75,'Contact Hours DM'!$B:$B,$B75)</f>
        <v>0</v>
      </c>
      <c r="L75" s="275">
        <f t="shared" si="14"/>
        <v>0</v>
      </c>
      <c r="M75" s="275">
        <f t="shared" si="15"/>
        <v>16672</v>
      </c>
      <c r="N75" s="275">
        <f t="shared" si="12"/>
        <v>0</v>
      </c>
      <c r="O75" s="275">
        <f t="shared" si="13"/>
        <v>0</v>
      </c>
      <c r="P75" s="275">
        <f t="shared" si="16"/>
        <v>0</v>
      </c>
      <c r="Q75" s="275">
        <f t="shared" si="17"/>
        <v>16672</v>
      </c>
      <c r="R75" s="275">
        <f t="shared" si="18"/>
        <v>0</v>
      </c>
      <c r="S75" s="275">
        <f t="shared" si="19"/>
        <v>281146.34368293692</v>
      </c>
      <c r="T75" s="275">
        <f t="shared" si="20"/>
        <v>0</v>
      </c>
    </row>
    <row r="76" spans="1:20">
      <c r="A76" s="272">
        <v>23485</v>
      </c>
      <c r="B76" s="273">
        <v>21</v>
      </c>
      <c r="C76" s="274">
        <f t="shared" si="21"/>
        <v>18.169844388010969</v>
      </c>
      <c r="D76" s="269">
        <f>SUMIFS('Contact Hours DM'!D:D,'Contact Hours DM'!$A:$A,$A76,'Contact Hours DM'!$B:$B,$B76)</f>
        <v>0</v>
      </c>
      <c r="E76" s="269">
        <f>SUMIFS('Contact Hours DM'!E:E,'Contact Hours DM'!$A:$A,$A76,'Contact Hours DM'!$B:$B,$B76)</f>
        <v>0</v>
      </c>
      <c r="F76" s="269">
        <f>SUMIFS('Contact Hours DM'!G:G,'Contact Hours DM'!$A:$A,$A76,'Contact Hours DM'!$B:$B,$B76)</f>
        <v>0</v>
      </c>
      <c r="G76" s="269">
        <f>SUMIFS('Contact Hours DM'!F:F,'Contact Hours DM'!$A:$A,$A76,'Contact Hours DM'!$B:$B,$B76)</f>
        <v>0</v>
      </c>
      <c r="H76" s="269">
        <f>SUMIFS('Contact Hours DM'!H:H,'Contact Hours DM'!$A:$A,$A76,'Contact Hours DM'!$B:$B,$B76)</f>
        <v>0</v>
      </c>
      <c r="I76" s="269">
        <f>SUMIFS('Contact Hours DM'!I:I,'Contact Hours DM'!$A:$A,$A76,'Contact Hours DM'!$B:$B,$B76)</f>
        <v>0</v>
      </c>
      <c r="J76" s="269">
        <f>SUMIFS('Contact Hours DM'!J:J,'Contact Hours DM'!$A:$A,$A76,'Contact Hours DM'!$B:$B,$B76)</f>
        <v>47296</v>
      </c>
      <c r="K76" s="269">
        <f>SUMIFS('Contact Hours DM'!K:K,'Contact Hours DM'!$A:$A,$A76,'Contact Hours DM'!$B:$B,$B76)</f>
        <v>0</v>
      </c>
      <c r="L76" s="275">
        <f t="shared" si="14"/>
        <v>0</v>
      </c>
      <c r="M76" s="275">
        <f t="shared" si="15"/>
        <v>47296</v>
      </c>
      <c r="N76" s="275">
        <f t="shared" si="12"/>
        <v>0</v>
      </c>
      <c r="O76" s="275">
        <f t="shared" si="13"/>
        <v>0</v>
      </c>
      <c r="P76" s="275">
        <f t="shared" si="16"/>
        <v>0</v>
      </c>
      <c r="Q76" s="275">
        <f t="shared" si="17"/>
        <v>47296</v>
      </c>
      <c r="R76" s="275">
        <f t="shared" si="18"/>
        <v>0</v>
      </c>
      <c r="S76" s="275">
        <f t="shared" si="19"/>
        <v>859360.96017536672</v>
      </c>
      <c r="T76" s="275">
        <f t="shared" si="20"/>
        <v>0</v>
      </c>
    </row>
    <row r="77" spans="1:20">
      <c r="A77" s="272">
        <v>23485</v>
      </c>
      <c r="B77" s="273">
        <v>22</v>
      </c>
      <c r="C77" s="274">
        <f t="shared" si="21"/>
        <v>20.551621556129668</v>
      </c>
      <c r="D77" s="269">
        <f>SUMIFS('Contact Hours DM'!D:D,'Contact Hours DM'!$A:$A,$A77,'Contact Hours DM'!$B:$B,$B77)</f>
        <v>0</v>
      </c>
      <c r="E77" s="269">
        <f>SUMIFS('Contact Hours DM'!E:E,'Contact Hours DM'!$A:$A,$A77,'Contact Hours DM'!$B:$B,$B77)</f>
        <v>0</v>
      </c>
      <c r="F77" s="269">
        <f>SUMIFS('Contact Hours DM'!G:G,'Contact Hours DM'!$A:$A,$A77,'Contact Hours DM'!$B:$B,$B77)</f>
        <v>0</v>
      </c>
      <c r="G77" s="269">
        <f>SUMIFS('Contact Hours DM'!F:F,'Contact Hours DM'!$A:$A,$A77,'Contact Hours DM'!$B:$B,$B77)</f>
        <v>0</v>
      </c>
      <c r="H77" s="269">
        <f>SUMIFS('Contact Hours DM'!H:H,'Contact Hours DM'!$A:$A,$A77,'Contact Hours DM'!$B:$B,$B77)</f>
        <v>1728</v>
      </c>
      <c r="I77" s="269">
        <f>SUMIFS('Contact Hours DM'!I:I,'Contact Hours DM'!$A:$A,$A77,'Contact Hours DM'!$B:$B,$B77)</f>
        <v>0</v>
      </c>
      <c r="J77" s="269">
        <f>SUMIFS('Contact Hours DM'!J:J,'Contact Hours DM'!$A:$A,$A77,'Contact Hours DM'!$B:$B,$B77)</f>
        <v>4080</v>
      </c>
      <c r="K77" s="269">
        <f>SUMIFS('Contact Hours DM'!K:K,'Contact Hours DM'!$A:$A,$A77,'Contact Hours DM'!$B:$B,$B77)</f>
        <v>0</v>
      </c>
      <c r="L77" s="275">
        <f t="shared" si="14"/>
        <v>0</v>
      </c>
      <c r="M77" s="275">
        <f t="shared" si="15"/>
        <v>5808</v>
      </c>
      <c r="N77" s="275">
        <f t="shared" si="12"/>
        <v>0</v>
      </c>
      <c r="O77" s="275">
        <f t="shared" si="13"/>
        <v>0</v>
      </c>
      <c r="P77" s="275">
        <f t="shared" si="16"/>
        <v>0</v>
      </c>
      <c r="Q77" s="275">
        <f t="shared" si="17"/>
        <v>5808</v>
      </c>
      <c r="R77" s="275">
        <f t="shared" si="18"/>
        <v>0</v>
      </c>
      <c r="S77" s="275">
        <f t="shared" si="19"/>
        <v>119363.8179980011</v>
      </c>
      <c r="T77" s="275">
        <f t="shared" si="20"/>
        <v>0</v>
      </c>
    </row>
    <row r="78" spans="1:20">
      <c r="A78" s="272">
        <v>23485</v>
      </c>
      <c r="B78" s="273">
        <v>23</v>
      </c>
      <c r="C78" s="274">
        <f t="shared" si="21"/>
        <v>18.049248075701165</v>
      </c>
      <c r="D78" s="269">
        <f>SUMIFS('Contact Hours DM'!D:D,'Contact Hours DM'!$A:$A,$A78,'Contact Hours DM'!$B:$B,$B78)</f>
        <v>3504</v>
      </c>
      <c r="E78" s="269">
        <f>SUMIFS('Contact Hours DM'!E:E,'Contact Hours DM'!$A:$A,$A78,'Contact Hours DM'!$B:$B,$B78)</f>
        <v>0</v>
      </c>
      <c r="F78" s="269">
        <f>SUMIFS('Contact Hours DM'!G:G,'Contact Hours DM'!$A:$A,$A78,'Contact Hours DM'!$B:$B,$B78)</f>
        <v>0</v>
      </c>
      <c r="G78" s="269">
        <f>SUMIFS('Contact Hours DM'!F:F,'Contact Hours DM'!$A:$A,$A78,'Contact Hours DM'!$B:$B,$B78)</f>
        <v>0</v>
      </c>
      <c r="H78" s="269">
        <f>SUMIFS('Contact Hours DM'!H:H,'Contact Hours DM'!$A:$A,$A78,'Contact Hours DM'!$B:$B,$B78)</f>
        <v>0</v>
      </c>
      <c r="I78" s="269">
        <f>SUMIFS('Contact Hours DM'!I:I,'Contact Hours DM'!$A:$A,$A78,'Contact Hours DM'!$B:$B,$B78)</f>
        <v>0</v>
      </c>
      <c r="J78" s="269">
        <f>SUMIFS('Contact Hours DM'!J:J,'Contact Hours DM'!$A:$A,$A78,'Contact Hours DM'!$B:$B,$B78)</f>
        <v>0</v>
      </c>
      <c r="K78" s="269">
        <f>SUMIFS('Contact Hours DM'!K:K,'Contact Hours DM'!$A:$A,$A78,'Contact Hours DM'!$B:$B,$B78)</f>
        <v>0</v>
      </c>
      <c r="L78" s="275">
        <f t="shared" si="14"/>
        <v>3504</v>
      </c>
      <c r="M78" s="275">
        <f t="shared" si="15"/>
        <v>0</v>
      </c>
      <c r="N78" s="275">
        <f t="shared" si="12"/>
        <v>0</v>
      </c>
      <c r="O78" s="275">
        <f t="shared" si="13"/>
        <v>0</v>
      </c>
      <c r="P78" s="275">
        <f t="shared" si="16"/>
        <v>3504</v>
      </c>
      <c r="Q78" s="275">
        <f t="shared" si="17"/>
        <v>0</v>
      </c>
      <c r="R78" s="275">
        <f t="shared" si="18"/>
        <v>63244.56525725688</v>
      </c>
      <c r="S78" s="275">
        <f t="shared" si="19"/>
        <v>0</v>
      </c>
      <c r="T78" s="275">
        <f t="shared" si="20"/>
        <v>0</v>
      </c>
    </row>
    <row r="79" spans="1:20">
      <c r="A79" s="272">
        <v>23485</v>
      </c>
      <c r="B79" s="273">
        <v>24</v>
      </c>
      <c r="C79" s="274">
        <f t="shared" si="21"/>
        <v>15.466477053732792</v>
      </c>
      <c r="D79" s="269">
        <f>SUMIFS('Contact Hours DM'!D:D,'Contact Hours DM'!$A:$A,$A79,'Contact Hours DM'!$B:$B,$B79)</f>
        <v>6192</v>
      </c>
      <c r="E79" s="269">
        <f>SUMIFS('Contact Hours DM'!E:E,'Contact Hours DM'!$A:$A,$A79,'Contact Hours DM'!$B:$B,$B79)</f>
        <v>0</v>
      </c>
      <c r="F79" s="269">
        <f>SUMIFS('Contact Hours DM'!G:G,'Contact Hours DM'!$A:$A,$A79,'Contact Hours DM'!$B:$B,$B79)</f>
        <v>0</v>
      </c>
      <c r="G79" s="269">
        <f>SUMIFS('Contact Hours DM'!F:F,'Contact Hours DM'!$A:$A,$A79,'Contact Hours DM'!$B:$B,$B79)</f>
        <v>0</v>
      </c>
      <c r="H79" s="269">
        <f>SUMIFS('Contact Hours DM'!H:H,'Contact Hours DM'!$A:$A,$A79,'Contact Hours DM'!$B:$B,$B79)</f>
        <v>0</v>
      </c>
      <c r="I79" s="269">
        <f>SUMIFS('Contact Hours DM'!I:I,'Contact Hours DM'!$A:$A,$A79,'Contact Hours DM'!$B:$B,$B79)</f>
        <v>0</v>
      </c>
      <c r="J79" s="269">
        <f>SUMIFS('Contact Hours DM'!J:J,'Contact Hours DM'!$A:$A,$A79,'Contact Hours DM'!$B:$B,$B79)</f>
        <v>0</v>
      </c>
      <c r="K79" s="269">
        <f>SUMIFS('Contact Hours DM'!K:K,'Contact Hours DM'!$A:$A,$A79,'Contact Hours DM'!$B:$B,$B79)</f>
        <v>0</v>
      </c>
      <c r="L79" s="275">
        <f t="shared" si="14"/>
        <v>6192</v>
      </c>
      <c r="M79" s="275">
        <f t="shared" si="15"/>
        <v>0</v>
      </c>
      <c r="N79" s="275">
        <f t="shared" si="12"/>
        <v>0</v>
      </c>
      <c r="O79" s="275">
        <f t="shared" si="13"/>
        <v>0</v>
      </c>
      <c r="P79" s="275">
        <f t="shared" si="16"/>
        <v>6192</v>
      </c>
      <c r="Q79" s="275">
        <f t="shared" si="17"/>
        <v>0</v>
      </c>
      <c r="R79" s="275">
        <f t="shared" si="18"/>
        <v>95768.425916713444</v>
      </c>
      <c r="S79" s="275">
        <f t="shared" si="19"/>
        <v>0</v>
      </c>
      <c r="T79" s="275">
        <f t="shared" si="20"/>
        <v>0</v>
      </c>
    </row>
    <row r="80" spans="1:20">
      <c r="A80" s="272">
        <v>23485</v>
      </c>
      <c r="B80" s="273">
        <v>25</v>
      </c>
      <c r="C80" s="274">
        <f t="shared" si="21"/>
        <v>12.501817709450027</v>
      </c>
      <c r="D80" s="269">
        <f>SUMIFS('Contact Hours DM'!D:D,'Contact Hours DM'!$A:$A,$A80,'Contact Hours DM'!$B:$B,$B80)</f>
        <v>135088</v>
      </c>
      <c r="E80" s="269">
        <f>SUMIFS('Contact Hours DM'!E:E,'Contact Hours DM'!$A:$A,$A80,'Contact Hours DM'!$B:$B,$B80)</f>
        <v>0</v>
      </c>
      <c r="F80" s="269">
        <f>SUMIFS('Contact Hours DM'!G:G,'Contact Hours DM'!$A:$A,$A80,'Contact Hours DM'!$B:$B,$B80)</f>
        <v>0</v>
      </c>
      <c r="G80" s="269">
        <f>SUMIFS('Contact Hours DM'!F:F,'Contact Hours DM'!$A:$A,$A80,'Contact Hours DM'!$B:$B,$B80)</f>
        <v>0</v>
      </c>
      <c r="H80" s="269">
        <f>SUMIFS('Contact Hours DM'!H:H,'Contact Hours DM'!$A:$A,$A80,'Contact Hours DM'!$B:$B,$B80)</f>
        <v>0</v>
      </c>
      <c r="I80" s="269">
        <f>SUMIFS('Contact Hours DM'!I:I,'Contact Hours DM'!$A:$A,$A80,'Contact Hours DM'!$B:$B,$B80)</f>
        <v>0</v>
      </c>
      <c r="J80" s="269">
        <f>SUMIFS('Contact Hours DM'!J:J,'Contact Hours DM'!$A:$A,$A80,'Contact Hours DM'!$B:$B,$B80)</f>
        <v>0</v>
      </c>
      <c r="K80" s="269">
        <f>SUMIFS('Contact Hours DM'!K:K,'Contact Hours DM'!$A:$A,$A80,'Contact Hours DM'!$B:$B,$B80)</f>
        <v>0</v>
      </c>
      <c r="L80" s="275">
        <f t="shared" si="14"/>
        <v>135088</v>
      </c>
      <c r="M80" s="275">
        <f t="shared" si="15"/>
        <v>0</v>
      </c>
      <c r="N80" s="275">
        <f t="shared" si="12"/>
        <v>0</v>
      </c>
      <c r="O80" s="275">
        <f t="shared" si="13"/>
        <v>0</v>
      </c>
      <c r="P80" s="275">
        <f t="shared" si="16"/>
        <v>135088</v>
      </c>
      <c r="Q80" s="275">
        <f t="shared" si="17"/>
        <v>0</v>
      </c>
      <c r="R80" s="275">
        <f t="shared" si="18"/>
        <v>1688845.5507341851</v>
      </c>
      <c r="S80" s="275">
        <f t="shared" si="19"/>
        <v>0</v>
      </c>
      <c r="T80" s="275">
        <f t="shared" si="20"/>
        <v>0</v>
      </c>
    </row>
    <row r="81" spans="1:20">
      <c r="A81" s="272">
        <v>23485</v>
      </c>
      <c r="B81" s="273">
        <v>26</v>
      </c>
      <c r="C81" s="274">
        <f t="shared" si="21"/>
        <v>15.325781356038016</v>
      </c>
      <c r="D81" s="269">
        <f>SUMIFS('Contact Hours DM'!D:D,'Contact Hours DM'!$A:$A,$A81,'Contact Hours DM'!$B:$B,$B81)</f>
        <v>77136</v>
      </c>
      <c r="E81" s="269">
        <f>SUMIFS('Contact Hours DM'!E:E,'Contact Hours DM'!$A:$A,$A81,'Contact Hours DM'!$B:$B,$B81)</f>
        <v>0</v>
      </c>
      <c r="F81" s="269">
        <f>SUMIFS('Contact Hours DM'!G:G,'Contact Hours DM'!$A:$A,$A81,'Contact Hours DM'!$B:$B,$B81)</f>
        <v>0</v>
      </c>
      <c r="G81" s="269">
        <f>SUMIFS('Contact Hours DM'!F:F,'Contact Hours DM'!$A:$A,$A81,'Contact Hours DM'!$B:$B,$B81)</f>
        <v>0</v>
      </c>
      <c r="H81" s="269">
        <f>SUMIFS('Contact Hours DM'!H:H,'Contact Hours DM'!$A:$A,$A81,'Contact Hours DM'!$B:$B,$B81)</f>
        <v>20384</v>
      </c>
      <c r="I81" s="269">
        <f>SUMIFS('Contact Hours DM'!I:I,'Contact Hours DM'!$A:$A,$A81,'Contact Hours DM'!$B:$B,$B81)</f>
        <v>0</v>
      </c>
      <c r="J81" s="269">
        <f>SUMIFS('Contact Hours DM'!J:J,'Contact Hours DM'!$A:$A,$A81,'Contact Hours DM'!$B:$B,$B81)</f>
        <v>0</v>
      </c>
      <c r="K81" s="269">
        <f>SUMIFS('Contact Hours DM'!K:K,'Contact Hours DM'!$A:$A,$A81,'Contact Hours DM'!$B:$B,$B81)</f>
        <v>0</v>
      </c>
      <c r="L81" s="275">
        <f t="shared" si="14"/>
        <v>77136</v>
      </c>
      <c r="M81" s="275">
        <f t="shared" si="15"/>
        <v>20384</v>
      </c>
      <c r="N81" s="275">
        <f t="shared" si="12"/>
        <v>0</v>
      </c>
      <c r="O81" s="275">
        <f t="shared" si="13"/>
        <v>0</v>
      </c>
      <c r="P81" s="275">
        <f t="shared" si="16"/>
        <v>77136</v>
      </c>
      <c r="Q81" s="275">
        <f t="shared" si="17"/>
        <v>20384</v>
      </c>
      <c r="R81" s="275">
        <f t="shared" si="18"/>
        <v>1182169.4706793483</v>
      </c>
      <c r="S81" s="275">
        <f t="shared" si="19"/>
        <v>312400.72716147889</v>
      </c>
      <c r="T81" s="275">
        <f t="shared" si="20"/>
        <v>0</v>
      </c>
    </row>
    <row r="82" spans="1:20">
      <c r="D82" s="261">
        <v>135088</v>
      </c>
      <c r="E82" s="261">
        <v>0</v>
      </c>
      <c r="F82" s="261">
        <v>0</v>
      </c>
      <c r="G82" s="261">
        <v>0</v>
      </c>
      <c r="H82" s="261">
        <v>0</v>
      </c>
      <c r="I82" s="261">
        <v>0</v>
      </c>
      <c r="J82" s="261">
        <v>0</v>
      </c>
      <c r="K82" s="261">
        <v>0</v>
      </c>
      <c r="L82" s="261">
        <f t="shared" ref="L82:T82" si="22">SUM(L4:L81)</f>
        <v>1781680</v>
      </c>
      <c r="M82" s="261">
        <f t="shared" si="22"/>
        <v>2698987</v>
      </c>
      <c r="N82" s="261">
        <f t="shared" si="22"/>
        <v>63336</v>
      </c>
      <c r="O82" s="261">
        <f t="shared" si="22"/>
        <v>131994.79999999999</v>
      </c>
      <c r="P82" s="261">
        <f t="shared" si="22"/>
        <v>1845016.0000000005</v>
      </c>
      <c r="Q82" s="261">
        <f t="shared" si="22"/>
        <v>2830981.8</v>
      </c>
      <c r="R82" s="261">
        <f t="shared" si="22"/>
        <v>25612621.760270141</v>
      </c>
      <c r="S82" s="278">
        <f t="shared" si="22"/>
        <v>47511863.679729849</v>
      </c>
      <c r="T82" s="278">
        <f t="shared" si="22"/>
        <v>2251753.8259961219</v>
      </c>
    </row>
    <row r="83" spans="1:20">
      <c r="D83" s="261">
        <v>77136</v>
      </c>
      <c r="E83" s="261">
        <v>0</v>
      </c>
      <c r="F83" s="261">
        <v>0</v>
      </c>
      <c r="G83" s="261">
        <v>0</v>
      </c>
      <c r="H83" s="261">
        <v>20384</v>
      </c>
      <c r="I83" s="261">
        <v>0</v>
      </c>
      <c r="J83" s="261">
        <v>0</v>
      </c>
      <c r="K83" s="261">
        <v>0</v>
      </c>
    </row>
    <row r="84" spans="1:20">
      <c r="D84" s="261">
        <v>0</v>
      </c>
      <c r="E84" s="261">
        <v>0</v>
      </c>
      <c r="F84" s="261">
        <v>0</v>
      </c>
      <c r="G84" s="261">
        <v>0</v>
      </c>
      <c r="H84" s="261">
        <v>0</v>
      </c>
      <c r="I84" s="261">
        <v>0</v>
      </c>
      <c r="J84" s="261">
        <v>0</v>
      </c>
      <c r="K84" s="261">
        <v>0</v>
      </c>
      <c r="L84" s="261">
        <f>SUM(L82:M82)</f>
        <v>4480667</v>
      </c>
      <c r="S84" s="279"/>
    </row>
    <row r="85" spans="1:20">
      <c r="S85" s="279"/>
      <c r="T85" s="280"/>
    </row>
    <row r="87" spans="1:20">
      <c r="S87" s="281"/>
      <c r="T87" s="280"/>
    </row>
    <row r="89" spans="1:20">
      <c r="S89" s="281"/>
    </row>
  </sheetData>
  <pageMargins left="0.25" right="0.17" top="0.5" bottom="0.5" header="0.3" footer="0.3"/>
  <pageSetup fitToHeight="0" orientation="landscape" r:id="rId1"/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I42"/>
  <sheetViews>
    <sheetView showGridLines="0" zoomScaleNormal="100" workbookViewId="0"/>
  </sheetViews>
  <sheetFormatPr defaultColWidth="12" defaultRowHeight="13.8" outlineLevelRow="3" outlineLevelCol="3"/>
  <cols>
    <col min="1" max="1" width="7" style="2" customWidth="1"/>
    <col min="2" max="2" width="35.109375" style="2" bestFit="1" customWidth="1"/>
    <col min="3" max="3" width="15.33203125" style="2" customWidth="1"/>
    <col min="4" max="4" width="12.44140625" style="2" bestFit="1" customWidth="1"/>
    <col min="5" max="5" width="16.88671875" style="2" bestFit="1" customWidth="1"/>
    <col min="6" max="6" width="17.5546875" style="2" bestFit="1" customWidth="1"/>
    <col min="7" max="7" width="14.5546875" style="2" bestFit="1" customWidth="1"/>
    <col min="8" max="9" width="12" style="2"/>
    <col min="10" max="16384" width="12" style="2" outlineLevel="3"/>
  </cols>
  <sheetData>
    <row r="1" spans="1:7">
      <c r="A1" s="1" t="str">
        <f>'Allocation Summary'!A1</f>
        <v>State Colleges Basis for Legislative Appropriations - 2024-2025</v>
      </c>
    </row>
    <row r="2" spans="1:7">
      <c r="A2" s="1" t="s">
        <v>151</v>
      </c>
    </row>
    <row r="3" spans="1:7">
      <c r="A3" s="1" t="s">
        <v>145</v>
      </c>
    </row>
    <row r="4" spans="1:7" ht="14.4" thickBot="1">
      <c r="A4" s="1" t="s">
        <v>152</v>
      </c>
      <c r="B4" s="3"/>
      <c r="C4" s="3"/>
      <c r="D4" s="3"/>
      <c r="E4" s="3"/>
      <c r="F4" s="4" t="s">
        <v>61</v>
      </c>
      <c r="G4" s="5">
        <v>1.0049692692483945</v>
      </c>
    </row>
    <row r="5" spans="1:7" ht="57" customHeight="1" thickBot="1">
      <c r="A5" s="6" t="s">
        <v>4</v>
      </c>
      <c r="B5" s="318" t="s">
        <v>153</v>
      </c>
      <c r="C5" s="319"/>
      <c r="D5" s="6" t="s">
        <v>62</v>
      </c>
      <c r="E5" s="6" t="s">
        <v>63</v>
      </c>
      <c r="F5" s="6" t="s">
        <v>64</v>
      </c>
      <c r="G5" s="7" t="s">
        <v>65</v>
      </c>
    </row>
    <row r="6" spans="1:7">
      <c r="A6" s="8">
        <v>1</v>
      </c>
      <c r="B6" s="322" t="s">
        <v>66</v>
      </c>
      <c r="C6" s="323"/>
      <c r="D6" s="9">
        <v>2118644</v>
      </c>
      <c r="E6" s="10">
        <v>29024711.676366605</v>
      </c>
      <c r="F6" s="11">
        <f>ROUND(E6/D6,2)</f>
        <v>13.7</v>
      </c>
      <c r="G6" s="12">
        <f>IFERROR($G$4*F6,0)</f>
        <v>13.768078988703003</v>
      </c>
    </row>
    <row r="7" spans="1:7">
      <c r="A7" s="8">
        <v>2</v>
      </c>
      <c r="B7" s="320" t="s">
        <v>67</v>
      </c>
      <c r="C7" s="321"/>
      <c r="D7" s="9">
        <v>5905785</v>
      </c>
      <c r="E7" s="10">
        <v>91035688.090222687</v>
      </c>
      <c r="F7" s="13">
        <f t="shared" ref="F7:F31" si="0">ROUND(E7/D7,2)</f>
        <v>15.41</v>
      </c>
      <c r="G7" s="14">
        <f t="shared" ref="G7:G31" si="1">IFERROR($G$4*F7,0)</f>
        <v>15.486576439117758</v>
      </c>
    </row>
    <row r="8" spans="1:7">
      <c r="A8" s="8">
        <v>3</v>
      </c>
      <c r="B8" s="320" t="s">
        <v>68</v>
      </c>
      <c r="C8" s="321"/>
      <c r="D8" s="9">
        <v>36091468</v>
      </c>
      <c r="E8" s="10">
        <v>488372512.2750966</v>
      </c>
      <c r="F8" s="13">
        <f t="shared" si="0"/>
        <v>13.53</v>
      </c>
      <c r="G8" s="14">
        <f t="shared" si="1"/>
        <v>13.597234212930777</v>
      </c>
    </row>
    <row r="9" spans="1:7">
      <c r="A9" s="8">
        <v>4</v>
      </c>
      <c r="B9" s="320" t="s">
        <v>69</v>
      </c>
      <c r="C9" s="321"/>
      <c r="D9" s="9">
        <v>18039878</v>
      </c>
      <c r="E9" s="10">
        <v>229494748.32480919</v>
      </c>
      <c r="F9" s="13">
        <f t="shared" si="0"/>
        <v>12.72</v>
      </c>
      <c r="G9" s="14">
        <f t="shared" si="1"/>
        <v>12.783209104839578</v>
      </c>
    </row>
    <row r="10" spans="1:7">
      <c r="A10" s="8">
        <v>5</v>
      </c>
      <c r="B10" s="320" t="s">
        <v>70</v>
      </c>
      <c r="C10" s="321"/>
      <c r="D10" s="9">
        <v>126216</v>
      </c>
      <c r="E10" s="10">
        <v>5452006.4926020075</v>
      </c>
      <c r="F10" s="13">
        <f t="shared" si="0"/>
        <v>43.2</v>
      </c>
      <c r="G10" s="14">
        <f t="shared" si="1"/>
        <v>43.414672431530647</v>
      </c>
    </row>
    <row r="11" spans="1:7">
      <c r="A11" s="8">
        <v>6</v>
      </c>
      <c r="B11" s="320" t="s">
        <v>71</v>
      </c>
      <c r="C11" s="321"/>
      <c r="D11" s="9">
        <v>9107885</v>
      </c>
      <c r="E11" s="10">
        <v>109469681.51369426</v>
      </c>
      <c r="F11" s="13">
        <f t="shared" si="0"/>
        <v>12.02</v>
      </c>
      <c r="G11" s="14">
        <f t="shared" si="1"/>
        <v>12.079730616365701</v>
      </c>
    </row>
    <row r="12" spans="1:7">
      <c r="A12" s="8">
        <v>7</v>
      </c>
      <c r="B12" s="320" t="s">
        <v>72</v>
      </c>
      <c r="C12" s="321"/>
      <c r="D12" s="9">
        <v>8438369</v>
      </c>
      <c r="E12" s="10">
        <v>138257326.13018563</v>
      </c>
      <c r="F12" s="13">
        <f t="shared" si="0"/>
        <v>16.38</v>
      </c>
      <c r="G12" s="14">
        <f t="shared" si="1"/>
        <v>16.4613966302887</v>
      </c>
    </row>
    <row r="13" spans="1:7">
      <c r="A13" s="8">
        <v>8</v>
      </c>
      <c r="B13" s="320" t="s">
        <v>73</v>
      </c>
      <c r="C13" s="321"/>
      <c r="D13" s="9">
        <v>2596766</v>
      </c>
      <c r="E13" s="10">
        <v>43166885.466059327</v>
      </c>
      <c r="F13" s="13">
        <f t="shared" si="0"/>
        <v>16.62</v>
      </c>
      <c r="G13" s="14">
        <f t="shared" si="1"/>
        <v>16.702589254908318</v>
      </c>
    </row>
    <row r="14" spans="1:7">
      <c r="A14" s="8">
        <v>9</v>
      </c>
      <c r="B14" s="320" t="s">
        <v>74</v>
      </c>
      <c r="C14" s="321"/>
      <c r="D14" s="9">
        <v>8002892</v>
      </c>
      <c r="E14" s="10">
        <v>124665260.03264773</v>
      </c>
      <c r="F14" s="13">
        <f t="shared" si="0"/>
        <v>15.58</v>
      </c>
      <c r="G14" s="14">
        <f t="shared" si="1"/>
        <v>15.657421214889986</v>
      </c>
    </row>
    <row r="15" spans="1:7">
      <c r="A15" s="8">
        <v>10</v>
      </c>
      <c r="B15" s="320" t="s">
        <v>75</v>
      </c>
      <c r="C15" s="321"/>
      <c r="D15" s="9">
        <v>457368</v>
      </c>
      <c r="E15" s="10">
        <v>9848877.5834790748</v>
      </c>
      <c r="F15" s="13">
        <f t="shared" si="0"/>
        <v>21.53</v>
      </c>
      <c r="G15" s="14">
        <f t="shared" si="1"/>
        <v>21.636988366917933</v>
      </c>
    </row>
    <row r="16" spans="1:7">
      <c r="A16" s="8">
        <v>11</v>
      </c>
      <c r="B16" s="320" t="s">
        <v>76</v>
      </c>
      <c r="C16" s="321"/>
      <c r="D16" s="9">
        <v>6811740</v>
      </c>
      <c r="E16" s="10">
        <v>111636528.51902135</v>
      </c>
      <c r="F16" s="13">
        <f t="shared" si="0"/>
        <v>16.39</v>
      </c>
      <c r="G16" s="14">
        <f t="shared" si="1"/>
        <v>16.471446322981187</v>
      </c>
    </row>
    <row r="17" spans="1:7">
      <c r="A17" s="8">
        <v>12</v>
      </c>
      <c r="B17" s="320" t="s">
        <v>77</v>
      </c>
      <c r="C17" s="321"/>
      <c r="D17" s="15">
        <f>25415737+4661564</f>
        <v>30077301</v>
      </c>
      <c r="E17" s="16">
        <f>393193231.694849+72213903</f>
        <v>465407134.69484901</v>
      </c>
      <c r="F17" s="13">
        <f t="shared" si="0"/>
        <v>15.47</v>
      </c>
      <c r="G17" s="14">
        <f t="shared" si="1"/>
        <v>15.546874595272664</v>
      </c>
    </row>
    <row r="18" spans="1:7">
      <c r="A18" s="8">
        <v>13</v>
      </c>
      <c r="B18" s="320" t="s">
        <v>78</v>
      </c>
      <c r="C18" s="321"/>
      <c r="D18" s="9">
        <v>4802158</v>
      </c>
      <c r="E18" s="10">
        <v>61631973.268022045</v>
      </c>
      <c r="F18" s="13">
        <f t="shared" si="0"/>
        <v>12.83</v>
      </c>
      <c r="G18" s="14">
        <f t="shared" si="1"/>
        <v>12.8937557244569</v>
      </c>
    </row>
    <row r="19" spans="1:7">
      <c r="A19" s="8">
        <v>14</v>
      </c>
      <c r="B19" s="320" t="s">
        <v>79</v>
      </c>
      <c r="C19" s="321"/>
      <c r="D19" s="9">
        <v>8565561</v>
      </c>
      <c r="E19" s="10">
        <v>176197837.75824416</v>
      </c>
      <c r="F19" s="13">
        <f t="shared" si="0"/>
        <v>20.57</v>
      </c>
      <c r="G19" s="14">
        <f t="shared" si="1"/>
        <v>20.672217868439475</v>
      </c>
    </row>
    <row r="20" spans="1:7">
      <c r="A20" s="8">
        <v>15</v>
      </c>
      <c r="B20" s="320" t="s">
        <v>80</v>
      </c>
      <c r="C20" s="321"/>
      <c r="D20" s="9">
        <v>492323</v>
      </c>
      <c r="E20" s="10">
        <v>14656605.775981635</v>
      </c>
      <c r="F20" s="13">
        <f t="shared" si="0"/>
        <v>29.77</v>
      </c>
      <c r="G20" s="14">
        <f t="shared" si="1"/>
        <v>29.917935145524702</v>
      </c>
    </row>
    <row r="21" spans="1:7">
      <c r="A21" s="8">
        <v>16</v>
      </c>
      <c r="B21" s="320" t="s">
        <v>81</v>
      </c>
      <c r="C21" s="321"/>
      <c r="D21" s="9">
        <v>12311733</v>
      </c>
      <c r="E21" s="10">
        <v>221068856.5035367</v>
      </c>
      <c r="F21" s="13">
        <f t="shared" si="0"/>
        <v>17.96</v>
      </c>
      <c r="G21" s="14">
        <f t="shared" si="1"/>
        <v>18.049248075701165</v>
      </c>
    </row>
    <row r="22" spans="1:7">
      <c r="A22" s="8">
        <v>17</v>
      </c>
      <c r="B22" s="320" t="s">
        <v>82</v>
      </c>
      <c r="C22" s="321"/>
      <c r="D22" s="9">
        <v>821991</v>
      </c>
      <c r="E22" s="10">
        <v>17993049.624012936</v>
      </c>
      <c r="F22" s="13">
        <f t="shared" si="0"/>
        <v>21.89</v>
      </c>
      <c r="G22" s="14">
        <f t="shared" si="1"/>
        <v>21.998777303847355</v>
      </c>
    </row>
    <row r="23" spans="1:7">
      <c r="A23" s="8">
        <v>18</v>
      </c>
      <c r="B23" s="320" t="s">
        <v>83</v>
      </c>
      <c r="C23" s="321"/>
      <c r="D23" s="9">
        <v>3607757</v>
      </c>
      <c r="E23" s="10">
        <v>68273686.886467174</v>
      </c>
      <c r="F23" s="13">
        <f t="shared" si="0"/>
        <v>18.920000000000002</v>
      </c>
      <c r="G23" s="14">
        <f t="shared" si="1"/>
        <v>19.014018574179627</v>
      </c>
    </row>
    <row r="24" spans="1:7">
      <c r="A24" s="8">
        <v>19</v>
      </c>
      <c r="B24" s="320" t="s">
        <v>84</v>
      </c>
      <c r="C24" s="321"/>
      <c r="D24" s="15">
        <f>18794463+5125468</f>
        <v>23919931</v>
      </c>
      <c r="E24" s="16">
        <f>256516250.329373+72938935</f>
        <v>329455185.329373</v>
      </c>
      <c r="F24" s="13">
        <f t="shared" si="0"/>
        <v>13.77</v>
      </c>
      <c r="G24" s="14">
        <f t="shared" si="1"/>
        <v>13.838426837550392</v>
      </c>
    </row>
    <row r="25" spans="1:7">
      <c r="A25" s="8">
        <v>20</v>
      </c>
      <c r="B25" s="320" t="s">
        <v>85</v>
      </c>
      <c r="C25" s="321"/>
      <c r="D25" s="9">
        <v>2996783</v>
      </c>
      <c r="E25" s="10">
        <v>50288562.744654574</v>
      </c>
      <c r="F25" s="13">
        <f t="shared" si="0"/>
        <v>16.78</v>
      </c>
      <c r="G25" s="14">
        <f t="shared" si="1"/>
        <v>16.863384337988059</v>
      </c>
    </row>
    <row r="26" spans="1:7">
      <c r="A26" s="8">
        <v>21</v>
      </c>
      <c r="B26" s="320" t="s">
        <v>86</v>
      </c>
      <c r="C26" s="321"/>
      <c r="D26" s="9">
        <v>2948672</v>
      </c>
      <c r="E26" s="10">
        <v>53303586.763150051</v>
      </c>
      <c r="F26" s="13">
        <f t="shared" si="0"/>
        <v>18.079999999999998</v>
      </c>
      <c r="G26" s="14">
        <f t="shared" si="1"/>
        <v>18.169844388010969</v>
      </c>
    </row>
    <row r="27" spans="1:7">
      <c r="A27" s="8">
        <v>22</v>
      </c>
      <c r="B27" s="320" t="s">
        <v>87</v>
      </c>
      <c r="C27" s="321"/>
      <c r="D27" s="9">
        <v>702166</v>
      </c>
      <c r="E27" s="10">
        <v>14360263.380081616</v>
      </c>
      <c r="F27" s="13">
        <f t="shared" si="0"/>
        <v>20.45</v>
      </c>
      <c r="G27" s="14">
        <f t="shared" si="1"/>
        <v>20.551621556129668</v>
      </c>
    </row>
    <row r="28" spans="1:7">
      <c r="A28" s="8">
        <v>23</v>
      </c>
      <c r="B28" s="320" t="s">
        <v>88</v>
      </c>
      <c r="C28" s="321"/>
      <c r="D28" s="9">
        <v>2997156</v>
      </c>
      <c r="E28" s="10">
        <v>53817440.209332116</v>
      </c>
      <c r="F28" s="13">
        <f t="shared" si="0"/>
        <v>17.96</v>
      </c>
      <c r="G28" s="14">
        <f t="shared" si="1"/>
        <v>18.049248075701165</v>
      </c>
    </row>
    <row r="29" spans="1:7">
      <c r="A29" s="8">
        <v>24</v>
      </c>
      <c r="B29" s="320" t="s">
        <v>89</v>
      </c>
      <c r="C29" s="321"/>
      <c r="D29" s="9">
        <v>7157345</v>
      </c>
      <c r="E29" s="10">
        <v>110119508.99591586</v>
      </c>
      <c r="F29" s="13">
        <f t="shared" si="0"/>
        <v>15.39</v>
      </c>
      <c r="G29" s="14">
        <f t="shared" si="1"/>
        <v>15.466477053732792</v>
      </c>
    </row>
    <row r="30" spans="1:7">
      <c r="A30" s="8">
        <v>25</v>
      </c>
      <c r="B30" s="320" t="s">
        <v>90</v>
      </c>
      <c r="C30" s="321"/>
      <c r="D30" s="9">
        <v>47893947</v>
      </c>
      <c r="E30" s="10">
        <v>595573489.35263705</v>
      </c>
      <c r="F30" s="13">
        <f t="shared" si="0"/>
        <v>12.44</v>
      </c>
      <c r="G30" s="14">
        <f t="shared" si="1"/>
        <v>12.501817709450027</v>
      </c>
    </row>
    <row r="31" spans="1:7" ht="14.4" thickBot="1">
      <c r="A31" s="17">
        <v>26</v>
      </c>
      <c r="B31" s="324" t="s">
        <v>91</v>
      </c>
      <c r="C31" s="325"/>
      <c r="D31" s="18">
        <v>13012956</v>
      </c>
      <c r="E31" s="19">
        <v>198471081.03860247</v>
      </c>
      <c r="F31" s="20">
        <f t="shared" si="0"/>
        <v>15.25</v>
      </c>
      <c r="G31" s="21">
        <f t="shared" si="1"/>
        <v>15.325781356038016</v>
      </c>
    </row>
    <row r="32" spans="1:7">
      <c r="B32" s="22"/>
      <c r="C32" s="22"/>
      <c r="D32" s="23">
        <f>SUM(D6:D31)</f>
        <v>260004791</v>
      </c>
      <c r="E32" s="24">
        <f>SUM(E6:E31)</f>
        <v>3811042488.4290442</v>
      </c>
      <c r="F32" s="25">
        <f>E32/D32</f>
        <v>14.657585630524187</v>
      </c>
      <c r="G32" s="25"/>
    </row>
    <row r="33" spans="2:7" ht="14.7" customHeight="1">
      <c r="B33" s="22"/>
      <c r="C33" s="22"/>
      <c r="D33" s="26"/>
      <c r="E33" s="27"/>
      <c r="F33" s="27"/>
      <c r="G33" s="25"/>
    </row>
    <row r="34" spans="2:7" ht="14.7" customHeight="1">
      <c r="B34" s="28" t="s">
        <v>129</v>
      </c>
    </row>
    <row r="35" spans="2:7">
      <c r="B35" s="2" t="s">
        <v>130</v>
      </c>
      <c r="E35" s="29">
        <f>(Hours!R82+Hours!S82)/(Hours!L82+Hours!M82)</f>
        <v>16.32</v>
      </c>
      <c r="F35" s="30"/>
      <c r="G35" s="31"/>
    </row>
    <row r="36" spans="2:7">
      <c r="B36" s="2" t="s">
        <v>279</v>
      </c>
      <c r="E36" s="31">
        <v>15.39</v>
      </c>
    </row>
    <row r="37" spans="2:7">
      <c r="B37" s="2" t="s">
        <v>19</v>
      </c>
      <c r="E37" s="29">
        <f>E35-E36</f>
        <v>0.92999999999999972</v>
      </c>
      <c r="F37" s="30"/>
    </row>
    <row r="39" spans="2:7">
      <c r="E39" s="32"/>
    </row>
    <row r="40" spans="2:7">
      <c r="E40" s="32"/>
    </row>
    <row r="41" spans="2:7">
      <c r="E41" s="33"/>
    </row>
    <row r="42" spans="2:7">
      <c r="E42" s="34"/>
    </row>
  </sheetData>
  <mergeCells count="27">
    <mergeCell ref="B29:C29"/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5:C5"/>
    <mergeCell ref="B10:C10"/>
    <mergeCell ref="B6:C6"/>
    <mergeCell ref="B7:C7"/>
    <mergeCell ref="B8:C8"/>
    <mergeCell ref="B9:C9"/>
  </mergeCells>
  <pageMargins left="0.7" right="0.7" top="0.75" bottom="1.24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>
    <tabColor rgb="FF00B050"/>
  </sheetPr>
  <dimension ref="A1:P32"/>
  <sheetViews>
    <sheetView showGridLines="0" zoomScaleNormal="100" workbookViewId="0">
      <selection activeCell="B4" sqref="B4"/>
    </sheetView>
  </sheetViews>
  <sheetFormatPr defaultColWidth="15.109375" defaultRowHeight="13.8"/>
  <cols>
    <col min="1" max="1" width="9.33203125" style="36" customWidth="1"/>
    <col min="2" max="2" width="25.6640625" style="36" bestFit="1" customWidth="1"/>
    <col min="3" max="3" width="14.88671875" style="36" bestFit="1" customWidth="1"/>
    <col min="4" max="4" width="26.33203125" style="36" bestFit="1" customWidth="1"/>
    <col min="5" max="9" width="12" style="36" bestFit="1" customWidth="1"/>
    <col min="10" max="10" width="12.33203125" style="37" bestFit="1" customWidth="1"/>
    <col min="11" max="11" width="16.33203125" style="36" bestFit="1" customWidth="1"/>
    <col min="12" max="12" width="27" style="36" bestFit="1" customWidth="1"/>
    <col min="13" max="13" width="27.44140625" style="36" bestFit="1" customWidth="1"/>
    <col min="14" max="14" width="19.5546875" style="36" customWidth="1"/>
    <col min="15" max="15" width="16.44140625" style="36" bestFit="1" customWidth="1"/>
    <col min="16" max="16" width="16.33203125" style="36" customWidth="1"/>
    <col min="17" max="16384" width="15.109375" style="36"/>
  </cols>
  <sheetData>
    <row r="1" spans="1:16">
      <c r="A1" s="35" t="str">
        <f>'Allocation Summary'!A1</f>
        <v>State Colleges Basis for Legislative Appropriations - 2024-2025</v>
      </c>
    </row>
    <row r="2" spans="1:16" ht="14.4" thickBot="1">
      <c r="A2" s="35" t="s">
        <v>25</v>
      </c>
      <c r="D2" s="38"/>
      <c r="E2" s="37"/>
      <c r="F2" s="37"/>
      <c r="G2" s="38"/>
      <c r="I2" s="37"/>
      <c r="J2" s="36"/>
    </row>
    <row r="3" spans="1:16" s="42" customFormat="1" ht="30">
      <c r="A3" s="326" t="s">
        <v>0</v>
      </c>
      <c r="B3" s="327"/>
      <c r="C3" s="40" t="s">
        <v>1</v>
      </c>
      <c r="D3" s="39" t="s">
        <v>53</v>
      </c>
      <c r="E3" s="41" t="s">
        <v>26</v>
      </c>
      <c r="F3" s="40" t="s">
        <v>27</v>
      </c>
      <c r="G3" s="39" t="s">
        <v>54</v>
      </c>
      <c r="H3" s="41" t="s">
        <v>26</v>
      </c>
      <c r="I3" s="40" t="s">
        <v>27</v>
      </c>
      <c r="J3" s="39" t="s">
        <v>28</v>
      </c>
      <c r="K3" s="41" t="s">
        <v>29</v>
      </c>
      <c r="L3" s="40" t="s">
        <v>159</v>
      </c>
    </row>
    <row r="4" spans="1:16">
      <c r="A4" s="43">
        <v>36273</v>
      </c>
      <c r="B4" s="44" t="s">
        <v>55</v>
      </c>
      <c r="C4" s="201">
        <f t="shared" ref="C4:C6" si="0">D4+G4</f>
        <v>3699431.0839848043</v>
      </c>
      <c r="D4" s="122">
        <f t="shared" ref="D4:D6" si="1">E4+F4</f>
        <v>1849715.5419924022</v>
      </c>
      <c r="E4" s="45">
        <v>1009399.9277002774</v>
      </c>
      <c r="F4" s="46">
        <v>840315.61429212487</v>
      </c>
      <c r="G4" s="202">
        <f t="shared" ref="G4:G6" si="2">H4+I4</f>
        <v>1849715.5419924022</v>
      </c>
      <c r="H4" s="45">
        <v>1009399.9277002774</v>
      </c>
      <c r="I4" s="46">
        <v>840315.61429212487</v>
      </c>
      <c r="J4" s="203">
        <f>VLOOKUP(A4,Utilities!$A$5:$AA$51,27,0)</f>
        <v>1.30850947</v>
      </c>
      <c r="K4" s="204">
        <f t="shared" ref="K4:K6" si="3">J4*L4</f>
        <v>389768.33284783998</v>
      </c>
      <c r="L4" s="47">
        <v>297872</v>
      </c>
      <c r="M4" s="48"/>
      <c r="N4" s="49"/>
      <c r="O4" s="50"/>
      <c r="P4" s="51"/>
    </row>
    <row r="5" spans="1:16">
      <c r="A5" s="43">
        <v>23582</v>
      </c>
      <c r="B5" s="44" t="s">
        <v>56</v>
      </c>
      <c r="C5" s="201">
        <f t="shared" si="0"/>
        <v>2144630.8298007473</v>
      </c>
      <c r="D5" s="122">
        <f t="shared" si="1"/>
        <v>1072315.4149003737</v>
      </c>
      <c r="E5" s="45">
        <v>621339.14279761806</v>
      </c>
      <c r="F5" s="46">
        <v>450976.27210275567</v>
      </c>
      <c r="G5" s="202">
        <f t="shared" si="2"/>
        <v>1072315.4149003737</v>
      </c>
      <c r="H5" s="45">
        <v>621339.14279761806</v>
      </c>
      <c r="I5" s="46">
        <v>450976.27210275567</v>
      </c>
      <c r="J5" s="203">
        <f>VLOOKUP(A5,Utilities!$A$5:$AA$51,27,0)</f>
        <v>1.1408346</v>
      </c>
      <c r="K5" s="204">
        <f t="shared" si="3"/>
        <v>209178.86891760002</v>
      </c>
      <c r="L5" s="47">
        <v>183356</v>
      </c>
      <c r="M5" s="48"/>
      <c r="N5" s="52"/>
      <c r="O5" s="50"/>
      <c r="P5" s="51"/>
    </row>
    <row r="6" spans="1:16" ht="14.4" thickBot="1">
      <c r="A6" s="53">
        <v>23485</v>
      </c>
      <c r="B6" s="54" t="s">
        <v>57</v>
      </c>
      <c r="C6" s="207">
        <f t="shared" si="0"/>
        <v>2747530.7774707051</v>
      </c>
      <c r="D6" s="131">
        <f t="shared" si="1"/>
        <v>1373765.3887353525</v>
      </c>
      <c r="E6" s="208">
        <v>709875.80254081357</v>
      </c>
      <c r="F6" s="209">
        <v>663889.58619453898</v>
      </c>
      <c r="G6" s="205">
        <f t="shared" si="2"/>
        <v>1373765.3887353525</v>
      </c>
      <c r="H6" s="211">
        <v>709875.80254081357</v>
      </c>
      <c r="I6" s="209">
        <v>663889.58619453898</v>
      </c>
      <c r="J6" s="210">
        <f>VLOOKUP(A6,Utilities!$A$5:$AA$51,27,0)</f>
        <v>1.4699791999999998</v>
      </c>
      <c r="K6" s="206">
        <f t="shared" si="3"/>
        <v>307935.65275359998</v>
      </c>
      <c r="L6" s="55">
        <v>209483</v>
      </c>
      <c r="M6" s="48"/>
      <c r="N6" s="52"/>
      <c r="O6" s="50"/>
      <c r="P6" s="51"/>
    </row>
    <row r="7" spans="1:16">
      <c r="B7" s="56" t="s">
        <v>1</v>
      </c>
      <c r="C7" s="57">
        <f>SUM(C4:C6)</f>
        <v>8591592.6912562568</v>
      </c>
      <c r="D7" s="58">
        <f t="shared" ref="D7:I7" si="4">SUM(D4:D6)</f>
        <v>4295796.3456281284</v>
      </c>
      <c r="E7" s="58">
        <f t="shared" si="4"/>
        <v>2340614.8730387092</v>
      </c>
      <c r="F7" s="58">
        <f t="shared" si="4"/>
        <v>1955181.4725894195</v>
      </c>
      <c r="G7" s="58">
        <f t="shared" si="4"/>
        <v>4295796.3456281284</v>
      </c>
      <c r="H7" s="58">
        <f t="shared" si="4"/>
        <v>2340614.8730387092</v>
      </c>
      <c r="I7" s="58">
        <f t="shared" si="4"/>
        <v>1955181.4725894195</v>
      </c>
      <c r="J7" s="59"/>
      <c r="K7" s="57">
        <f>SUM(K4:K6)</f>
        <v>906882.85451903986</v>
      </c>
      <c r="L7" s="57">
        <f>SUM(L4:L6)</f>
        <v>690711</v>
      </c>
      <c r="N7" s="50"/>
      <c r="O7" s="60"/>
      <c r="P7" s="51"/>
    </row>
    <row r="8" spans="1:16">
      <c r="B8" s="56" t="s">
        <v>32</v>
      </c>
      <c r="C8" s="58">
        <f>SIS!E7</f>
        <v>7899399</v>
      </c>
      <c r="D8" s="58" t="s">
        <v>33</v>
      </c>
      <c r="E8" s="58"/>
      <c r="F8" s="58"/>
      <c r="G8" s="58"/>
      <c r="H8" s="58"/>
      <c r="I8" s="58"/>
      <c r="J8" s="61"/>
      <c r="K8" s="62"/>
      <c r="L8" s="63"/>
      <c r="M8" s="64"/>
      <c r="N8" s="65"/>
    </row>
    <row r="9" spans="1:16">
      <c r="B9" s="56" t="s">
        <v>1</v>
      </c>
      <c r="C9" s="58">
        <f>C7+C8</f>
        <v>16490991.691256257</v>
      </c>
      <c r="D9" s="58"/>
      <c r="E9" s="58"/>
      <c r="F9" s="58"/>
      <c r="G9" s="58"/>
      <c r="H9" s="58"/>
      <c r="I9" s="58"/>
      <c r="J9" s="58"/>
      <c r="K9" s="62"/>
      <c r="L9" s="62"/>
      <c r="M9" s="64"/>
      <c r="N9" s="65"/>
    </row>
    <row r="10" spans="1:16" ht="14.4" thickBot="1">
      <c r="B10" s="56"/>
      <c r="C10" s="57"/>
      <c r="D10" s="66"/>
      <c r="E10" s="67"/>
      <c r="F10" s="58"/>
      <c r="G10" s="58"/>
      <c r="H10" s="58"/>
      <c r="I10" s="58"/>
      <c r="J10" s="58"/>
      <c r="K10" s="62"/>
      <c r="L10" s="62"/>
      <c r="M10" s="64"/>
      <c r="N10" s="65"/>
    </row>
    <row r="11" spans="1:16" ht="14.4" thickBot="1">
      <c r="A11" s="64"/>
      <c r="B11" s="68"/>
      <c r="C11" s="69"/>
      <c r="D11" s="70" t="s">
        <v>154</v>
      </c>
      <c r="E11" s="71"/>
      <c r="F11" s="72"/>
      <c r="G11" s="58"/>
      <c r="H11" s="58"/>
      <c r="I11" s="58"/>
      <c r="J11" s="58"/>
      <c r="K11" s="62"/>
      <c r="M11" s="64"/>
    </row>
    <row r="12" spans="1:16" ht="14.4" thickBot="1">
      <c r="B12" s="73"/>
      <c r="C12" s="97" t="s">
        <v>34</v>
      </c>
      <c r="D12" s="74">
        <v>5.5446397169185255</v>
      </c>
      <c r="E12" s="213">
        <f>E13*D12</f>
        <v>3.3887036300836515</v>
      </c>
      <c r="F12" s="213">
        <f>F13*D12</f>
        <v>2.155936086834874</v>
      </c>
      <c r="G12" s="214">
        <f>D12</f>
        <v>5.5446397169185255</v>
      </c>
      <c r="H12" s="213">
        <f>E13*G12</f>
        <v>3.3887036300836515</v>
      </c>
      <c r="I12" s="213">
        <f>F13*G12</f>
        <v>2.155936086834874</v>
      </c>
      <c r="J12" s="75"/>
      <c r="K12" s="76"/>
      <c r="L12" s="95" t="s">
        <v>155</v>
      </c>
      <c r="N12" s="77"/>
      <c r="O12" s="77"/>
      <c r="P12" s="78"/>
    </row>
    <row r="13" spans="1:16" ht="16.8" thickBot="1">
      <c r="B13" s="79"/>
      <c r="C13" s="98" t="s">
        <v>156</v>
      </c>
      <c r="D13" s="96">
        <v>1</v>
      </c>
      <c r="E13" s="80">
        <v>0.6111675064736124</v>
      </c>
      <c r="F13" s="80">
        <v>0.38883249352638755</v>
      </c>
      <c r="G13" s="81">
        <v>1</v>
      </c>
      <c r="H13" s="81">
        <v>0.6111675064736124</v>
      </c>
      <c r="I13" s="81">
        <v>0.38883249352638755</v>
      </c>
      <c r="J13" s="82"/>
      <c r="K13" s="83"/>
      <c r="L13" s="84">
        <v>5.7475552143655273</v>
      </c>
      <c r="M13" s="48"/>
      <c r="N13" s="65"/>
      <c r="P13" s="85"/>
    </row>
    <row r="14" spans="1:16">
      <c r="A14" s="86" t="s">
        <v>158</v>
      </c>
      <c r="F14" s="87"/>
      <c r="G14" s="87"/>
      <c r="J14" s="36"/>
      <c r="N14" s="65"/>
    </row>
    <row r="15" spans="1:16">
      <c r="A15" s="88" t="s">
        <v>157</v>
      </c>
      <c r="B15" s="88"/>
      <c r="J15" s="36"/>
      <c r="N15" s="65"/>
    </row>
    <row r="16" spans="1:16">
      <c r="D16" s="89"/>
      <c r="J16" s="36"/>
      <c r="N16" s="65"/>
    </row>
    <row r="17" spans="3:12">
      <c r="C17" s="64"/>
    </row>
    <row r="19" spans="3:12">
      <c r="H19" s="90"/>
      <c r="I19" s="90"/>
      <c r="J19" s="90"/>
      <c r="K19" s="90"/>
      <c r="L19" s="91"/>
    </row>
    <row r="20" spans="3:12">
      <c r="H20" s="90"/>
      <c r="I20" s="90"/>
      <c r="J20" s="90"/>
      <c r="K20" s="90"/>
      <c r="L20" s="92">
        <v>7507580</v>
      </c>
    </row>
    <row r="21" spans="3:12">
      <c r="H21" s="90"/>
      <c r="I21" s="90"/>
      <c r="J21" s="90"/>
      <c r="K21" s="90"/>
      <c r="L21" s="93">
        <f>C7</f>
        <v>8591592.6912562568</v>
      </c>
    </row>
    <row r="22" spans="3:12">
      <c r="H22" s="90"/>
      <c r="I22" s="90"/>
      <c r="J22" s="90"/>
      <c r="K22" s="90"/>
      <c r="L22" s="94">
        <f>L20-L21</f>
        <v>-1084012.6912562568</v>
      </c>
    </row>
    <row r="23" spans="3:12">
      <c r="H23" s="90"/>
      <c r="I23" s="90"/>
      <c r="J23" s="90"/>
      <c r="K23" s="90"/>
      <c r="L23" s="91"/>
    </row>
    <row r="24" spans="3:12">
      <c r="H24" s="90"/>
      <c r="I24" s="90"/>
      <c r="J24" s="90"/>
      <c r="K24" s="90"/>
    </row>
    <row r="25" spans="3:12">
      <c r="H25" s="90"/>
      <c r="I25" s="90"/>
      <c r="J25" s="90"/>
      <c r="K25" s="90"/>
    </row>
    <row r="26" spans="3:12">
      <c r="H26" s="90"/>
      <c r="I26" s="90"/>
      <c r="J26" s="90"/>
      <c r="K26" s="90"/>
    </row>
    <row r="27" spans="3:12">
      <c r="H27" s="90"/>
      <c r="I27" s="90"/>
      <c r="J27" s="90"/>
      <c r="K27" s="90"/>
    </row>
    <row r="28" spans="3:12">
      <c r="H28" s="90"/>
      <c r="I28" s="90"/>
      <c r="J28" s="90"/>
      <c r="K28" s="90"/>
    </row>
    <row r="29" spans="3:12">
      <c r="H29" s="90"/>
      <c r="I29" s="90"/>
      <c r="J29" s="90"/>
      <c r="K29" s="90"/>
    </row>
    <row r="30" spans="3:12">
      <c r="H30" s="90"/>
      <c r="I30" s="90"/>
      <c r="J30" s="90"/>
      <c r="K30" s="90"/>
    </row>
    <row r="31" spans="3:12">
      <c r="H31" s="90"/>
      <c r="I31" s="90"/>
      <c r="J31" s="90"/>
      <c r="K31" s="90"/>
    </row>
    <row r="32" spans="3:12">
      <c r="H32" s="90"/>
      <c r="I32" s="90"/>
      <c r="J32" s="90"/>
      <c r="K32" s="90"/>
    </row>
  </sheetData>
  <mergeCells count="1">
    <mergeCell ref="A3:B3"/>
  </mergeCells>
  <pageMargins left="0.17" right="0.17" top="0.28999999999999998" bottom="0.34" header="0.17" footer="0.17"/>
  <pageSetup scale="65" orientation="landscape" r:id="rId1"/>
  <headerFooter alignWithMargins="0">
    <oddFooter>Prepared by Paul Turcotte &amp;D&amp;RPage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AF104"/>
  <sheetViews>
    <sheetView showGridLines="0" zoomScale="70" zoomScaleNormal="70" zoomScaleSheetLayoutView="100" workbookViewId="0">
      <pane xSplit="2" ySplit="4" topLeftCell="C5" activePane="bottomRight" state="frozen"/>
      <selection activeCell="J27" sqref="J27"/>
      <selection pane="topRight" activeCell="J27" sqref="J27"/>
      <selection pane="bottomLeft" activeCell="J27" sqref="J27"/>
      <selection pane="bottomRight" activeCell="A5" sqref="A5:XFD48"/>
    </sheetView>
  </sheetViews>
  <sheetFormatPr defaultColWidth="9.109375" defaultRowHeight="13.8" outlineLevelCol="1"/>
  <cols>
    <col min="1" max="1" width="11.109375" style="36" customWidth="1"/>
    <col min="2" max="2" width="22.5546875" style="36" customWidth="1"/>
    <col min="3" max="3" width="15.88671875" style="36" customWidth="1" outlineLevel="1"/>
    <col min="4" max="4" width="15" style="36" customWidth="1" outlineLevel="1"/>
    <col min="5" max="5" width="8.6640625" style="36" customWidth="1" outlineLevel="1"/>
    <col min="6" max="6" width="12.44140625" style="36" customWidth="1"/>
    <col min="7" max="7" width="13.88671875" style="36" customWidth="1" outlineLevel="1"/>
    <col min="8" max="8" width="14.44140625" style="36" customWidth="1" outlineLevel="1"/>
    <col min="9" max="9" width="7.44140625" style="36" customWidth="1" outlineLevel="1"/>
    <col min="10" max="10" width="12.44140625" style="36" customWidth="1"/>
    <col min="11" max="11" width="15.109375" style="36" customWidth="1" outlineLevel="1"/>
    <col min="12" max="12" width="14" style="36" customWidth="1" outlineLevel="1"/>
    <col min="13" max="13" width="7.5546875" style="36" customWidth="1" outlineLevel="1"/>
    <col min="14" max="14" width="12.44140625" style="36" customWidth="1"/>
    <col min="15" max="15" width="13.33203125" style="36" customWidth="1" outlineLevel="1"/>
    <col min="16" max="16" width="13.6640625" style="36" customWidth="1" outlineLevel="1"/>
    <col min="17" max="17" width="8.6640625" style="36" customWidth="1" outlineLevel="1"/>
    <col min="18" max="18" width="12.44140625" style="36" customWidth="1"/>
    <col min="19" max="19" width="16" style="36" customWidth="1" outlineLevel="1"/>
    <col min="20" max="20" width="12.6640625" style="36" customWidth="1" outlineLevel="1"/>
    <col min="21" max="21" width="9.33203125" style="36" customWidth="1" outlineLevel="1"/>
    <col min="22" max="22" width="12.44140625" style="36" bestFit="1" customWidth="1"/>
    <col min="23" max="23" width="15.33203125" style="36" customWidth="1" outlineLevel="1"/>
    <col min="24" max="24" width="10.88671875" style="36" customWidth="1"/>
    <col min="25" max="25" width="14.88671875" style="36" customWidth="1" outlineLevel="1"/>
    <col min="26" max="26" width="9.5546875" style="36" bestFit="1" customWidth="1"/>
    <col min="27" max="28" width="15.6640625" style="36" customWidth="1"/>
    <col min="29" max="29" width="16" style="36" customWidth="1"/>
    <col min="30" max="30" width="14.5546875" style="36" customWidth="1"/>
    <col min="31" max="31" width="15.44140625" style="36" customWidth="1"/>
    <col min="32" max="16384" width="9.109375" style="36"/>
  </cols>
  <sheetData>
    <row r="1" spans="1:32">
      <c r="A1" s="35" t="str">
        <f>'Allocation Summary'!A1</f>
        <v>State Colleges Basis for Legislative Appropriations - 2024-2025</v>
      </c>
      <c r="B1" s="35"/>
      <c r="C1" s="35"/>
      <c r="D1" s="35"/>
      <c r="E1" s="35"/>
    </row>
    <row r="2" spans="1:32" ht="16.8" thickBot="1">
      <c r="A2" s="35" t="s">
        <v>232</v>
      </c>
      <c r="B2" s="35"/>
      <c r="C2" s="35"/>
      <c r="D2" s="35"/>
      <c r="E2" s="35"/>
    </row>
    <row r="3" spans="1:32" ht="28.2" customHeight="1" thickBot="1">
      <c r="A3" s="330" t="s">
        <v>0</v>
      </c>
      <c r="B3" s="331"/>
      <c r="C3" s="334" t="s">
        <v>35</v>
      </c>
      <c r="D3" s="335"/>
      <c r="E3" s="335"/>
      <c r="F3" s="336"/>
      <c r="G3" s="337" t="s">
        <v>36</v>
      </c>
      <c r="H3" s="335"/>
      <c r="I3" s="335"/>
      <c r="J3" s="336"/>
      <c r="K3" s="337" t="s">
        <v>37</v>
      </c>
      <c r="L3" s="335"/>
      <c r="M3" s="335"/>
      <c r="N3" s="336"/>
      <c r="O3" s="338" t="s">
        <v>233</v>
      </c>
      <c r="P3" s="339"/>
      <c r="Q3" s="339"/>
      <c r="R3" s="340"/>
      <c r="S3" s="338" t="s">
        <v>38</v>
      </c>
      <c r="T3" s="339"/>
      <c r="U3" s="339"/>
      <c r="V3" s="340"/>
      <c r="W3" s="341" t="s">
        <v>39</v>
      </c>
      <c r="X3" s="342"/>
      <c r="Y3" s="343" t="s">
        <v>40</v>
      </c>
      <c r="Z3" s="344"/>
      <c r="AA3" s="345" t="s">
        <v>142</v>
      </c>
      <c r="AB3" s="328" t="s">
        <v>41</v>
      </c>
      <c r="AC3" s="328" t="s">
        <v>42</v>
      </c>
      <c r="AD3" s="328" t="s">
        <v>128</v>
      </c>
    </row>
    <row r="4" spans="1:32" ht="48.75" customHeight="1" thickBot="1">
      <c r="A4" s="332"/>
      <c r="B4" s="333"/>
      <c r="C4" s="99" t="s">
        <v>43</v>
      </c>
      <c r="D4" s="100" t="s">
        <v>44</v>
      </c>
      <c r="E4" s="101" t="s">
        <v>5</v>
      </c>
      <c r="F4" s="102" t="s">
        <v>45</v>
      </c>
      <c r="G4" s="103" t="s">
        <v>46</v>
      </c>
      <c r="H4" s="100" t="s">
        <v>44</v>
      </c>
      <c r="I4" s="101" t="s">
        <v>5</v>
      </c>
      <c r="J4" s="102" t="s">
        <v>45</v>
      </c>
      <c r="K4" s="103" t="s">
        <v>47</v>
      </c>
      <c r="L4" s="100" t="s">
        <v>44</v>
      </c>
      <c r="M4" s="101" t="s">
        <v>5</v>
      </c>
      <c r="N4" s="102" t="s">
        <v>45</v>
      </c>
      <c r="O4" s="103" t="s">
        <v>47</v>
      </c>
      <c r="P4" s="100" t="s">
        <v>44</v>
      </c>
      <c r="Q4" s="101" t="s">
        <v>5</v>
      </c>
      <c r="R4" s="102" t="s">
        <v>45</v>
      </c>
      <c r="S4" s="103" t="s">
        <v>48</v>
      </c>
      <c r="T4" s="100" t="s">
        <v>44</v>
      </c>
      <c r="U4" s="101" t="s">
        <v>5</v>
      </c>
      <c r="V4" s="102" t="s">
        <v>45</v>
      </c>
      <c r="W4" s="104" t="s">
        <v>44</v>
      </c>
      <c r="X4" s="102" t="s">
        <v>49</v>
      </c>
      <c r="Y4" s="104" t="s">
        <v>44</v>
      </c>
      <c r="Z4" s="101" t="s">
        <v>49</v>
      </c>
      <c r="AA4" s="346"/>
      <c r="AB4" s="329"/>
      <c r="AC4" s="329"/>
      <c r="AD4" s="329"/>
    </row>
    <row r="5" spans="1:32">
      <c r="A5" s="105">
        <v>3656</v>
      </c>
      <c r="B5" s="106" t="s">
        <v>237</v>
      </c>
      <c r="C5" s="107">
        <v>81499285</v>
      </c>
      <c r="D5" s="107">
        <v>4945111</v>
      </c>
      <c r="E5" s="108">
        <f>IF(C5=0,0,ROUND(D5/C5,4))</f>
        <v>6.0699999999999997E-2</v>
      </c>
      <c r="F5" s="109">
        <f t="shared" ref="F5:F53" si="0">ROUND((E5/E$53)*D5/$AB5,8)</f>
        <v>0.45202472999999999</v>
      </c>
      <c r="G5" s="107">
        <v>322377</v>
      </c>
      <c r="H5" s="107">
        <v>2423671</v>
      </c>
      <c r="I5" s="110">
        <f>IF(G5=0,0,ROUND(H5/G5,4))</f>
        <v>7.5180999999999996</v>
      </c>
      <c r="J5" s="109">
        <f t="shared" ref="J5:J46" si="1">ROUND((I5/I$53)*H5/$AB5,8)</f>
        <v>0.36177679000000001</v>
      </c>
      <c r="K5" s="107">
        <v>236645</v>
      </c>
      <c r="L5" s="107">
        <v>938816</v>
      </c>
      <c r="M5" s="110">
        <f>IF(K5=0,0,ROUND(L5/K5,4))</f>
        <v>3.9672000000000001</v>
      </c>
      <c r="N5" s="109">
        <f t="shared" ref="N5:N53" si="2">ROUND((M5/M$53)*L5/$AB5,8)</f>
        <v>9.4308489999999995E-2</v>
      </c>
      <c r="O5" s="107">
        <v>101667</v>
      </c>
      <c r="P5" s="107">
        <v>670951</v>
      </c>
      <c r="Q5" s="110">
        <f>IF(O5=0,0,ROUND(P5/O5,4))</f>
        <v>6.5994999999999999</v>
      </c>
      <c r="R5" s="109">
        <f t="shared" ref="R5:R53" si="3">ROUND((Q5/Q$53)*P5/$AB5,8)</f>
        <v>8.5744589999999996E-2</v>
      </c>
      <c r="S5" s="107">
        <v>0</v>
      </c>
      <c r="T5" s="107">
        <v>0</v>
      </c>
      <c r="U5" s="110">
        <f>IF(S5=0,0,ROUND(T5/S5,4))</f>
        <v>0</v>
      </c>
      <c r="V5" s="109">
        <f t="shared" ref="V5:V53" si="4">ROUND((U5/U$53)*T5/$AB5,8)</f>
        <v>0</v>
      </c>
      <c r="W5" s="107">
        <v>136787</v>
      </c>
      <c r="X5" s="111">
        <f t="shared" ref="X5:X51" si="5">ROUND(W5/$AB5,8)</f>
        <v>1.279187E-2</v>
      </c>
      <c r="Y5" s="107">
        <v>1577944</v>
      </c>
      <c r="Z5" s="112">
        <f t="shared" ref="Z5:Z51" si="6">ROUND(Y5/$AB5,8)</f>
        <v>0.14756407999999999</v>
      </c>
      <c r="AA5" s="113">
        <f t="shared" ref="AA5:AA51" si="7">F5+J5+N5+R5+V5+X5+Z5</f>
        <v>1.1542105499999999</v>
      </c>
      <c r="AB5" s="114">
        <f t="shared" ref="AB5:AB39" si="8">D5+H5+L5+P5+T5+W5+Y5</f>
        <v>10693280</v>
      </c>
      <c r="AC5" s="107">
        <v>4939938</v>
      </c>
      <c r="AD5" s="115">
        <f>AB5/(AB5+AC5)</f>
        <v>0.68401016348649391</v>
      </c>
      <c r="AE5" s="282"/>
      <c r="AF5" s="282"/>
    </row>
    <row r="6" spans="1:32">
      <c r="A6" s="43">
        <v>3658</v>
      </c>
      <c r="B6" s="116" t="s">
        <v>238</v>
      </c>
      <c r="C6" s="107">
        <v>143028279</v>
      </c>
      <c r="D6" s="107">
        <v>8724170</v>
      </c>
      <c r="E6" s="117">
        <f t="shared" ref="E6:E39" si="9">IF(C6=0,0,ROUND(D6/C6,4))</f>
        <v>6.0999999999999999E-2</v>
      </c>
      <c r="F6" s="118">
        <f t="shared" si="0"/>
        <v>0.16018358999999999</v>
      </c>
      <c r="G6" s="107">
        <v>3225068</v>
      </c>
      <c r="H6" s="107">
        <v>13469781</v>
      </c>
      <c r="I6" s="119">
        <f t="shared" ref="I6:I39" si="10">IF(G6=0,0,ROUND(H6/G6,4))</f>
        <v>4.1765999999999996</v>
      </c>
      <c r="J6" s="118">
        <f t="shared" si="1"/>
        <v>0.22325898999999999</v>
      </c>
      <c r="K6" s="107">
        <v>629747</v>
      </c>
      <c r="L6" s="107">
        <v>3702178</v>
      </c>
      <c r="M6" s="119">
        <f t="shared" ref="M6:M39" si="11">IF(K6=0,0,ROUND(L6/K6,4))</f>
        <v>5.8788</v>
      </c>
      <c r="N6" s="118">
        <f t="shared" si="2"/>
        <v>0.11015363</v>
      </c>
      <c r="O6" s="107">
        <v>296114</v>
      </c>
      <c r="P6" s="107">
        <v>2638690</v>
      </c>
      <c r="Q6" s="119">
        <f t="shared" ref="Q6:Q39" si="12">IF(O6=0,0,ROUND(P6/O6,4))</f>
        <v>8.9110999999999994</v>
      </c>
      <c r="R6" s="118">
        <f t="shared" si="3"/>
        <v>9.1010430000000003E-2</v>
      </c>
      <c r="S6" s="107">
        <v>0</v>
      </c>
      <c r="T6" s="107">
        <v>0</v>
      </c>
      <c r="U6" s="119">
        <f t="shared" ref="U6:U39" si="13">IF(S6=0,0,ROUND(T6/S6,4))</f>
        <v>0</v>
      </c>
      <c r="V6" s="118">
        <f t="shared" si="4"/>
        <v>0</v>
      </c>
      <c r="W6" s="107">
        <v>5880839</v>
      </c>
      <c r="X6" s="120">
        <f t="shared" si="5"/>
        <v>0.10992461000000001</v>
      </c>
      <c r="Y6" s="107">
        <v>19083179</v>
      </c>
      <c r="Z6" s="120">
        <f t="shared" si="6"/>
        <v>0.35670268999999999</v>
      </c>
      <c r="AA6" s="121">
        <f t="shared" si="7"/>
        <v>1.0512339399999999</v>
      </c>
      <c r="AB6" s="122">
        <f t="shared" si="8"/>
        <v>53498837</v>
      </c>
      <c r="AC6" s="107">
        <v>52176911</v>
      </c>
      <c r="AD6" s="123">
        <f t="shared" ref="AD6:AD53" si="14">AB6/(AB6+AC6)</f>
        <v>0.50625463280373473</v>
      </c>
      <c r="AE6" s="282"/>
      <c r="AF6" s="282"/>
    </row>
    <row r="7" spans="1:32">
      <c r="A7" s="43">
        <v>9741</v>
      </c>
      <c r="B7" s="116" t="s">
        <v>239</v>
      </c>
      <c r="C7" s="107">
        <v>101047987</v>
      </c>
      <c r="D7" s="107">
        <v>5664965</v>
      </c>
      <c r="E7" s="117">
        <f t="shared" si="9"/>
        <v>5.6099999999999997E-2</v>
      </c>
      <c r="F7" s="118">
        <f t="shared" si="0"/>
        <v>0.32808925</v>
      </c>
      <c r="G7" s="107">
        <v>385746</v>
      </c>
      <c r="H7" s="107">
        <v>2805450</v>
      </c>
      <c r="I7" s="119">
        <f t="shared" si="10"/>
        <v>7.2728000000000002</v>
      </c>
      <c r="J7" s="118">
        <f t="shared" si="1"/>
        <v>0.27771385999999998</v>
      </c>
      <c r="K7" s="107">
        <v>222560</v>
      </c>
      <c r="L7" s="107">
        <v>1502628</v>
      </c>
      <c r="M7" s="119">
        <f t="shared" si="11"/>
        <v>6.7515999999999998</v>
      </c>
      <c r="N7" s="118">
        <f t="shared" si="2"/>
        <v>0.17610791000000001</v>
      </c>
      <c r="O7" s="107">
        <v>91292</v>
      </c>
      <c r="P7" s="107">
        <v>584355</v>
      </c>
      <c r="Q7" s="119">
        <f t="shared" si="12"/>
        <v>6.4009</v>
      </c>
      <c r="R7" s="118">
        <f t="shared" si="3"/>
        <v>4.9654330000000003E-2</v>
      </c>
      <c r="S7" s="107">
        <v>0</v>
      </c>
      <c r="T7" s="107">
        <v>0</v>
      </c>
      <c r="U7" s="119">
        <f t="shared" si="13"/>
        <v>0</v>
      </c>
      <c r="V7" s="118">
        <f t="shared" si="4"/>
        <v>0</v>
      </c>
      <c r="W7" s="107">
        <v>0</v>
      </c>
      <c r="X7" s="120">
        <f t="shared" si="5"/>
        <v>0</v>
      </c>
      <c r="Y7" s="107">
        <v>5040874</v>
      </c>
      <c r="Z7" s="120">
        <f t="shared" si="6"/>
        <v>0.32316875</v>
      </c>
      <c r="AA7" s="121">
        <f t="shared" si="7"/>
        <v>1.1547341</v>
      </c>
      <c r="AB7" s="122">
        <f t="shared" si="8"/>
        <v>15598272</v>
      </c>
      <c r="AC7" s="107">
        <v>35146579</v>
      </c>
      <c r="AD7" s="123">
        <f t="shared" si="14"/>
        <v>0.30738630013910179</v>
      </c>
      <c r="AE7" s="282"/>
      <c r="AF7" s="282"/>
    </row>
    <row r="8" spans="1:32">
      <c r="A8" s="43">
        <v>3661</v>
      </c>
      <c r="B8" s="116" t="s">
        <v>240</v>
      </c>
      <c r="C8" s="107">
        <v>52267231</v>
      </c>
      <c r="D8" s="107">
        <v>4285802</v>
      </c>
      <c r="E8" s="117">
        <f t="shared" si="9"/>
        <v>8.2000000000000003E-2</v>
      </c>
      <c r="F8" s="118">
        <f t="shared" si="0"/>
        <v>0.58122741</v>
      </c>
      <c r="G8" s="107">
        <v>209591</v>
      </c>
      <c r="H8" s="107">
        <v>1282379</v>
      </c>
      <c r="I8" s="119">
        <f t="shared" si="10"/>
        <v>6.1185</v>
      </c>
      <c r="J8" s="118">
        <f t="shared" si="1"/>
        <v>0.17108935</v>
      </c>
      <c r="K8" s="107">
        <v>248320</v>
      </c>
      <c r="L8" s="107">
        <v>1025116</v>
      </c>
      <c r="M8" s="119">
        <f t="shared" si="11"/>
        <v>4.1281999999999996</v>
      </c>
      <c r="N8" s="118">
        <f t="shared" si="2"/>
        <v>0.11768542</v>
      </c>
      <c r="O8" s="107">
        <v>67543</v>
      </c>
      <c r="P8" s="107">
        <v>278831</v>
      </c>
      <c r="Q8" s="119">
        <f t="shared" si="12"/>
        <v>4.1281999999999996</v>
      </c>
      <c r="R8" s="118">
        <f t="shared" si="3"/>
        <v>2.4479879999999999E-2</v>
      </c>
      <c r="S8" s="107">
        <v>0</v>
      </c>
      <c r="T8" s="107">
        <v>0</v>
      </c>
      <c r="U8" s="119">
        <f t="shared" si="13"/>
        <v>0</v>
      </c>
      <c r="V8" s="118">
        <f t="shared" si="4"/>
        <v>0</v>
      </c>
      <c r="W8" s="107">
        <v>39250</v>
      </c>
      <c r="X8" s="120">
        <f t="shared" si="5"/>
        <v>4.0311699999999997E-3</v>
      </c>
      <c r="Y8" s="107">
        <v>2825243</v>
      </c>
      <c r="Z8" s="120">
        <f t="shared" si="6"/>
        <v>0.29016668000000001</v>
      </c>
      <c r="AA8" s="121">
        <f t="shared" si="7"/>
        <v>1.1886799100000001</v>
      </c>
      <c r="AB8" s="122">
        <f t="shared" si="8"/>
        <v>9736621</v>
      </c>
      <c r="AC8" s="107">
        <v>21246438</v>
      </c>
      <c r="AD8" s="123">
        <f t="shared" si="14"/>
        <v>0.31425628437785952</v>
      </c>
      <c r="AE8" s="282"/>
      <c r="AF8" s="282"/>
    </row>
    <row r="9" spans="1:32" ht="14.25" customHeight="1">
      <c r="A9" s="43">
        <v>3599</v>
      </c>
      <c r="B9" s="116" t="s">
        <v>241</v>
      </c>
      <c r="C9" s="107">
        <v>76508118</v>
      </c>
      <c r="D9" s="107">
        <v>5084322</v>
      </c>
      <c r="E9" s="117">
        <f t="shared" si="9"/>
        <v>6.6500000000000004E-2</v>
      </c>
      <c r="F9" s="118">
        <f t="shared" si="0"/>
        <v>0.30771938999999998</v>
      </c>
      <c r="G9" s="107">
        <v>43762</v>
      </c>
      <c r="H9" s="107">
        <v>380399</v>
      </c>
      <c r="I9" s="119">
        <f t="shared" si="10"/>
        <v>8.6925000000000008</v>
      </c>
      <c r="J9" s="118">
        <f t="shared" si="1"/>
        <v>3.9677629999999998E-2</v>
      </c>
      <c r="K9" s="107">
        <v>165612</v>
      </c>
      <c r="L9" s="107">
        <v>514141</v>
      </c>
      <c r="M9" s="119">
        <f t="shared" si="11"/>
        <v>3.1044999999999998</v>
      </c>
      <c r="N9" s="118">
        <f t="shared" si="2"/>
        <v>2.4426590000000001E-2</v>
      </c>
      <c r="O9" s="107">
        <v>90957</v>
      </c>
      <c r="P9" s="107">
        <v>206145</v>
      </c>
      <c r="Q9" s="119">
        <f t="shared" si="12"/>
        <v>2.2664</v>
      </c>
      <c r="R9" s="118">
        <f t="shared" si="3"/>
        <v>5.4678499999999998E-3</v>
      </c>
      <c r="S9" s="107">
        <v>0</v>
      </c>
      <c r="T9" s="107">
        <v>0</v>
      </c>
      <c r="U9" s="119">
        <f t="shared" si="13"/>
        <v>0</v>
      </c>
      <c r="V9" s="118">
        <f t="shared" si="4"/>
        <v>0</v>
      </c>
      <c r="W9" s="107">
        <v>0</v>
      </c>
      <c r="X9" s="120">
        <f t="shared" si="5"/>
        <v>0</v>
      </c>
      <c r="Y9" s="107">
        <v>11508268</v>
      </c>
      <c r="Z9" s="120">
        <f t="shared" si="6"/>
        <v>0.65043176000000003</v>
      </c>
      <c r="AA9" s="121">
        <f t="shared" si="7"/>
        <v>1.0277232199999999</v>
      </c>
      <c r="AB9" s="122">
        <f t="shared" si="8"/>
        <v>17693275</v>
      </c>
      <c r="AC9" s="107">
        <v>17194159</v>
      </c>
      <c r="AD9" s="123">
        <f t="shared" si="14"/>
        <v>0.50715323460017148</v>
      </c>
      <c r="AE9" s="282"/>
      <c r="AF9" s="282"/>
    </row>
    <row r="10" spans="1:32">
      <c r="A10" s="43">
        <v>9930</v>
      </c>
      <c r="B10" s="116" t="s">
        <v>242</v>
      </c>
      <c r="C10" s="107">
        <v>22519489</v>
      </c>
      <c r="D10" s="107">
        <v>1487940</v>
      </c>
      <c r="E10" s="117">
        <f t="shared" si="9"/>
        <v>6.6100000000000006E-2</v>
      </c>
      <c r="F10" s="118">
        <f t="shared" si="0"/>
        <v>0.53691332000000003</v>
      </c>
      <c r="G10" s="107">
        <v>187356</v>
      </c>
      <c r="H10" s="107">
        <v>912422</v>
      </c>
      <c r="I10" s="119">
        <f t="shared" si="10"/>
        <v>4.87</v>
      </c>
      <c r="J10" s="118">
        <f t="shared" si="1"/>
        <v>0.31981842999999999</v>
      </c>
      <c r="K10" s="107">
        <v>110266</v>
      </c>
      <c r="L10" s="107">
        <v>489582</v>
      </c>
      <c r="M10" s="119">
        <f t="shared" si="11"/>
        <v>4.4400000000000004</v>
      </c>
      <c r="N10" s="118">
        <f t="shared" si="2"/>
        <v>0.19953288999999999</v>
      </c>
      <c r="O10" s="107">
        <v>13479</v>
      </c>
      <c r="P10" s="107">
        <v>59846</v>
      </c>
      <c r="Q10" s="119">
        <f t="shared" si="12"/>
        <v>4.4398999999999997</v>
      </c>
      <c r="R10" s="118">
        <f t="shared" si="3"/>
        <v>1.8652330000000002E-2</v>
      </c>
      <c r="S10" s="107">
        <v>0</v>
      </c>
      <c r="T10" s="107">
        <v>0</v>
      </c>
      <c r="U10" s="119">
        <f t="shared" si="13"/>
        <v>0</v>
      </c>
      <c r="V10" s="118">
        <f t="shared" si="4"/>
        <v>0</v>
      </c>
      <c r="W10" s="107">
        <v>0</v>
      </c>
      <c r="X10" s="120">
        <f t="shared" si="5"/>
        <v>0</v>
      </c>
      <c r="Y10" s="107">
        <v>0</v>
      </c>
      <c r="Z10" s="120">
        <f t="shared" si="6"/>
        <v>0</v>
      </c>
      <c r="AA10" s="121">
        <f t="shared" si="7"/>
        <v>1.0749169700000001</v>
      </c>
      <c r="AB10" s="122">
        <f t="shared" si="8"/>
        <v>2949790</v>
      </c>
      <c r="AC10" s="107">
        <v>2158754</v>
      </c>
      <c r="AD10" s="123">
        <f t="shared" si="14"/>
        <v>0.57742284298618163</v>
      </c>
      <c r="AE10" s="282"/>
      <c r="AF10" s="282"/>
    </row>
    <row r="11" spans="1:32">
      <c r="A11" s="43">
        <v>10115</v>
      </c>
      <c r="B11" s="116" t="s">
        <v>243</v>
      </c>
      <c r="C11" s="107">
        <v>92693739</v>
      </c>
      <c r="D11" s="107">
        <v>8082894</v>
      </c>
      <c r="E11" s="117">
        <f t="shared" si="9"/>
        <v>8.72E-2</v>
      </c>
      <c r="F11" s="118">
        <f t="shared" si="0"/>
        <v>0.64851287999999996</v>
      </c>
      <c r="G11" s="107">
        <v>251493</v>
      </c>
      <c r="H11" s="107">
        <v>1956617</v>
      </c>
      <c r="I11" s="119">
        <f t="shared" si="10"/>
        <v>7.78</v>
      </c>
      <c r="J11" s="118">
        <f t="shared" si="1"/>
        <v>0.18466394999999999</v>
      </c>
      <c r="K11" s="107">
        <v>122762</v>
      </c>
      <c r="L11" s="107">
        <v>839991</v>
      </c>
      <c r="M11" s="119">
        <f t="shared" si="11"/>
        <v>6.8423999999999996</v>
      </c>
      <c r="N11" s="118">
        <f t="shared" si="2"/>
        <v>8.8921570000000005E-2</v>
      </c>
      <c r="O11" s="107">
        <v>85934</v>
      </c>
      <c r="P11" s="107">
        <v>355879</v>
      </c>
      <c r="Q11" s="119">
        <f t="shared" si="12"/>
        <v>4.1413000000000002</v>
      </c>
      <c r="R11" s="118">
        <f t="shared" si="3"/>
        <v>1.7437399999999999E-2</v>
      </c>
      <c r="S11" s="107">
        <v>0</v>
      </c>
      <c r="T11" s="107">
        <v>0</v>
      </c>
      <c r="U11" s="119">
        <f t="shared" si="13"/>
        <v>0</v>
      </c>
      <c r="V11" s="118">
        <f t="shared" si="4"/>
        <v>0</v>
      </c>
      <c r="W11" s="107">
        <v>560000</v>
      </c>
      <c r="X11" s="120">
        <f t="shared" si="5"/>
        <v>3.1997409999999997E-2</v>
      </c>
      <c r="Y11" s="107">
        <v>5706034</v>
      </c>
      <c r="Z11" s="120">
        <f t="shared" si="6"/>
        <v>0.32603272</v>
      </c>
      <c r="AA11" s="121">
        <f t="shared" si="7"/>
        <v>1.29756593</v>
      </c>
      <c r="AB11" s="122">
        <f t="shared" si="8"/>
        <v>17501415</v>
      </c>
      <c r="AC11" s="107">
        <v>27865074</v>
      </c>
      <c r="AD11" s="123">
        <f t="shared" si="14"/>
        <v>0.3857784762669203</v>
      </c>
      <c r="AE11" s="282"/>
      <c r="AF11" s="282"/>
    </row>
    <row r="12" spans="1:32">
      <c r="A12" s="43">
        <v>11163</v>
      </c>
      <c r="B12" s="116" t="s">
        <v>244</v>
      </c>
      <c r="C12" s="107">
        <v>29763660</v>
      </c>
      <c r="D12" s="107">
        <v>1783834</v>
      </c>
      <c r="E12" s="117">
        <f t="shared" si="9"/>
        <v>5.9900000000000002E-2</v>
      </c>
      <c r="F12" s="118">
        <f t="shared" si="0"/>
        <v>0.54254824999999995</v>
      </c>
      <c r="G12" s="107">
        <v>90391</v>
      </c>
      <c r="H12" s="107">
        <v>506298</v>
      </c>
      <c r="I12" s="119">
        <f t="shared" si="10"/>
        <v>5.6012000000000004</v>
      </c>
      <c r="J12" s="118">
        <f t="shared" si="1"/>
        <v>0.18984793</v>
      </c>
      <c r="K12" s="107">
        <v>44148</v>
      </c>
      <c r="L12" s="107">
        <v>208713</v>
      </c>
      <c r="M12" s="119">
        <f t="shared" si="11"/>
        <v>4.7275999999999998</v>
      </c>
      <c r="N12" s="118">
        <f t="shared" si="2"/>
        <v>8.4243440000000003E-2</v>
      </c>
      <c r="O12" s="107">
        <v>44148</v>
      </c>
      <c r="P12" s="107">
        <v>146442</v>
      </c>
      <c r="Q12" s="119">
        <f t="shared" si="12"/>
        <v>3.3170999999999999</v>
      </c>
      <c r="R12" s="118">
        <f t="shared" si="3"/>
        <v>3.1716750000000002E-2</v>
      </c>
      <c r="S12" s="107">
        <v>0</v>
      </c>
      <c r="T12" s="107">
        <v>0</v>
      </c>
      <c r="U12" s="119">
        <f t="shared" si="13"/>
        <v>0</v>
      </c>
      <c r="V12" s="118">
        <f t="shared" si="4"/>
        <v>0</v>
      </c>
      <c r="W12" s="107">
        <v>0</v>
      </c>
      <c r="X12" s="120">
        <f t="shared" si="5"/>
        <v>0</v>
      </c>
      <c r="Y12" s="107">
        <v>526115</v>
      </c>
      <c r="Z12" s="120">
        <f t="shared" si="6"/>
        <v>0.16589350999999999</v>
      </c>
      <c r="AA12" s="121">
        <f t="shared" si="7"/>
        <v>1.0142498799999999</v>
      </c>
      <c r="AB12" s="122">
        <f t="shared" si="8"/>
        <v>3171402</v>
      </c>
      <c r="AC12" s="107">
        <v>7886086</v>
      </c>
      <c r="AD12" s="123">
        <f t="shared" si="14"/>
        <v>0.28681034969244373</v>
      </c>
      <c r="AE12" s="282"/>
      <c r="AF12" s="282"/>
    </row>
    <row r="13" spans="1:32">
      <c r="A13" s="43">
        <v>3632</v>
      </c>
      <c r="B13" s="116" t="s">
        <v>245</v>
      </c>
      <c r="C13" s="107">
        <v>228002951</v>
      </c>
      <c r="D13" s="107">
        <v>10800942</v>
      </c>
      <c r="E13" s="117">
        <f t="shared" si="9"/>
        <v>4.7399999999999998E-2</v>
      </c>
      <c r="F13" s="118">
        <f t="shared" si="0"/>
        <v>0.20927351999999999</v>
      </c>
      <c r="G13" s="107">
        <v>1075789</v>
      </c>
      <c r="H13" s="107">
        <v>5023369</v>
      </c>
      <c r="I13" s="119">
        <f t="shared" si="10"/>
        <v>4.6695000000000002</v>
      </c>
      <c r="J13" s="118">
        <f t="shared" si="1"/>
        <v>0.12641577000000001</v>
      </c>
      <c r="K13" s="107">
        <v>24547</v>
      </c>
      <c r="L13" s="107">
        <v>90964</v>
      </c>
      <c r="M13" s="119">
        <f t="shared" si="11"/>
        <v>3.7057000000000002</v>
      </c>
      <c r="N13" s="118">
        <f t="shared" si="2"/>
        <v>2.3168799999999999E-3</v>
      </c>
      <c r="O13" s="107">
        <v>12244</v>
      </c>
      <c r="P13" s="107">
        <v>77873</v>
      </c>
      <c r="Q13" s="119">
        <f t="shared" si="12"/>
        <v>6.3601000000000001</v>
      </c>
      <c r="R13" s="118">
        <f t="shared" si="3"/>
        <v>2.6033499999999999E-3</v>
      </c>
      <c r="S13" s="107">
        <v>0</v>
      </c>
      <c r="T13" s="107">
        <v>0</v>
      </c>
      <c r="U13" s="119">
        <f t="shared" si="13"/>
        <v>0</v>
      </c>
      <c r="V13" s="118">
        <f t="shared" si="4"/>
        <v>0</v>
      </c>
      <c r="W13" s="107">
        <v>7368666</v>
      </c>
      <c r="X13" s="120">
        <f t="shared" si="5"/>
        <v>0.18704873999999999</v>
      </c>
      <c r="Y13" s="107">
        <v>16032550</v>
      </c>
      <c r="Z13" s="120">
        <f t="shared" si="6"/>
        <v>0.40697572999999998</v>
      </c>
      <c r="AA13" s="121">
        <f t="shared" si="7"/>
        <v>0.93463399000000003</v>
      </c>
      <c r="AB13" s="122">
        <f t="shared" si="8"/>
        <v>39394364</v>
      </c>
      <c r="AC13" s="107">
        <v>104095174</v>
      </c>
      <c r="AD13" s="123">
        <f t="shared" si="14"/>
        <v>0.27454520064034216</v>
      </c>
      <c r="AE13" s="282"/>
      <c r="AF13" s="282"/>
    </row>
    <row r="14" spans="1:32">
      <c r="A14" s="43">
        <v>10298</v>
      </c>
      <c r="B14" s="116" t="s">
        <v>246</v>
      </c>
      <c r="C14" s="107">
        <v>20331868</v>
      </c>
      <c r="D14" s="107">
        <v>1222310</v>
      </c>
      <c r="E14" s="117">
        <f t="shared" si="9"/>
        <v>6.0100000000000001E-2</v>
      </c>
      <c r="F14" s="118">
        <f t="shared" si="0"/>
        <v>0.27114898999999998</v>
      </c>
      <c r="G14" s="107">
        <v>31094</v>
      </c>
      <c r="H14" s="107">
        <v>245362</v>
      </c>
      <c r="I14" s="119">
        <f t="shared" si="10"/>
        <v>7.891</v>
      </c>
      <c r="J14" s="118">
        <f t="shared" si="1"/>
        <v>9.4222139999999996E-2</v>
      </c>
      <c r="K14" s="107">
        <v>52836</v>
      </c>
      <c r="L14" s="107">
        <v>304824</v>
      </c>
      <c r="M14" s="119">
        <f t="shared" si="11"/>
        <v>5.7691999999999997</v>
      </c>
      <c r="N14" s="118">
        <f t="shared" si="2"/>
        <v>0.10914546</v>
      </c>
      <c r="O14" s="107">
        <v>0</v>
      </c>
      <c r="P14" s="107">
        <v>0</v>
      </c>
      <c r="Q14" s="119">
        <f t="shared" si="12"/>
        <v>0</v>
      </c>
      <c r="R14" s="118">
        <f t="shared" si="3"/>
        <v>0</v>
      </c>
      <c r="S14" s="107">
        <v>0</v>
      </c>
      <c r="T14" s="107">
        <v>0</v>
      </c>
      <c r="U14" s="119">
        <f t="shared" si="13"/>
        <v>0</v>
      </c>
      <c r="V14" s="118">
        <f t="shared" si="4"/>
        <v>0</v>
      </c>
      <c r="W14" s="107">
        <v>0</v>
      </c>
      <c r="X14" s="120">
        <f t="shared" si="5"/>
        <v>0</v>
      </c>
      <c r="Y14" s="107">
        <v>2590213</v>
      </c>
      <c r="Z14" s="120">
        <f t="shared" si="6"/>
        <v>0.59371666000000001</v>
      </c>
      <c r="AA14" s="121">
        <f t="shared" si="7"/>
        <v>1.06823325</v>
      </c>
      <c r="AB14" s="122">
        <f t="shared" si="8"/>
        <v>4362709</v>
      </c>
      <c r="AC14" s="107">
        <v>1998781</v>
      </c>
      <c r="AD14" s="123">
        <f t="shared" si="14"/>
        <v>0.68579986764107148</v>
      </c>
      <c r="AE14" s="282"/>
      <c r="AF14" s="282"/>
    </row>
    <row r="15" spans="1:32">
      <c r="A15" s="43">
        <v>3630</v>
      </c>
      <c r="B15" s="116" t="s">
        <v>247</v>
      </c>
      <c r="C15" s="107">
        <v>37638643</v>
      </c>
      <c r="D15" s="107">
        <v>3592861</v>
      </c>
      <c r="E15" s="117">
        <f t="shared" si="9"/>
        <v>9.5500000000000002E-2</v>
      </c>
      <c r="F15" s="118">
        <f t="shared" si="0"/>
        <v>1.1737604699999999</v>
      </c>
      <c r="G15" s="107">
        <v>92797</v>
      </c>
      <c r="H15" s="107">
        <v>653902</v>
      </c>
      <c r="I15" s="119">
        <f t="shared" si="10"/>
        <v>7.0465999999999998</v>
      </c>
      <c r="J15" s="118">
        <f t="shared" si="1"/>
        <v>0.20782101</v>
      </c>
      <c r="K15" s="107">
        <v>2861</v>
      </c>
      <c r="L15" s="107">
        <v>19914</v>
      </c>
      <c r="M15" s="119">
        <f t="shared" si="11"/>
        <v>6.9604999999999997</v>
      </c>
      <c r="N15" s="118">
        <f t="shared" si="2"/>
        <v>7.9730300000000007E-3</v>
      </c>
      <c r="O15" s="107">
        <v>2861</v>
      </c>
      <c r="P15" s="107">
        <v>25425</v>
      </c>
      <c r="Q15" s="119">
        <f t="shared" si="12"/>
        <v>8.8867999999999991</v>
      </c>
      <c r="R15" s="118">
        <f t="shared" si="3"/>
        <v>9.9391600000000007E-3</v>
      </c>
      <c r="S15" s="107">
        <v>0</v>
      </c>
      <c r="T15" s="107">
        <v>0</v>
      </c>
      <c r="U15" s="119">
        <f t="shared" si="13"/>
        <v>0</v>
      </c>
      <c r="V15" s="118">
        <f t="shared" si="4"/>
        <v>0</v>
      </c>
      <c r="W15" s="107">
        <v>0</v>
      </c>
      <c r="X15" s="120">
        <f t="shared" si="5"/>
        <v>0</v>
      </c>
      <c r="Y15" s="107">
        <v>415207</v>
      </c>
      <c r="Z15" s="120">
        <f t="shared" si="6"/>
        <v>8.8204749999999998E-2</v>
      </c>
      <c r="AA15" s="121">
        <f t="shared" si="7"/>
        <v>1.4876984200000001</v>
      </c>
      <c r="AB15" s="122">
        <f t="shared" si="8"/>
        <v>4707309</v>
      </c>
      <c r="AC15" s="107">
        <v>12704900</v>
      </c>
      <c r="AD15" s="123">
        <f t="shared" si="14"/>
        <v>0.27034530770909077</v>
      </c>
      <c r="AE15" s="282"/>
      <c r="AF15" s="282"/>
    </row>
    <row r="16" spans="1:32">
      <c r="A16" s="43">
        <v>3631</v>
      </c>
      <c r="B16" s="116" t="s">
        <v>248</v>
      </c>
      <c r="C16" s="107">
        <v>34014188</v>
      </c>
      <c r="D16" s="107">
        <v>1862208</v>
      </c>
      <c r="E16" s="117">
        <f t="shared" si="9"/>
        <v>5.4699999999999999E-2</v>
      </c>
      <c r="F16" s="118">
        <f t="shared" si="0"/>
        <v>0.51760589000000001</v>
      </c>
      <c r="G16" s="107">
        <v>34434</v>
      </c>
      <c r="H16" s="107">
        <v>234817</v>
      </c>
      <c r="I16" s="119">
        <f t="shared" si="10"/>
        <v>6.8193000000000001</v>
      </c>
      <c r="J16" s="118">
        <f t="shared" si="1"/>
        <v>0.10727895</v>
      </c>
      <c r="K16" s="107">
        <v>42500</v>
      </c>
      <c r="L16" s="107">
        <v>247405</v>
      </c>
      <c r="M16" s="119">
        <f t="shared" si="11"/>
        <v>5.8212999999999999</v>
      </c>
      <c r="N16" s="118">
        <f t="shared" si="2"/>
        <v>0.12305547</v>
      </c>
      <c r="O16" s="107">
        <v>35366</v>
      </c>
      <c r="P16" s="107">
        <v>284208</v>
      </c>
      <c r="Q16" s="119">
        <f t="shared" si="12"/>
        <v>8.0361999999999991</v>
      </c>
      <c r="R16" s="118">
        <f t="shared" si="3"/>
        <v>0.14923755999999999</v>
      </c>
      <c r="S16" s="107">
        <v>0</v>
      </c>
      <c r="T16" s="107">
        <v>0</v>
      </c>
      <c r="U16" s="119">
        <f t="shared" si="13"/>
        <v>0</v>
      </c>
      <c r="V16" s="118">
        <f t="shared" si="4"/>
        <v>0</v>
      </c>
      <c r="W16" s="107">
        <v>0</v>
      </c>
      <c r="X16" s="120">
        <f t="shared" si="5"/>
        <v>0</v>
      </c>
      <c r="Y16" s="107">
        <v>540380</v>
      </c>
      <c r="Z16" s="120">
        <f t="shared" si="6"/>
        <v>0.1705197</v>
      </c>
      <c r="AA16" s="121">
        <f t="shared" si="7"/>
        <v>1.06769757</v>
      </c>
      <c r="AB16" s="122">
        <f t="shared" si="8"/>
        <v>3169018</v>
      </c>
      <c r="AC16" s="107">
        <v>7894486</v>
      </c>
      <c r="AD16" s="123">
        <f t="shared" si="14"/>
        <v>0.28643890760106383</v>
      </c>
      <c r="AE16" s="282"/>
      <c r="AF16" s="282"/>
    </row>
    <row r="17" spans="1:32">
      <c r="A17" s="43">
        <v>42295</v>
      </c>
      <c r="B17" s="116" t="s">
        <v>249</v>
      </c>
      <c r="C17" s="107">
        <v>7107990</v>
      </c>
      <c r="D17" s="107">
        <v>265471</v>
      </c>
      <c r="E17" s="117">
        <f>IF(C17=0,0,ROUND(D17/C17,4))</f>
        <v>3.73E-2</v>
      </c>
      <c r="F17" s="118">
        <f t="shared" si="0"/>
        <v>0.53891487999999999</v>
      </c>
      <c r="G17" s="107">
        <v>0</v>
      </c>
      <c r="H17" s="107">
        <v>0</v>
      </c>
      <c r="I17" s="119">
        <f>IF(G17=0,0,ROUND(H17/G17,4))</f>
        <v>0</v>
      </c>
      <c r="J17" s="118">
        <f t="shared" si="1"/>
        <v>0</v>
      </c>
      <c r="K17" s="107">
        <v>7944</v>
      </c>
      <c r="L17" s="107">
        <v>28982</v>
      </c>
      <c r="M17" s="119">
        <f>IF(K17=0,0,ROUND(L17/K17,4))</f>
        <v>3.6482999999999999</v>
      </c>
      <c r="N17" s="118">
        <f t="shared" si="2"/>
        <v>9.6761349999999996E-2</v>
      </c>
      <c r="O17" s="107">
        <v>351</v>
      </c>
      <c r="P17" s="107">
        <v>1426</v>
      </c>
      <c r="Q17" s="119">
        <f>IF(O17=0,0,ROUND(P17/O17,4))</f>
        <v>4.0627000000000004</v>
      </c>
      <c r="R17" s="118">
        <f t="shared" si="3"/>
        <v>4.05449E-3</v>
      </c>
      <c r="S17" s="107">
        <v>0</v>
      </c>
      <c r="T17" s="107">
        <v>0</v>
      </c>
      <c r="U17" s="119">
        <f>IF(S17=0,0,ROUND(T17/S17,4))</f>
        <v>0</v>
      </c>
      <c r="V17" s="118">
        <f t="shared" si="4"/>
        <v>0</v>
      </c>
      <c r="W17" s="107">
        <v>0</v>
      </c>
      <c r="X17" s="120">
        <f>ROUND(W17/$AB17,8)</f>
        <v>0</v>
      </c>
      <c r="Y17" s="107">
        <v>0</v>
      </c>
      <c r="Z17" s="120">
        <f>ROUND(Y17/$AB17,8)</f>
        <v>0</v>
      </c>
      <c r="AA17" s="121">
        <f>F17+J17+N17+R17+V17+X17+Z17</f>
        <v>0.63973071999999997</v>
      </c>
      <c r="AB17" s="122">
        <f>D17+H17+L17+P17+T17+W17+Y17</f>
        <v>295879</v>
      </c>
      <c r="AC17" s="107">
        <v>3048241</v>
      </c>
      <c r="AD17" s="123">
        <f t="shared" si="14"/>
        <v>8.8477387175101369E-2</v>
      </c>
      <c r="AE17" s="282"/>
      <c r="AF17" s="282"/>
    </row>
    <row r="18" spans="1:32">
      <c r="A18" s="43">
        <v>11161</v>
      </c>
      <c r="B18" s="116" t="s">
        <v>250</v>
      </c>
      <c r="C18" s="107">
        <v>26761893</v>
      </c>
      <c r="D18" s="107">
        <v>1666579</v>
      </c>
      <c r="E18" s="117">
        <f t="shared" si="9"/>
        <v>6.2300000000000001E-2</v>
      </c>
      <c r="F18" s="118">
        <f t="shared" si="0"/>
        <v>0.53528167000000004</v>
      </c>
      <c r="G18" s="107">
        <v>62817</v>
      </c>
      <c r="H18" s="107">
        <v>596450</v>
      </c>
      <c r="I18" s="119">
        <f t="shared" si="10"/>
        <v>9.4949999999999992</v>
      </c>
      <c r="J18" s="118">
        <f t="shared" si="1"/>
        <v>0.38494519999999999</v>
      </c>
      <c r="K18" s="107">
        <v>76449</v>
      </c>
      <c r="L18" s="107">
        <v>550177</v>
      </c>
      <c r="M18" s="119">
        <f t="shared" si="11"/>
        <v>7.1966999999999999</v>
      </c>
      <c r="N18" s="118">
        <f t="shared" si="2"/>
        <v>0.34323615000000002</v>
      </c>
      <c r="O18" s="107">
        <v>28946</v>
      </c>
      <c r="P18" s="107">
        <v>151203</v>
      </c>
      <c r="Q18" s="119">
        <f t="shared" si="12"/>
        <v>5.2236000000000002</v>
      </c>
      <c r="R18" s="118">
        <f t="shared" si="3"/>
        <v>5.2360789999999997E-2</v>
      </c>
      <c r="S18" s="107">
        <v>0</v>
      </c>
      <c r="T18" s="107">
        <v>0</v>
      </c>
      <c r="U18" s="119">
        <f t="shared" si="13"/>
        <v>0</v>
      </c>
      <c r="V18" s="118">
        <f t="shared" si="4"/>
        <v>0</v>
      </c>
      <c r="W18" s="107">
        <v>0</v>
      </c>
      <c r="X18" s="120">
        <f t="shared" si="5"/>
        <v>0</v>
      </c>
      <c r="Y18" s="107">
        <v>159080</v>
      </c>
      <c r="Z18" s="120">
        <f t="shared" si="6"/>
        <v>5.093023E-2</v>
      </c>
      <c r="AA18" s="121">
        <f t="shared" si="7"/>
        <v>1.3667540400000002</v>
      </c>
      <c r="AB18" s="122">
        <f t="shared" si="8"/>
        <v>3123489</v>
      </c>
      <c r="AC18" s="107">
        <v>9440165</v>
      </c>
      <c r="AD18" s="123">
        <f t="shared" si="14"/>
        <v>0.24861310252574609</v>
      </c>
      <c r="AE18" s="282"/>
      <c r="AF18" s="282"/>
    </row>
    <row r="19" spans="1:32">
      <c r="A19" s="43">
        <v>3639</v>
      </c>
      <c r="B19" s="116" t="s">
        <v>251</v>
      </c>
      <c r="C19" s="107">
        <v>28800934</v>
      </c>
      <c r="D19" s="107">
        <v>1758845</v>
      </c>
      <c r="E19" s="117">
        <f t="shared" si="9"/>
        <v>6.1100000000000002E-2</v>
      </c>
      <c r="F19" s="118">
        <f t="shared" si="0"/>
        <v>0.49529417999999997</v>
      </c>
      <c r="G19" s="107">
        <v>6229</v>
      </c>
      <c r="H19" s="107">
        <v>50696</v>
      </c>
      <c r="I19" s="119">
        <f t="shared" si="10"/>
        <v>8.1387</v>
      </c>
      <c r="J19" s="118">
        <f t="shared" si="1"/>
        <v>2.507175E-2</v>
      </c>
      <c r="K19" s="107">
        <v>78235</v>
      </c>
      <c r="L19" s="107">
        <v>270824</v>
      </c>
      <c r="M19" s="119">
        <f t="shared" si="11"/>
        <v>3.4617</v>
      </c>
      <c r="N19" s="118">
        <f t="shared" si="2"/>
        <v>7.2654040000000003E-2</v>
      </c>
      <c r="O19" s="107">
        <v>74808</v>
      </c>
      <c r="P19" s="107">
        <v>353632</v>
      </c>
      <c r="Q19" s="119">
        <f t="shared" si="12"/>
        <v>4.7271999999999998</v>
      </c>
      <c r="R19" s="118">
        <f t="shared" si="3"/>
        <v>9.9073480000000005E-2</v>
      </c>
      <c r="S19" s="107">
        <v>0</v>
      </c>
      <c r="T19" s="107">
        <v>0</v>
      </c>
      <c r="U19" s="119">
        <f t="shared" si="13"/>
        <v>0</v>
      </c>
      <c r="V19" s="118">
        <f t="shared" si="4"/>
        <v>0</v>
      </c>
      <c r="W19" s="107">
        <v>0</v>
      </c>
      <c r="X19" s="120">
        <f t="shared" si="5"/>
        <v>0</v>
      </c>
      <c r="Y19" s="107">
        <v>1059931</v>
      </c>
      <c r="Z19" s="120">
        <f t="shared" si="6"/>
        <v>0.30336372</v>
      </c>
      <c r="AA19" s="121">
        <f t="shared" si="7"/>
        <v>0.99545717</v>
      </c>
      <c r="AB19" s="122">
        <f t="shared" si="8"/>
        <v>3493928</v>
      </c>
      <c r="AC19" s="107">
        <v>6627460</v>
      </c>
      <c r="AD19" s="123">
        <f t="shared" si="14"/>
        <v>0.34520245642198483</v>
      </c>
      <c r="AE19" s="282"/>
      <c r="AF19" s="282"/>
    </row>
    <row r="20" spans="1:32">
      <c r="A20" s="43">
        <v>42485</v>
      </c>
      <c r="B20" s="116" t="s">
        <v>252</v>
      </c>
      <c r="C20" s="107">
        <v>12157101</v>
      </c>
      <c r="D20" s="107">
        <v>1311136</v>
      </c>
      <c r="E20" s="117">
        <f>IF(C20=0,0,ROUND(D20/C20,4))</f>
        <v>0.10780000000000001</v>
      </c>
      <c r="F20" s="118">
        <f t="shared" si="0"/>
        <v>0.80225908999999995</v>
      </c>
      <c r="G20" s="107">
        <v>15207</v>
      </c>
      <c r="H20" s="107">
        <v>143715</v>
      </c>
      <c r="I20" s="119">
        <f>IF(G20=0,0,ROUND(H20/G20,4))</f>
        <v>9.4505999999999997</v>
      </c>
      <c r="J20" s="118">
        <f t="shared" si="1"/>
        <v>0.10164151</v>
      </c>
      <c r="K20" s="107">
        <v>18996</v>
      </c>
      <c r="L20" s="107">
        <v>108710</v>
      </c>
      <c r="M20" s="119">
        <f t="shared" si="11"/>
        <v>5.7228000000000003</v>
      </c>
      <c r="N20" s="118">
        <f t="shared" si="2"/>
        <v>5.937655E-2</v>
      </c>
      <c r="O20" s="107">
        <v>10191</v>
      </c>
      <c r="P20" s="107">
        <v>58318</v>
      </c>
      <c r="Q20" s="119">
        <f t="shared" si="12"/>
        <v>5.7225000000000001</v>
      </c>
      <c r="R20" s="118">
        <f t="shared" si="3"/>
        <v>2.4358129999999999E-2</v>
      </c>
      <c r="S20" s="107">
        <v>0</v>
      </c>
      <c r="T20" s="107">
        <v>0</v>
      </c>
      <c r="U20" s="119">
        <f t="shared" si="13"/>
        <v>0</v>
      </c>
      <c r="V20" s="118">
        <f t="shared" si="4"/>
        <v>0</v>
      </c>
      <c r="W20" s="107">
        <v>0</v>
      </c>
      <c r="X20" s="120">
        <f>ROUND(W20/$AB20,8)</f>
        <v>0</v>
      </c>
      <c r="Y20" s="107">
        <v>1215127</v>
      </c>
      <c r="Z20" s="120">
        <f>ROUND(Y20/$AB20,8)</f>
        <v>0.42831316000000003</v>
      </c>
      <c r="AA20" s="121">
        <f>F20+J20+N20+R20+V20+X20+Z20</f>
        <v>1.41594844</v>
      </c>
      <c r="AB20" s="122">
        <f>D20+H20+L20+P20+T20+W20+Y20</f>
        <v>2837006</v>
      </c>
      <c r="AC20" s="107">
        <v>4874636</v>
      </c>
      <c r="AD20" s="123">
        <f t="shared" si="14"/>
        <v>0.36788611297049317</v>
      </c>
      <c r="AE20" s="282"/>
      <c r="AF20" s="282"/>
    </row>
    <row r="21" spans="1:32">
      <c r="A21" s="43">
        <v>9651</v>
      </c>
      <c r="B21" s="116" t="s">
        <v>253</v>
      </c>
      <c r="C21" s="107">
        <v>20433239</v>
      </c>
      <c r="D21" s="107">
        <v>1153005</v>
      </c>
      <c r="E21" s="117">
        <f t="shared" si="9"/>
        <v>5.6399999999999999E-2</v>
      </c>
      <c r="F21" s="118">
        <f t="shared" si="0"/>
        <v>0.54890707000000005</v>
      </c>
      <c r="G21" s="107">
        <v>12155</v>
      </c>
      <c r="H21" s="107">
        <v>99186</v>
      </c>
      <c r="I21" s="119">
        <f t="shared" si="10"/>
        <v>8.1600999999999999</v>
      </c>
      <c r="J21" s="118">
        <f t="shared" si="1"/>
        <v>9.0073260000000002E-2</v>
      </c>
      <c r="K21" s="107">
        <v>32735</v>
      </c>
      <c r="L21" s="107">
        <v>388226</v>
      </c>
      <c r="M21" s="119">
        <f t="shared" si="11"/>
        <v>11.8597</v>
      </c>
      <c r="N21" s="118">
        <f t="shared" si="2"/>
        <v>0.65348499999999998</v>
      </c>
      <c r="O21" s="107">
        <v>43381</v>
      </c>
      <c r="P21" s="107">
        <v>267326</v>
      </c>
      <c r="Q21" s="119">
        <f t="shared" si="12"/>
        <v>6.1623000000000001</v>
      </c>
      <c r="R21" s="118">
        <f t="shared" si="3"/>
        <v>0.17880513000000001</v>
      </c>
      <c r="S21" s="107">
        <v>0</v>
      </c>
      <c r="T21" s="107">
        <v>0</v>
      </c>
      <c r="U21" s="119">
        <f t="shared" si="13"/>
        <v>0</v>
      </c>
      <c r="V21" s="118">
        <f t="shared" si="4"/>
        <v>0</v>
      </c>
      <c r="W21" s="107">
        <v>0</v>
      </c>
      <c r="X21" s="120">
        <f t="shared" si="5"/>
        <v>0</v>
      </c>
      <c r="Y21" s="107">
        <v>0</v>
      </c>
      <c r="Z21" s="120">
        <f t="shared" si="6"/>
        <v>0</v>
      </c>
      <c r="AA21" s="121">
        <f t="shared" si="7"/>
        <v>1.4712704600000002</v>
      </c>
      <c r="AB21" s="122">
        <f t="shared" si="8"/>
        <v>1907743</v>
      </c>
      <c r="AC21" s="107">
        <v>13837074</v>
      </c>
      <c r="AD21" s="123">
        <f t="shared" si="14"/>
        <v>0.12116641304881473</v>
      </c>
      <c r="AE21" s="282"/>
      <c r="AF21" s="282"/>
    </row>
    <row r="22" spans="1:32">
      <c r="A22" s="43">
        <v>3665</v>
      </c>
      <c r="B22" s="116" t="s">
        <v>254</v>
      </c>
      <c r="C22" s="107">
        <v>33241515</v>
      </c>
      <c r="D22" s="107">
        <v>1788358</v>
      </c>
      <c r="E22" s="117">
        <f t="shared" si="9"/>
        <v>5.3800000000000001E-2</v>
      </c>
      <c r="F22" s="118">
        <f t="shared" si="0"/>
        <v>0.33677095000000001</v>
      </c>
      <c r="G22" s="107">
        <v>151568</v>
      </c>
      <c r="H22" s="107">
        <v>961304</v>
      </c>
      <c r="I22" s="119">
        <f t="shared" si="10"/>
        <v>6.3423999999999996</v>
      </c>
      <c r="J22" s="118">
        <f t="shared" si="1"/>
        <v>0.28136738</v>
      </c>
      <c r="K22" s="107">
        <v>134319</v>
      </c>
      <c r="L22" s="107">
        <v>650349</v>
      </c>
      <c r="M22" s="119">
        <f t="shared" si="11"/>
        <v>4.8418000000000001</v>
      </c>
      <c r="N22" s="118">
        <f t="shared" si="2"/>
        <v>0.18532755000000001</v>
      </c>
      <c r="O22" s="107">
        <v>134319</v>
      </c>
      <c r="P22" s="107">
        <v>306047</v>
      </c>
      <c r="Q22" s="119">
        <f t="shared" si="12"/>
        <v>2.2785000000000002</v>
      </c>
      <c r="R22" s="118">
        <f t="shared" si="3"/>
        <v>3.138647E-2</v>
      </c>
      <c r="S22" s="107">
        <v>0</v>
      </c>
      <c r="T22" s="107">
        <v>0</v>
      </c>
      <c r="U22" s="119">
        <f t="shared" si="13"/>
        <v>0</v>
      </c>
      <c r="V22" s="118">
        <f t="shared" si="4"/>
        <v>0</v>
      </c>
      <c r="W22" s="107">
        <v>894500</v>
      </c>
      <c r="X22" s="120">
        <f t="shared" si="5"/>
        <v>0.19443294</v>
      </c>
      <c r="Y22" s="107">
        <v>0</v>
      </c>
      <c r="Z22" s="120">
        <f t="shared" si="6"/>
        <v>0</v>
      </c>
      <c r="AA22" s="121">
        <f t="shared" si="7"/>
        <v>1.02928529</v>
      </c>
      <c r="AB22" s="122">
        <f t="shared" si="8"/>
        <v>4600558</v>
      </c>
      <c r="AC22" s="107">
        <v>11995421</v>
      </c>
      <c r="AD22" s="123">
        <f t="shared" si="14"/>
        <v>0.27720919627579671</v>
      </c>
      <c r="AE22" s="282"/>
      <c r="AF22" s="282"/>
    </row>
    <row r="23" spans="1:32">
      <c r="A23" s="43">
        <v>3565</v>
      </c>
      <c r="B23" s="116" t="s">
        <v>255</v>
      </c>
      <c r="C23" s="107">
        <v>37383372</v>
      </c>
      <c r="D23" s="107">
        <v>2191708</v>
      </c>
      <c r="E23" s="117">
        <f>IF(C23=0,0,ROUND(D23/C23,4))</f>
        <v>5.8599999999999999E-2</v>
      </c>
      <c r="F23" s="118">
        <f t="shared" si="0"/>
        <v>0.46361321</v>
      </c>
      <c r="G23" s="107">
        <v>114254</v>
      </c>
      <c r="H23" s="107">
        <v>657616</v>
      </c>
      <c r="I23" s="119">
        <f>IF(G23=0,0,ROUND(H23/G23,4))</f>
        <v>5.7557</v>
      </c>
      <c r="J23" s="118">
        <f t="shared" si="1"/>
        <v>0.18013889</v>
      </c>
      <c r="K23" s="107">
        <v>12857</v>
      </c>
      <c r="L23" s="107">
        <v>150216</v>
      </c>
      <c r="M23" s="119">
        <f>IF(K23=0,0,ROUND(L23/K23,4))</f>
        <v>11.6836</v>
      </c>
      <c r="N23" s="118">
        <f t="shared" si="2"/>
        <v>0.10652637</v>
      </c>
      <c r="O23" s="107">
        <v>55194</v>
      </c>
      <c r="P23" s="107">
        <v>395248</v>
      </c>
      <c r="Q23" s="119">
        <f>IF(O23=0,0,ROUND(P23/O23,4))</f>
        <v>7.1611000000000002</v>
      </c>
      <c r="R23" s="118">
        <f t="shared" si="3"/>
        <v>0.13138093000000001</v>
      </c>
      <c r="S23" s="107">
        <v>0</v>
      </c>
      <c r="T23" s="107">
        <v>0</v>
      </c>
      <c r="U23" s="119">
        <f>IF(S23=0,0,ROUND(T23/S23,4))</f>
        <v>0</v>
      </c>
      <c r="V23" s="118">
        <f t="shared" si="4"/>
        <v>0</v>
      </c>
      <c r="W23" s="107">
        <v>228147</v>
      </c>
      <c r="X23" s="120">
        <f t="shared" si="5"/>
        <v>5.1142489999999999E-2</v>
      </c>
      <c r="Y23" s="107">
        <v>838072</v>
      </c>
      <c r="Z23" s="120">
        <f t="shared" si="6"/>
        <v>0.18786610000000001</v>
      </c>
      <c r="AA23" s="121">
        <f t="shared" si="7"/>
        <v>1.1206679900000001</v>
      </c>
      <c r="AB23" s="122">
        <f t="shared" si="8"/>
        <v>4461007</v>
      </c>
      <c r="AC23" s="107">
        <v>10249274</v>
      </c>
      <c r="AD23" s="123">
        <f t="shared" si="14"/>
        <v>0.30325776917517755</v>
      </c>
      <c r="AE23" s="282"/>
      <c r="AF23" s="282"/>
    </row>
    <row r="24" spans="1:32">
      <c r="A24" s="43">
        <v>29269</v>
      </c>
      <c r="B24" s="116" t="s">
        <v>256</v>
      </c>
      <c r="C24" s="107">
        <v>4989784</v>
      </c>
      <c r="D24" s="107">
        <v>309598</v>
      </c>
      <c r="E24" s="117">
        <f>IF(C24=0,0,ROUND(D24/C24,4))</f>
        <v>6.2E-2</v>
      </c>
      <c r="F24" s="118">
        <f t="shared" si="0"/>
        <v>0.61581938000000003</v>
      </c>
      <c r="G24" s="107">
        <v>20003</v>
      </c>
      <c r="H24" s="107">
        <v>123346</v>
      </c>
      <c r="I24" s="119">
        <f>IF(G24=0,0,ROUND(H24/G24,4))</f>
        <v>6.1664000000000003</v>
      </c>
      <c r="J24" s="118">
        <f t="shared" si="1"/>
        <v>0.32172273000000001</v>
      </c>
      <c r="K24" s="107">
        <v>6282</v>
      </c>
      <c r="L24" s="107">
        <v>30937</v>
      </c>
      <c r="M24" s="119">
        <f>IF(K24=0,0,ROUND(L24/K24,4))</f>
        <v>4.9246999999999996</v>
      </c>
      <c r="N24" s="118">
        <f t="shared" si="2"/>
        <v>8.2188349999999993E-2</v>
      </c>
      <c r="O24" s="107">
        <v>6282</v>
      </c>
      <c r="P24" s="107">
        <v>38051</v>
      </c>
      <c r="Q24" s="119">
        <f>IF(O24=0,0,ROUND(P24/O24,4))</f>
        <v>6.0571000000000002</v>
      </c>
      <c r="R24" s="118">
        <f t="shared" si="3"/>
        <v>9.5082749999999994E-2</v>
      </c>
      <c r="S24" s="107">
        <v>0</v>
      </c>
      <c r="T24" s="107">
        <v>0</v>
      </c>
      <c r="U24" s="119">
        <f>IF(S24=0,0,ROUND(T24/S24,4))</f>
        <v>0</v>
      </c>
      <c r="V24" s="118">
        <f t="shared" si="4"/>
        <v>0</v>
      </c>
      <c r="W24" s="107">
        <v>0</v>
      </c>
      <c r="X24" s="120">
        <f t="shared" si="5"/>
        <v>0</v>
      </c>
      <c r="Y24" s="107">
        <v>0</v>
      </c>
      <c r="Z24" s="120">
        <f t="shared" si="6"/>
        <v>0</v>
      </c>
      <c r="AA24" s="121">
        <f t="shared" si="7"/>
        <v>1.1148132100000001</v>
      </c>
      <c r="AB24" s="122">
        <f t="shared" si="8"/>
        <v>501932</v>
      </c>
      <c r="AC24" s="107">
        <v>1801258</v>
      </c>
      <c r="AD24" s="123">
        <f t="shared" si="14"/>
        <v>0.21792904623587286</v>
      </c>
      <c r="AE24" s="282"/>
      <c r="AF24" s="282"/>
    </row>
    <row r="25" spans="1:32">
      <c r="A25" s="43">
        <v>3652</v>
      </c>
      <c r="B25" s="116" t="s">
        <v>257</v>
      </c>
      <c r="C25" s="107">
        <v>281241326</v>
      </c>
      <c r="D25" s="107">
        <v>12513889</v>
      </c>
      <c r="E25" s="117">
        <f t="shared" si="9"/>
        <v>4.4499999999999998E-2</v>
      </c>
      <c r="F25" s="118">
        <f t="shared" si="0"/>
        <v>0.41557747</v>
      </c>
      <c r="G25" s="107">
        <v>511235</v>
      </c>
      <c r="H25" s="107">
        <v>1215786</v>
      </c>
      <c r="I25" s="119">
        <f t="shared" si="10"/>
        <v>2.3780999999999999</v>
      </c>
      <c r="J25" s="118">
        <f t="shared" si="1"/>
        <v>2.8447779999999999E-2</v>
      </c>
      <c r="K25" s="107">
        <v>391482</v>
      </c>
      <c r="L25" s="107">
        <v>1168848</v>
      </c>
      <c r="M25" s="119">
        <f t="shared" si="11"/>
        <v>2.9857</v>
      </c>
      <c r="N25" s="118">
        <f t="shared" si="2"/>
        <v>4.3791789999999997E-2</v>
      </c>
      <c r="O25" s="107">
        <v>381184</v>
      </c>
      <c r="P25" s="107">
        <v>1450435</v>
      </c>
      <c r="Q25" s="119">
        <f t="shared" si="12"/>
        <v>3.8050999999999999</v>
      </c>
      <c r="R25" s="118">
        <f t="shared" si="3"/>
        <v>5.296286E-2</v>
      </c>
      <c r="S25" s="107">
        <v>2494</v>
      </c>
      <c r="T25" s="107">
        <v>34052</v>
      </c>
      <c r="U25" s="119">
        <f t="shared" si="13"/>
        <v>13.653600000000001</v>
      </c>
      <c r="V25" s="118">
        <f t="shared" si="4"/>
        <v>1.37853E-3</v>
      </c>
      <c r="W25" s="107">
        <v>0</v>
      </c>
      <c r="X25" s="120">
        <f t="shared" si="5"/>
        <v>0</v>
      </c>
      <c r="Y25" s="107">
        <v>5194867</v>
      </c>
      <c r="Z25" s="120">
        <f t="shared" si="6"/>
        <v>0.24074967999999999</v>
      </c>
      <c r="AA25" s="121">
        <f t="shared" si="7"/>
        <v>0.78290810999999993</v>
      </c>
      <c r="AB25" s="122">
        <f t="shared" si="8"/>
        <v>21577877</v>
      </c>
      <c r="AC25" s="107">
        <v>25817303</v>
      </c>
      <c r="AD25" s="123">
        <f t="shared" si="14"/>
        <v>0.45527576854861612</v>
      </c>
      <c r="AE25" s="282"/>
      <c r="AF25" s="282"/>
    </row>
    <row r="26" spans="1:32">
      <c r="A26" s="43">
        <v>11711</v>
      </c>
      <c r="B26" s="116" t="s">
        <v>258</v>
      </c>
      <c r="C26" s="107">
        <v>18760326</v>
      </c>
      <c r="D26" s="107">
        <v>822016</v>
      </c>
      <c r="E26" s="117">
        <f t="shared" si="9"/>
        <v>4.3799999999999999E-2</v>
      </c>
      <c r="F26" s="118">
        <f t="shared" si="0"/>
        <v>0.34316200000000002</v>
      </c>
      <c r="G26" s="107">
        <v>36698</v>
      </c>
      <c r="H26" s="107">
        <v>164044</v>
      </c>
      <c r="I26" s="119">
        <f t="shared" si="10"/>
        <v>4.4701000000000004</v>
      </c>
      <c r="J26" s="118">
        <f t="shared" si="1"/>
        <v>9.2147569999999998E-2</v>
      </c>
      <c r="K26" s="107">
        <v>43873</v>
      </c>
      <c r="L26" s="107">
        <v>69524</v>
      </c>
      <c r="M26" s="119">
        <f t="shared" si="11"/>
        <v>1.5847</v>
      </c>
      <c r="N26" s="118">
        <f t="shared" si="2"/>
        <v>1.7656939999999999E-2</v>
      </c>
      <c r="O26" s="107">
        <v>61008</v>
      </c>
      <c r="P26" s="107">
        <v>39529</v>
      </c>
      <c r="Q26" s="119">
        <f t="shared" si="12"/>
        <v>0.64790000000000003</v>
      </c>
      <c r="R26" s="118">
        <f t="shared" si="3"/>
        <v>3.1388900000000001E-3</v>
      </c>
      <c r="S26" s="107">
        <v>0</v>
      </c>
      <c r="T26" s="107">
        <v>0</v>
      </c>
      <c r="U26" s="119">
        <f t="shared" si="13"/>
        <v>0</v>
      </c>
      <c r="V26" s="118">
        <f t="shared" si="4"/>
        <v>0</v>
      </c>
      <c r="W26" s="107">
        <v>0</v>
      </c>
      <c r="X26" s="120">
        <f t="shared" si="5"/>
        <v>0</v>
      </c>
      <c r="Y26" s="107">
        <v>594408</v>
      </c>
      <c r="Z26" s="120">
        <f t="shared" si="6"/>
        <v>0.35182043000000002</v>
      </c>
      <c r="AA26" s="121">
        <f t="shared" si="7"/>
        <v>0.80792583000000007</v>
      </c>
      <c r="AB26" s="122">
        <f t="shared" si="8"/>
        <v>1689521</v>
      </c>
      <c r="AC26" s="107">
        <v>10856169</v>
      </c>
      <c r="AD26" s="123">
        <f t="shared" si="14"/>
        <v>0.13466943627652206</v>
      </c>
      <c r="AE26" s="282"/>
      <c r="AF26" s="282"/>
    </row>
    <row r="27" spans="1:32">
      <c r="A27" s="43">
        <v>12826</v>
      </c>
      <c r="B27" s="116" t="s">
        <v>259</v>
      </c>
      <c r="C27" s="107">
        <v>18666069</v>
      </c>
      <c r="D27" s="107">
        <v>1114662</v>
      </c>
      <c r="E27" s="117">
        <f t="shared" si="9"/>
        <v>5.9700000000000003E-2</v>
      </c>
      <c r="F27" s="118">
        <f t="shared" si="0"/>
        <v>0.29443064000000002</v>
      </c>
      <c r="G27" s="107">
        <v>10776</v>
      </c>
      <c r="H27" s="107">
        <v>75637</v>
      </c>
      <c r="I27" s="119">
        <f t="shared" si="10"/>
        <v>7.0190000000000001</v>
      </c>
      <c r="J27" s="118">
        <f t="shared" si="1"/>
        <v>3.096966E-2</v>
      </c>
      <c r="K27" s="107">
        <v>23089</v>
      </c>
      <c r="L27" s="107">
        <v>158652</v>
      </c>
      <c r="M27" s="119">
        <f t="shared" si="11"/>
        <v>6.8712999999999997</v>
      </c>
      <c r="N27" s="118">
        <f t="shared" si="2"/>
        <v>8.1103339999999996E-2</v>
      </c>
      <c r="O27" s="107">
        <v>23089</v>
      </c>
      <c r="P27" s="107">
        <v>143735</v>
      </c>
      <c r="Q27" s="119">
        <f t="shared" si="12"/>
        <v>6.2252999999999998</v>
      </c>
      <c r="R27" s="118">
        <f t="shared" si="3"/>
        <v>5.0909129999999997E-2</v>
      </c>
      <c r="S27" s="107">
        <v>0</v>
      </c>
      <c r="T27" s="107">
        <v>0</v>
      </c>
      <c r="U27" s="119">
        <f t="shared" si="13"/>
        <v>0</v>
      </c>
      <c r="V27" s="118">
        <f t="shared" si="4"/>
        <v>0</v>
      </c>
      <c r="W27" s="107">
        <v>0</v>
      </c>
      <c r="X27" s="120">
        <f t="shared" si="5"/>
        <v>0</v>
      </c>
      <c r="Y27" s="107">
        <v>2146824</v>
      </c>
      <c r="Z27" s="120">
        <f t="shared" si="6"/>
        <v>0.58986622</v>
      </c>
      <c r="AA27" s="121">
        <f t="shared" si="7"/>
        <v>1.0472789900000001</v>
      </c>
      <c r="AB27" s="122">
        <f t="shared" si="8"/>
        <v>3639510</v>
      </c>
      <c r="AC27" s="107">
        <v>6355098</v>
      </c>
      <c r="AD27" s="123">
        <f t="shared" si="14"/>
        <v>0.36414734825017647</v>
      </c>
      <c r="AE27" s="282"/>
      <c r="AF27" s="282"/>
    </row>
    <row r="28" spans="1:32">
      <c r="A28" s="43">
        <v>13231</v>
      </c>
      <c r="B28" s="116" t="s">
        <v>260</v>
      </c>
      <c r="C28" s="107">
        <v>9233460</v>
      </c>
      <c r="D28" s="107">
        <v>532493</v>
      </c>
      <c r="E28" s="117">
        <f t="shared" si="9"/>
        <v>5.7700000000000001E-2</v>
      </c>
      <c r="F28" s="118">
        <f t="shared" si="0"/>
        <v>0.76283606000000004</v>
      </c>
      <c r="G28" s="107">
        <v>2710</v>
      </c>
      <c r="H28" s="107">
        <v>28909</v>
      </c>
      <c r="I28" s="119">
        <f t="shared" si="10"/>
        <v>10.6675</v>
      </c>
      <c r="J28" s="118">
        <f t="shared" si="1"/>
        <v>0.10094823</v>
      </c>
      <c r="K28" s="107">
        <v>9492</v>
      </c>
      <c r="L28" s="107">
        <v>57556</v>
      </c>
      <c r="M28" s="119">
        <f t="shared" si="11"/>
        <v>6.0636000000000001</v>
      </c>
      <c r="N28" s="118">
        <f t="shared" si="2"/>
        <v>0.14569726999999999</v>
      </c>
      <c r="O28" s="107">
        <v>4327</v>
      </c>
      <c r="P28" s="107">
        <v>29627</v>
      </c>
      <c r="Q28" s="119">
        <f t="shared" si="12"/>
        <v>6.8470000000000004</v>
      </c>
      <c r="R28" s="118">
        <f t="shared" si="3"/>
        <v>6.4764489999999994E-2</v>
      </c>
      <c r="S28" s="107">
        <v>0</v>
      </c>
      <c r="T28" s="107">
        <v>0</v>
      </c>
      <c r="U28" s="119">
        <f t="shared" si="13"/>
        <v>0</v>
      </c>
      <c r="V28" s="118">
        <f t="shared" si="4"/>
        <v>0</v>
      </c>
      <c r="W28" s="107">
        <v>0</v>
      </c>
      <c r="X28" s="120">
        <f t="shared" si="5"/>
        <v>0</v>
      </c>
      <c r="Y28" s="107">
        <v>0</v>
      </c>
      <c r="Z28" s="120">
        <f t="shared" si="6"/>
        <v>0</v>
      </c>
      <c r="AA28" s="121">
        <f t="shared" si="7"/>
        <v>1.07424605</v>
      </c>
      <c r="AB28" s="122">
        <f t="shared" si="8"/>
        <v>648585</v>
      </c>
      <c r="AC28" s="107">
        <v>2865640</v>
      </c>
      <c r="AD28" s="123">
        <f t="shared" si="14"/>
        <v>0.18455989585185922</v>
      </c>
      <c r="AE28" s="282"/>
      <c r="AF28" s="282"/>
    </row>
    <row r="29" spans="1:32">
      <c r="A29" s="43">
        <v>3592</v>
      </c>
      <c r="B29" s="116" t="s">
        <v>261</v>
      </c>
      <c r="C29" s="107">
        <v>14161321</v>
      </c>
      <c r="D29" s="107">
        <v>897609</v>
      </c>
      <c r="E29" s="117">
        <f t="shared" si="9"/>
        <v>6.3399999999999998E-2</v>
      </c>
      <c r="F29" s="118">
        <f t="shared" si="0"/>
        <v>0.41834888999999997</v>
      </c>
      <c r="G29" s="107">
        <v>54729</v>
      </c>
      <c r="H29" s="107">
        <v>422271</v>
      </c>
      <c r="I29" s="119">
        <f t="shared" si="10"/>
        <v>7.7157</v>
      </c>
      <c r="J29" s="118">
        <f t="shared" si="1"/>
        <v>0.31578408000000002</v>
      </c>
      <c r="K29" s="107">
        <v>36608</v>
      </c>
      <c r="L29" s="107">
        <v>134453</v>
      </c>
      <c r="M29" s="119">
        <f t="shared" si="11"/>
        <v>3.6728000000000001</v>
      </c>
      <c r="N29" s="118">
        <f t="shared" si="2"/>
        <v>6.1040589999999999E-2</v>
      </c>
      <c r="O29" s="107">
        <v>21707</v>
      </c>
      <c r="P29" s="107">
        <v>28922</v>
      </c>
      <c r="Q29" s="119">
        <f t="shared" si="12"/>
        <v>1.3324</v>
      </c>
      <c r="R29" s="118">
        <f t="shared" si="3"/>
        <v>3.64278E-3</v>
      </c>
      <c r="S29" s="107">
        <v>0</v>
      </c>
      <c r="T29" s="107">
        <v>0</v>
      </c>
      <c r="U29" s="119">
        <f t="shared" si="13"/>
        <v>0</v>
      </c>
      <c r="V29" s="118">
        <f t="shared" si="4"/>
        <v>0</v>
      </c>
      <c r="W29" s="107">
        <v>0</v>
      </c>
      <c r="X29" s="120">
        <f t="shared" si="5"/>
        <v>0</v>
      </c>
      <c r="Y29" s="107">
        <v>707260</v>
      </c>
      <c r="Z29" s="120">
        <f t="shared" si="6"/>
        <v>0.32287384000000002</v>
      </c>
      <c r="AA29" s="121">
        <f t="shared" si="7"/>
        <v>1.1216901799999999</v>
      </c>
      <c r="AB29" s="122">
        <f t="shared" si="8"/>
        <v>2190515</v>
      </c>
      <c r="AC29" s="107">
        <v>4292381</v>
      </c>
      <c r="AD29" s="123">
        <f t="shared" si="14"/>
        <v>0.33789143000288757</v>
      </c>
      <c r="AE29" s="282"/>
      <c r="AF29" s="282"/>
    </row>
    <row r="30" spans="1:32">
      <c r="A30" s="43">
        <v>3594</v>
      </c>
      <c r="B30" s="116" t="s">
        <v>262</v>
      </c>
      <c r="C30" s="107">
        <v>119729488</v>
      </c>
      <c r="D30" s="107">
        <v>8596472</v>
      </c>
      <c r="E30" s="117">
        <f t="shared" si="9"/>
        <v>7.1800000000000003E-2</v>
      </c>
      <c r="F30" s="118">
        <f t="shared" si="0"/>
        <v>0.54195793999999997</v>
      </c>
      <c r="G30" s="107">
        <v>275977</v>
      </c>
      <c r="H30" s="107">
        <v>2665180</v>
      </c>
      <c r="I30" s="119">
        <f t="shared" si="10"/>
        <v>9.6572999999999993</v>
      </c>
      <c r="J30" s="118">
        <f t="shared" si="1"/>
        <v>0.29796456999999998</v>
      </c>
      <c r="K30" s="107">
        <v>259781</v>
      </c>
      <c r="L30" s="107">
        <v>1167301</v>
      </c>
      <c r="M30" s="119">
        <f t="shared" si="11"/>
        <v>4.4934000000000003</v>
      </c>
      <c r="N30" s="118">
        <f t="shared" si="2"/>
        <v>7.7440400000000006E-2</v>
      </c>
      <c r="O30" s="107">
        <v>250884</v>
      </c>
      <c r="P30" s="107">
        <v>1182355</v>
      </c>
      <c r="Q30" s="119">
        <f t="shared" si="12"/>
        <v>4.7127999999999997</v>
      </c>
      <c r="R30" s="118">
        <f t="shared" si="3"/>
        <v>6.2915150000000003E-2</v>
      </c>
      <c r="S30" s="107">
        <v>0</v>
      </c>
      <c r="T30" s="107">
        <v>0</v>
      </c>
      <c r="U30" s="119">
        <f t="shared" si="13"/>
        <v>0</v>
      </c>
      <c r="V30" s="118">
        <f t="shared" si="4"/>
        <v>0</v>
      </c>
      <c r="W30" s="107">
        <v>0</v>
      </c>
      <c r="X30" s="120">
        <f t="shared" si="5"/>
        <v>0</v>
      </c>
      <c r="Y30" s="107">
        <v>4728193</v>
      </c>
      <c r="Z30" s="120">
        <f t="shared" si="6"/>
        <v>0.25781470000000001</v>
      </c>
      <c r="AA30" s="121">
        <f t="shared" si="7"/>
        <v>1.23809276</v>
      </c>
      <c r="AB30" s="122">
        <f t="shared" si="8"/>
        <v>18339501</v>
      </c>
      <c r="AC30" s="107">
        <v>1595704</v>
      </c>
      <c r="AD30" s="123">
        <f t="shared" si="14"/>
        <v>0.91995547575256942</v>
      </c>
      <c r="AE30" s="282"/>
      <c r="AF30" s="282"/>
    </row>
    <row r="31" spans="1:32">
      <c r="A31" s="43">
        <v>42421</v>
      </c>
      <c r="B31" s="116" t="s">
        <v>263</v>
      </c>
      <c r="C31" s="107">
        <v>8614188</v>
      </c>
      <c r="D31" s="107">
        <v>441537</v>
      </c>
      <c r="E31" s="117">
        <f t="shared" si="9"/>
        <v>5.1299999999999998E-2</v>
      </c>
      <c r="F31" s="118">
        <f t="shared" si="0"/>
        <v>0.30311574000000002</v>
      </c>
      <c r="G31" s="107">
        <v>41850</v>
      </c>
      <c r="H31" s="107">
        <v>43844</v>
      </c>
      <c r="I31" s="119">
        <f t="shared" si="10"/>
        <v>1.0476000000000001</v>
      </c>
      <c r="J31" s="118">
        <f t="shared" si="1"/>
        <v>8.1038499999999992E-3</v>
      </c>
      <c r="K31" s="107">
        <v>15759</v>
      </c>
      <c r="L31" s="107">
        <v>97072</v>
      </c>
      <c r="M31" s="119">
        <f t="shared" si="11"/>
        <v>6.1597999999999997</v>
      </c>
      <c r="N31" s="118">
        <f t="shared" si="2"/>
        <v>0.13454679999999999</v>
      </c>
      <c r="O31" s="107">
        <v>15759</v>
      </c>
      <c r="P31" s="107">
        <v>83360</v>
      </c>
      <c r="Q31" s="119">
        <f t="shared" si="12"/>
        <v>5.2896999999999998</v>
      </c>
      <c r="R31" s="118">
        <f t="shared" si="3"/>
        <v>7.5878749999999995E-2</v>
      </c>
      <c r="S31" s="107">
        <v>0</v>
      </c>
      <c r="T31" s="107">
        <v>0</v>
      </c>
      <c r="U31" s="119">
        <f t="shared" si="13"/>
        <v>0</v>
      </c>
      <c r="V31" s="118">
        <f t="shared" si="4"/>
        <v>0</v>
      </c>
      <c r="W31" s="107">
        <v>0</v>
      </c>
      <c r="X31" s="120">
        <f t="shared" si="5"/>
        <v>0</v>
      </c>
      <c r="Y31" s="107">
        <v>537516</v>
      </c>
      <c r="Z31" s="120">
        <f t="shared" si="6"/>
        <v>0.44669080999999999</v>
      </c>
      <c r="AA31" s="121">
        <f t="shared" si="7"/>
        <v>0.96833595000000006</v>
      </c>
      <c r="AB31" s="122">
        <f t="shared" si="8"/>
        <v>1203329</v>
      </c>
      <c r="AC31" s="107">
        <v>4382792</v>
      </c>
      <c r="AD31" s="123">
        <f t="shared" si="14"/>
        <v>0.21541405923717014</v>
      </c>
      <c r="AE31" s="282"/>
      <c r="AF31" s="282"/>
    </row>
    <row r="32" spans="1:32">
      <c r="A32" s="43">
        <v>3624</v>
      </c>
      <c r="B32" s="116" t="s">
        <v>264</v>
      </c>
      <c r="C32" s="107">
        <v>28283799</v>
      </c>
      <c r="D32" s="107">
        <v>1336410</v>
      </c>
      <c r="E32" s="117">
        <f t="shared" si="9"/>
        <v>4.7300000000000002E-2</v>
      </c>
      <c r="F32" s="118">
        <f t="shared" si="0"/>
        <v>0.31623191</v>
      </c>
      <c r="G32" s="107">
        <v>85298</v>
      </c>
      <c r="H32" s="107">
        <v>424696</v>
      </c>
      <c r="I32" s="119">
        <f t="shared" si="10"/>
        <v>4.9790000000000001</v>
      </c>
      <c r="J32" s="118">
        <f t="shared" si="1"/>
        <v>0.13947186</v>
      </c>
      <c r="K32" s="107">
        <v>63445</v>
      </c>
      <c r="L32" s="107">
        <v>381814</v>
      </c>
      <c r="M32" s="119">
        <f t="shared" si="11"/>
        <v>6.0179999999999998</v>
      </c>
      <c r="N32" s="118">
        <f t="shared" si="2"/>
        <v>0.19328476999999999</v>
      </c>
      <c r="O32" s="107">
        <v>51869</v>
      </c>
      <c r="P32" s="107">
        <v>264533</v>
      </c>
      <c r="Q32" s="119">
        <f t="shared" si="12"/>
        <v>5.0999999999999996</v>
      </c>
      <c r="R32" s="118">
        <f t="shared" si="3"/>
        <v>8.6788519999999994E-2</v>
      </c>
      <c r="S32" s="107">
        <v>0</v>
      </c>
      <c r="T32" s="107">
        <v>0</v>
      </c>
      <c r="U32" s="119">
        <f t="shared" si="13"/>
        <v>0</v>
      </c>
      <c r="V32" s="118">
        <f t="shared" si="4"/>
        <v>0</v>
      </c>
      <c r="W32" s="107">
        <v>0</v>
      </c>
      <c r="X32" s="120">
        <f t="shared" si="5"/>
        <v>0</v>
      </c>
      <c r="Y32" s="107">
        <v>811418</v>
      </c>
      <c r="Z32" s="120">
        <f t="shared" si="6"/>
        <v>0.25208154999999999</v>
      </c>
      <c r="AA32" s="121">
        <f t="shared" si="7"/>
        <v>0.98785860999999997</v>
      </c>
      <c r="AB32" s="122">
        <f t="shared" si="8"/>
        <v>3218871</v>
      </c>
      <c r="AC32" s="107">
        <v>8657142</v>
      </c>
      <c r="AD32" s="123">
        <f t="shared" si="14"/>
        <v>0.27103969993970201</v>
      </c>
      <c r="AE32" s="282"/>
      <c r="AF32" s="282"/>
    </row>
    <row r="33" spans="1:32">
      <c r="A33" s="43">
        <v>3642</v>
      </c>
      <c r="B33" s="116" t="s">
        <v>265</v>
      </c>
      <c r="C33" s="107">
        <v>44440243</v>
      </c>
      <c r="D33" s="107">
        <v>2621877</v>
      </c>
      <c r="E33" s="117">
        <f t="shared" si="9"/>
        <v>5.8999999999999997E-2</v>
      </c>
      <c r="F33" s="118">
        <f t="shared" si="0"/>
        <v>0.14318506</v>
      </c>
      <c r="G33" s="107">
        <v>55977</v>
      </c>
      <c r="H33" s="107">
        <v>267535</v>
      </c>
      <c r="I33" s="119">
        <f t="shared" si="10"/>
        <v>4.7793999999999999</v>
      </c>
      <c r="J33" s="118">
        <f t="shared" si="1"/>
        <v>1.5604460000000001E-2</v>
      </c>
      <c r="K33" s="107">
        <v>166984</v>
      </c>
      <c r="L33" s="107">
        <v>824070</v>
      </c>
      <c r="M33" s="119">
        <f t="shared" si="11"/>
        <v>4.9349999999999996</v>
      </c>
      <c r="N33" s="118">
        <f t="shared" si="2"/>
        <v>6.3295589999999999E-2</v>
      </c>
      <c r="O33" s="107">
        <v>121376</v>
      </c>
      <c r="P33" s="107">
        <v>794013</v>
      </c>
      <c r="Q33" s="119">
        <f t="shared" si="12"/>
        <v>6.5418000000000003</v>
      </c>
      <c r="R33" s="118">
        <f t="shared" si="3"/>
        <v>6.182522E-2</v>
      </c>
      <c r="S33" s="107">
        <v>0</v>
      </c>
      <c r="T33" s="107">
        <v>0</v>
      </c>
      <c r="U33" s="119">
        <f t="shared" si="13"/>
        <v>0</v>
      </c>
      <c r="V33" s="118">
        <f t="shared" si="4"/>
        <v>0</v>
      </c>
      <c r="W33" s="107">
        <v>0</v>
      </c>
      <c r="X33" s="120">
        <f t="shared" si="5"/>
        <v>0</v>
      </c>
      <c r="Y33" s="107">
        <v>12889531</v>
      </c>
      <c r="Z33" s="120">
        <f t="shared" si="6"/>
        <v>0.74090427999999997</v>
      </c>
      <c r="AA33" s="121">
        <f t="shared" si="7"/>
        <v>1.02481461</v>
      </c>
      <c r="AB33" s="122">
        <f t="shared" si="8"/>
        <v>17397026</v>
      </c>
      <c r="AC33" s="107">
        <v>0</v>
      </c>
      <c r="AD33" s="123">
        <f t="shared" si="14"/>
        <v>1</v>
      </c>
      <c r="AE33" s="282"/>
      <c r="AF33" s="282"/>
    </row>
    <row r="34" spans="1:32">
      <c r="A34" s="43">
        <v>3644</v>
      </c>
      <c r="B34" s="116" t="s">
        <v>266</v>
      </c>
      <c r="C34" s="107">
        <v>97667992</v>
      </c>
      <c r="D34" s="107">
        <v>8864737</v>
      </c>
      <c r="E34" s="117">
        <f t="shared" si="9"/>
        <v>9.0800000000000006E-2</v>
      </c>
      <c r="F34" s="118">
        <f t="shared" si="0"/>
        <v>0.60916075000000003</v>
      </c>
      <c r="G34" s="107">
        <v>574592</v>
      </c>
      <c r="H34" s="107">
        <v>2473590</v>
      </c>
      <c r="I34" s="119">
        <f t="shared" si="10"/>
        <v>4.3049999999999997</v>
      </c>
      <c r="J34" s="118">
        <f t="shared" si="1"/>
        <v>0.10625333000000001</v>
      </c>
      <c r="K34" s="107">
        <v>156223</v>
      </c>
      <c r="L34" s="107">
        <v>1042525</v>
      </c>
      <c r="M34" s="119">
        <f t="shared" si="11"/>
        <v>6.6733000000000002</v>
      </c>
      <c r="N34" s="118">
        <f t="shared" si="2"/>
        <v>8.8531150000000003E-2</v>
      </c>
      <c r="O34" s="107">
        <v>128813</v>
      </c>
      <c r="P34" s="107">
        <v>488276</v>
      </c>
      <c r="Q34" s="119">
        <f t="shared" si="12"/>
        <v>3.7906</v>
      </c>
      <c r="R34" s="118">
        <f t="shared" si="3"/>
        <v>1.801196E-2</v>
      </c>
      <c r="S34" s="107">
        <v>0</v>
      </c>
      <c r="T34" s="107">
        <v>0</v>
      </c>
      <c r="U34" s="119">
        <f t="shared" si="13"/>
        <v>0</v>
      </c>
      <c r="V34" s="118">
        <f t="shared" si="4"/>
        <v>0</v>
      </c>
      <c r="W34" s="107">
        <v>1245597</v>
      </c>
      <c r="X34" s="120">
        <f t="shared" si="5"/>
        <v>5.8539550000000003E-2</v>
      </c>
      <c r="Y34" s="107">
        <v>7163147</v>
      </c>
      <c r="Z34" s="120">
        <f t="shared" si="6"/>
        <v>0.33664771999999998</v>
      </c>
      <c r="AA34" s="121">
        <f t="shared" si="7"/>
        <v>1.2171444600000001</v>
      </c>
      <c r="AB34" s="122">
        <f t="shared" si="8"/>
        <v>21277872</v>
      </c>
      <c r="AC34" s="107">
        <v>28124184</v>
      </c>
      <c r="AD34" s="123">
        <f t="shared" si="14"/>
        <v>0.43070822801383002</v>
      </c>
      <c r="AE34" s="282"/>
      <c r="AF34" s="282"/>
    </row>
    <row r="35" spans="1:32">
      <c r="A35" s="43">
        <v>3541</v>
      </c>
      <c r="B35" s="116" t="s">
        <v>267</v>
      </c>
      <c r="C35" s="107">
        <v>22884113</v>
      </c>
      <c r="D35" s="107">
        <v>1286306</v>
      </c>
      <c r="E35" s="117">
        <f t="shared" si="9"/>
        <v>5.62E-2</v>
      </c>
      <c r="F35" s="118">
        <f t="shared" si="0"/>
        <v>0.63084441999999996</v>
      </c>
      <c r="G35" s="107">
        <v>24441</v>
      </c>
      <c r="H35" s="107">
        <v>208569</v>
      </c>
      <c r="I35" s="119">
        <f t="shared" si="10"/>
        <v>8.5335999999999999</v>
      </c>
      <c r="J35" s="118">
        <f t="shared" si="1"/>
        <v>0.20477888</v>
      </c>
      <c r="K35" s="107">
        <v>27481</v>
      </c>
      <c r="L35" s="107">
        <v>203131</v>
      </c>
      <c r="M35" s="119">
        <f t="shared" si="11"/>
        <v>7.3917000000000002</v>
      </c>
      <c r="N35" s="118">
        <f t="shared" si="2"/>
        <v>0.2203185</v>
      </c>
      <c r="O35" s="107">
        <v>12944</v>
      </c>
      <c r="P35" s="107">
        <v>128502</v>
      </c>
      <c r="Q35" s="119">
        <f t="shared" si="12"/>
        <v>9.9275000000000002</v>
      </c>
      <c r="R35" s="118">
        <f t="shared" si="3"/>
        <v>0.14315247</v>
      </c>
      <c r="S35" s="107">
        <v>0</v>
      </c>
      <c r="T35" s="107">
        <v>0</v>
      </c>
      <c r="U35" s="119">
        <f t="shared" si="13"/>
        <v>0</v>
      </c>
      <c r="V35" s="118">
        <f t="shared" si="4"/>
        <v>0</v>
      </c>
      <c r="W35" s="107">
        <v>0</v>
      </c>
      <c r="X35" s="120">
        <f t="shared" si="5"/>
        <v>0</v>
      </c>
      <c r="Y35" s="107">
        <v>18791</v>
      </c>
      <c r="Z35" s="120">
        <f t="shared" si="6"/>
        <v>1.018317E-2</v>
      </c>
      <c r="AA35" s="121">
        <f t="shared" si="7"/>
        <v>1.2092774399999999</v>
      </c>
      <c r="AB35" s="122">
        <f t="shared" si="8"/>
        <v>1845299</v>
      </c>
      <c r="AC35" s="107">
        <v>5060389</v>
      </c>
      <c r="AD35" s="123">
        <f t="shared" si="14"/>
        <v>0.26721436010430821</v>
      </c>
      <c r="AE35" s="282"/>
      <c r="AF35" s="282"/>
    </row>
    <row r="36" spans="1:32">
      <c r="A36" s="43">
        <v>3646</v>
      </c>
      <c r="B36" s="116" t="s">
        <v>268</v>
      </c>
      <c r="C36" s="107">
        <v>36369666</v>
      </c>
      <c r="D36" s="107">
        <v>1958871</v>
      </c>
      <c r="E36" s="117">
        <f>IF(C36=0,0,ROUND(D36/C36,4))</f>
        <v>5.3900000000000003E-2</v>
      </c>
      <c r="F36" s="118">
        <f t="shared" si="0"/>
        <v>0.36993621999999998</v>
      </c>
      <c r="G36" s="107">
        <v>157502</v>
      </c>
      <c r="H36" s="107">
        <v>850410</v>
      </c>
      <c r="I36" s="119">
        <f>IF(G36=0,0,ROUND(H36/G36,4))</f>
        <v>5.3994</v>
      </c>
      <c r="J36" s="118">
        <f t="shared" si="1"/>
        <v>0.21211315</v>
      </c>
      <c r="K36" s="107">
        <v>126985</v>
      </c>
      <c r="L36" s="107">
        <v>449587</v>
      </c>
      <c r="M36" s="119">
        <f>IF(K36=0,0,ROUND(L36/K36,4))</f>
        <v>3.5405000000000002</v>
      </c>
      <c r="N36" s="118">
        <f t="shared" si="2"/>
        <v>9.3777659999999999E-2</v>
      </c>
      <c r="O36" s="107">
        <v>51563</v>
      </c>
      <c r="P36" s="107">
        <v>230400</v>
      </c>
      <c r="Q36" s="119">
        <f>IF(O36=0,0,ROUND(P36/O36,4))</f>
        <v>4.4683000000000002</v>
      </c>
      <c r="R36" s="118">
        <f t="shared" si="3"/>
        <v>4.6383599999999997E-2</v>
      </c>
      <c r="S36" s="107">
        <v>8638</v>
      </c>
      <c r="T36" s="107">
        <v>139943</v>
      </c>
      <c r="U36" s="119">
        <f>IF(S36=0,0,ROUND(T36/S36,4))</f>
        <v>16.200900000000001</v>
      </c>
      <c r="V36" s="118">
        <f t="shared" si="4"/>
        <v>3.1560919999999999E-2</v>
      </c>
      <c r="W36" s="107">
        <v>0</v>
      </c>
      <c r="X36" s="120">
        <f t="shared" si="5"/>
        <v>0</v>
      </c>
      <c r="Y36" s="107">
        <v>966748</v>
      </c>
      <c r="Z36" s="120">
        <f t="shared" si="6"/>
        <v>0.21034739</v>
      </c>
      <c r="AA36" s="121">
        <f t="shared" si="7"/>
        <v>0.96411893999999998</v>
      </c>
      <c r="AB36" s="122">
        <f t="shared" si="8"/>
        <v>4595959</v>
      </c>
      <c r="AC36" s="107">
        <v>12963178</v>
      </c>
      <c r="AD36" s="123">
        <f t="shared" si="14"/>
        <v>0.26174173594066724</v>
      </c>
      <c r="AE36" s="282"/>
      <c r="AF36" s="282"/>
    </row>
    <row r="37" spans="1:32">
      <c r="A37" s="43">
        <v>3581</v>
      </c>
      <c r="B37" s="116" t="s">
        <v>269</v>
      </c>
      <c r="C37" s="107">
        <v>47511705</v>
      </c>
      <c r="D37" s="107">
        <v>3451367</v>
      </c>
      <c r="E37" s="117">
        <f t="shared" si="9"/>
        <v>7.2599999999999998E-2</v>
      </c>
      <c r="F37" s="118">
        <f t="shared" si="0"/>
        <v>0.92683601000000004</v>
      </c>
      <c r="G37" s="107">
        <v>74723</v>
      </c>
      <c r="H37" s="107">
        <v>525718</v>
      </c>
      <c r="I37" s="119">
        <f t="shared" si="10"/>
        <v>7.0355999999999996</v>
      </c>
      <c r="J37" s="118">
        <f t="shared" si="1"/>
        <v>0.18038092</v>
      </c>
      <c r="K37" s="107">
        <v>40797</v>
      </c>
      <c r="L37" s="107">
        <v>218461</v>
      </c>
      <c r="M37" s="119">
        <f t="shared" si="11"/>
        <v>5.3548</v>
      </c>
      <c r="N37" s="118">
        <f t="shared" si="2"/>
        <v>7.2758059999999999E-2</v>
      </c>
      <c r="O37" s="107">
        <v>40797</v>
      </c>
      <c r="P37" s="107">
        <v>157901</v>
      </c>
      <c r="Q37" s="119">
        <f t="shared" si="12"/>
        <v>3.8704000000000001</v>
      </c>
      <c r="R37" s="118">
        <f t="shared" si="3"/>
        <v>2.906854E-2</v>
      </c>
      <c r="S37" s="107">
        <v>0</v>
      </c>
      <c r="T37" s="107">
        <v>0</v>
      </c>
      <c r="U37" s="119">
        <f t="shared" si="13"/>
        <v>0</v>
      </c>
      <c r="V37" s="118">
        <f t="shared" si="4"/>
        <v>0</v>
      </c>
      <c r="W37" s="107">
        <v>0</v>
      </c>
      <c r="X37" s="120">
        <f t="shared" si="5"/>
        <v>0</v>
      </c>
      <c r="Y37" s="107">
        <v>0</v>
      </c>
      <c r="Z37" s="120">
        <f t="shared" si="6"/>
        <v>0</v>
      </c>
      <c r="AA37" s="121">
        <f t="shared" si="7"/>
        <v>1.20904353</v>
      </c>
      <c r="AB37" s="122">
        <f t="shared" si="8"/>
        <v>4353447</v>
      </c>
      <c r="AC37" s="107">
        <v>437213</v>
      </c>
      <c r="AD37" s="123">
        <f t="shared" si="14"/>
        <v>0.90873637452877054</v>
      </c>
      <c r="AE37" s="282"/>
      <c r="AF37" s="282"/>
    </row>
    <row r="38" spans="1:32">
      <c r="A38" s="43">
        <v>3606</v>
      </c>
      <c r="B38" s="116" t="s">
        <v>270</v>
      </c>
      <c r="C38" s="107">
        <v>48446886</v>
      </c>
      <c r="D38" s="107">
        <v>2906813</v>
      </c>
      <c r="E38" s="117">
        <f t="shared" si="9"/>
        <v>0.06</v>
      </c>
      <c r="F38" s="118">
        <f t="shared" si="0"/>
        <v>0.58095768000000003</v>
      </c>
      <c r="G38" s="107">
        <v>100041</v>
      </c>
      <c r="H38" s="107">
        <v>638673</v>
      </c>
      <c r="I38" s="119">
        <f t="shared" si="10"/>
        <v>6.3841000000000001</v>
      </c>
      <c r="J38" s="118">
        <f t="shared" si="1"/>
        <v>0.17906712</v>
      </c>
      <c r="K38" s="107">
        <v>75917</v>
      </c>
      <c r="L38" s="107">
        <v>582590</v>
      </c>
      <c r="M38" s="119">
        <f t="shared" si="11"/>
        <v>7.6740000000000004</v>
      </c>
      <c r="N38" s="118">
        <f t="shared" si="2"/>
        <v>0.25040889</v>
      </c>
      <c r="O38" s="107">
        <v>41638</v>
      </c>
      <c r="P38" s="107">
        <v>239426</v>
      </c>
      <c r="Q38" s="119">
        <f t="shared" si="12"/>
        <v>5.7502000000000004</v>
      </c>
      <c r="R38" s="118">
        <f t="shared" si="3"/>
        <v>5.8970910000000001E-2</v>
      </c>
      <c r="S38" s="107">
        <v>0</v>
      </c>
      <c r="T38" s="107">
        <v>0</v>
      </c>
      <c r="U38" s="119">
        <f t="shared" si="13"/>
        <v>0</v>
      </c>
      <c r="V38" s="118">
        <f t="shared" si="4"/>
        <v>0</v>
      </c>
      <c r="W38" s="107">
        <v>0</v>
      </c>
      <c r="X38" s="120">
        <f t="shared" si="5"/>
        <v>0</v>
      </c>
      <c r="Y38" s="107">
        <v>466783</v>
      </c>
      <c r="Z38" s="120">
        <f t="shared" si="6"/>
        <v>9.6556779999999995E-2</v>
      </c>
      <c r="AA38" s="121">
        <f t="shared" si="7"/>
        <v>1.1659613800000002</v>
      </c>
      <c r="AB38" s="122">
        <f t="shared" si="8"/>
        <v>4834285</v>
      </c>
      <c r="AC38" s="107">
        <v>13301394</v>
      </c>
      <c r="AD38" s="123">
        <f t="shared" si="14"/>
        <v>0.26656211769076854</v>
      </c>
      <c r="AE38" s="282"/>
      <c r="AF38" s="282"/>
    </row>
    <row r="39" spans="1:32">
      <c r="A39" s="43">
        <v>3615</v>
      </c>
      <c r="B39" s="116" t="s">
        <v>271</v>
      </c>
      <c r="C39" s="107">
        <v>58473516</v>
      </c>
      <c r="D39" s="107">
        <v>4548516</v>
      </c>
      <c r="E39" s="117">
        <f t="shared" si="9"/>
        <v>7.7799999999999994E-2</v>
      </c>
      <c r="F39" s="118">
        <f t="shared" si="0"/>
        <v>0.36803105000000003</v>
      </c>
      <c r="G39" s="107">
        <v>253910</v>
      </c>
      <c r="H39" s="107">
        <v>1331201</v>
      </c>
      <c r="I39" s="119">
        <f t="shared" si="10"/>
        <v>5.2427999999999999</v>
      </c>
      <c r="J39" s="118">
        <f t="shared" si="1"/>
        <v>9.5698149999999996E-2</v>
      </c>
      <c r="K39" s="107">
        <v>9090</v>
      </c>
      <c r="L39" s="107">
        <v>102876</v>
      </c>
      <c r="M39" s="119">
        <f t="shared" si="11"/>
        <v>11.317500000000001</v>
      </c>
      <c r="N39" s="118">
        <f t="shared" si="2"/>
        <v>2.03605E-2</v>
      </c>
      <c r="O39" s="107">
        <v>85924</v>
      </c>
      <c r="P39" s="107">
        <v>695495</v>
      </c>
      <c r="Q39" s="119">
        <f t="shared" si="12"/>
        <v>8.0943000000000005</v>
      </c>
      <c r="R39" s="118">
        <f t="shared" si="3"/>
        <v>7.5286279999999997E-2</v>
      </c>
      <c r="S39" s="107">
        <v>0</v>
      </c>
      <c r="T39" s="107">
        <v>0</v>
      </c>
      <c r="U39" s="119">
        <f t="shared" si="13"/>
        <v>0</v>
      </c>
      <c r="V39" s="118">
        <f t="shared" si="4"/>
        <v>0</v>
      </c>
      <c r="W39" s="107">
        <v>2102893</v>
      </c>
      <c r="X39" s="120">
        <f t="shared" si="5"/>
        <v>0.13581380000000001</v>
      </c>
      <c r="Y39" s="107">
        <v>6702666</v>
      </c>
      <c r="Z39" s="120">
        <f t="shared" si="6"/>
        <v>0.43288676999999998</v>
      </c>
      <c r="AA39" s="121">
        <f t="shared" si="7"/>
        <v>1.1280765499999998</v>
      </c>
      <c r="AB39" s="122">
        <f t="shared" si="8"/>
        <v>15483647</v>
      </c>
      <c r="AC39" s="107">
        <v>22758727</v>
      </c>
      <c r="AD39" s="123">
        <f t="shared" si="14"/>
        <v>0.40488195110481373</v>
      </c>
      <c r="AE39" s="282"/>
      <c r="AF39" s="282"/>
    </row>
    <row r="40" spans="1:32">
      <c r="A40" s="43">
        <v>3625</v>
      </c>
      <c r="B40" s="116" t="s">
        <v>272</v>
      </c>
      <c r="C40" s="107">
        <v>11480097</v>
      </c>
      <c r="D40" s="107">
        <v>819467</v>
      </c>
      <c r="E40" s="117">
        <f>IF(C40=0,0,ROUND(D40/C40,4))</f>
        <v>7.1400000000000005E-2</v>
      </c>
      <c r="F40" s="118">
        <f t="shared" si="0"/>
        <v>0.53606054000000003</v>
      </c>
      <c r="G40" s="107">
        <v>16106</v>
      </c>
      <c r="H40" s="107">
        <v>196460</v>
      </c>
      <c r="I40" s="119">
        <f>IF(G40=0,0,ROUND(H40/G40,4))</f>
        <v>12.197900000000001</v>
      </c>
      <c r="J40" s="118">
        <f t="shared" si="1"/>
        <v>0.28947085</v>
      </c>
      <c r="K40" s="107">
        <v>78645</v>
      </c>
      <c r="L40" s="107">
        <v>282262</v>
      </c>
      <c r="M40" s="119">
        <f>IF(K40=0,0,ROUND(L40/K40,4))</f>
        <v>3.5891000000000002</v>
      </c>
      <c r="N40" s="118">
        <f t="shared" si="2"/>
        <v>0.15606693999999999</v>
      </c>
      <c r="O40" s="107">
        <v>78645</v>
      </c>
      <c r="P40" s="107">
        <v>217601</v>
      </c>
      <c r="Q40" s="119">
        <f>IF(O40=0,0,ROUND(P40/O40,4))</f>
        <v>2.7669000000000001</v>
      </c>
      <c r="R40" s="118">
        <f t="shared" si="3"/>
        <v>7.0932609999999993E-2</v>
      </c>
      <c r="S40" s="107">
        <v>0</v>
      </c>
      <c r="T40" s="107">
        <v>0</v>
      </c>
      <c r="U40" s="119">
        <f>IF(S40=0,0,ROUND(T40/S40,4))</f>
        <v>0</v>
      </c>
      <c r="V40" s="118">
        <f t="shared" si="4"/>
        <v>0</v>
      </c>
      <c r="W40" s="107">
        <v>0</v>
      </c>
      <c r="X40" s="120">
        <f>ROUND(W40/$AB40,8)</f>
        <v>0</v>
      </c>
      <c r="Y40" s="107">
        <v>241827</v>
      </c>
      <c r="Z40" s="120">
        <f>ROUND(Y40/$AB40,8)</f>
        <v>0.13758799999999999</v>
      </c>
      <c r="AA40" s="121">
        <f>F40+J40+N40+R40+V40+X40+Z40</f>
        <v>1.1901189400000001</v>
      </c>
      <c r="AB40" s="122">
        <f>D40+H40+L40+P40+T40+W40+Y40</f>
        <v>1757617</v>
      </c>
      <c r="AC40" s="107">
        <v>1361209</v>
      </c>
      <c r="AD40" s="123">
        <f>AB40/(AB40+AC40)</f>
        <v>0.5635508361158974</v>
      </c>
      <c r="AE40" s="282"/>
      <c r="AF40" s="282"/>
    </row>
    <row r="41" spans="1:32" ht="14.4" thickBot="1">
      <c r="A41" s="43">
        <v>20</v>
      </c>
      <c r="B41" s="116" t="s">
        <v>273</v>
      </c>
      <c r="C41" s="124">
        <v>2388835</v>
      </c>
      <c r="D41" s="125">
        <v>128726</v>
      </c>
      <c r="E41" s="126">
        <f>IF(C41=0,0,ROUND(D41/C41,4))</f>
        <v>5.3900000000000003E-2</v>
      </c>
      <c r="F41" s="127">
        <f t="shared" si="0"/>
        <v>0.73554861999999999</v>
      </c>
      <c r="G41" s="125">
        <v>0</v>
      </c>
      <c r="H41" s="125">
        <v>0</v>
      </c>
      <c r="I41" s="128">
        <f>IF(G41=0,0,ROUND(H41/G41,4))</f>
        <v>0</v>
      </c>
      <c r="J41" s="127">
        <f t="shared" si="1"/>
        <v>0</v>
      </c>
      <c r="K41" s="125">
        <v>2130</v>
      </c>
      <c r="L41" s="125">
        <v>23172</v>
      </c>
      <c r="M41" s="128">
        <f>IF(K41=0,0,ROUND(L41/K41,4))</f>
        <v>10.8789</v>
      </c>
      <c r="N41" s="127">
        <f t="shared" si="2"/>
        <v>0.44935918000000002</v>
      </c>
      <c r="O41" s="125">
        <v>0</v>
      </c>
      <c r="P41" s="125">
        <v>0</v>
      </c>
      <c r="Q41" s="128">
        <f>IF(O41=0,0,ROUND(P41/O41,4))</f>
        <v>0</v>
      </c>
      <c r="R41" s="127">
        <f t="shared" si="3"/>
        <v>0</v>
      </c>
      <c r="S41" s="125">
        <v>0</v>
      </c>
      <c r="T41" s="125">
        <v>0</v>
      </c>
      <c r="U41" s="128">
        <f>IF(S41=0,0,ROUND(T41/S41,4))</f>
        <v>0</v>
      </c>
      <c r="V41" s="127">
        <f t="shared" si="4"/>
        <v>0</v>
      </c>
      <c r="W41" s="125">
        <v>0</v>
      </c>
      <c r="X41" s="129">
        <f>ROUND(W41/$AB41,8)</f>
        <v>0</v>
      </c>
      <c r="Y41" s="125">
        <v>0</v>
      </c>
      <c r="Z41" s="129">
        <f>ROUND(Y41/$AB41,8)</f>
        <v>0</v>
      </c>
      <c r="AA41" s="130">
        <f>F41+J41+N41+R41+V41+X41+Z41</f>
        <v>1.1849078</v>
      </c>
      <c r="AB41" s="131">
        <f>D41+H41+L41+P41+T41+W41+Y41</f>
        <v>151898</v>
      </c>
      <c r="AC41" s="125">
        <v>0</v>
      </c>
      <c r="AD41" s="132">
        <f>AB41/(AB41+AC41)</f>
        <v>1</v>
      </c>
      <c r="AE41" s="282"/>
      <c r="AF41" s="282"/>
    </row>
    <row r="42" spans="1:32" ht="14.4" thickBot="1">
      <c r="B42" s="133" t="s">
        <v>30</v>
      </c>
      <c r="C42" s="134">
        <f>SUM(C5:C41)</f>
        <v>1958544296</v>
      </c>
      <c r="D42" s="135">
        <f>SUM(D5:D41)</f>
        <v>120823827</v>
      </c>
      <c r="E42" s="136">
        <f>IF(C42=0," ",ROUND(D42/C42,4))</f>
        <v>6.1699999999999998E-2</v>
      </c>
      <c r="F42" s="59">
        <f t="shared" si="0"/>
        <v>0.36610132000000001</v>
      </c>
      <c r="G42" s="137">
        <f>SUM(G5:G41)</f>
        <v>8608696</v>
      </c>
      <c r="H42" s="135">
        <f>SUM(H5:H41)</f>
        <v>44059303</v>
      </c>
      <c r="I42" s="138">
        <f>IF(G42=0," ",ROUND(H42/G42,4))</f>
        <v>5.1180000000000003</v>
      </c>
      <c r="J42" s="59">
        <f t="shared" si="1"/>
        <v>0.14600339000000001</v>
      </c>
      <c r="K42" s="134">
        <f>SUM(K5:K41)</f>
        <v>3798402</v>
      </c>
      <c r="L42" s="135">
        <f>SUM(L5:L41)</f>
        <v>19026587</v>
      </c>
      <c r="M42" s="138">
        <f>IF(K42=0," ",ROUND(L42/K42,4))</f>
        <v>5.0091000000000001</v>
      </c>
      <c r="N42" s="59">
        <f t="shared" si="2"/>
        <v>7.8699669999999999E-2</v>
      </c>
      <c r="O42" s="135">
        <f>SUM(O5:O41)</f>
        <v>2566604</v>
      </c>
      <c r="P42" s="135">
        <f>SUM(P5:P41)</f>
        <v>13074006</v>
      </c>
      <c r="Q42" s="138">
        <f>IF(O42=0," ",ROUND(P42/O42,4))</f>
        <v>5.0938999999999997</v>
      </c>
      <c r="R42" s="59">
        <f t="shared" si="3"/>
        <v>4.2056200000000002E-2</v>
      </c>
      <c r="S42" s="135">
        <f>SUM(S5:S41)</f>
        <v>11132</v>
      </c>
      <c r="T42" s="135">
        <f>SUM(T5:T41)</f>
        <v>173995</v>
      </c>
      <c r="U42" s="138">
        <f>IF(S42=0," ",ROUND(T42/S42,4))</f>
        <v>15.6302</v>
      </c>
      <c r="V42" s="59">
        <f t="shared" si="4"/>
        <v>5.3063000000000003E-4</v>
      </c>
      <c r="W42" s="135">
        <f>SUM(W5:W41)</f>
        <v>18456679</v>
      </c>
      <c r="X42" s="139">
        <f t="shared" si="5"/>
        <v>5.6287080000000003E-2</v>
      </c>
      <c r="Y42" s="135">
        <f>SUM(Y5:Y41)</f>
        <v>112288196</v>
      </c>
      <c r="Z42" s="139">
        <f t="shared" si="6"/>
        <v>0.34244375999999999</v>
      </c>
      <c r="AA42" s="59">
        <f t="shared" si="7"/>
        <v>1.0321220499999999</v>
      </c>
      <c r="AB42" s="135">
        <f>D42+H42+L42+P42+T42+W42+Y42</f>
        <v>327902593</v>
      </c>
      <c r="AC42" s="135">
        <f>SUM(AC5:AC41)</f>
        <v>506009332</v>
      </c>
      <c r="AD42" s="140">
        <f t="shared" si="14"/>
        <v>0.3932101018941539</v>
      </c>
      <c r="AE42" s="282"/>
      <c r="AF42" s="282"/>
    </row>
    <row r="43" spans="1:32">
      <c r="A43" s="141">
        <v>9225</v>
      </c>
      <c r="B43" s="142" t="s">
        <v>274</v>
      </c>
      <c r="C43" s="143">
        <v>9849357</v>
      </c>
      <c r="D43" s="144">
        <v>753383</v>
      </c>
      <c r="E43" s="145">
        <f t="shared" ref="E43:E51" si="15">IF(C43=0,0,ROUND(D43/C43,4))</f>
        <v>7.6499999999999999E-2</v>
      </c>
      <c r="F43" s="146">
        <f t="shared" si="0"/>
        <v>0.66437913000000004</v>
      </c>
      <c r="G43" s="147">
        <v>730</v>
      </c>
      <c r="H43" s="144">
        <v>26089</v>
      </c>
      <c r="I43" s="148">
        <f t="shared" ref="I43:I51" si="16">IF(G43=0,0,ROUND(H43/G43,4))</f>
        <v>35.738399999999999</v>
      </c>
      <c r="J43" s="146">
        <f t="shared" si="1"/>
        <v>0.14170747</v>
      </c>
      <c r="K43" s="143">
        <v>38512</v>
      </c>
      <c r="L43" s="144">
        <v>210838</v>
      </c>
      <c r="M43" s="148">
        <f t="shared" ref="M43:M51" si="17">IF(K43=0,0,ROUND(L43/K43,4))</f>
        <v>5.4745999999999997</v>
      </c>
      <c r="N43" s="146">
        <f t="shared" si="2"/>
        <v>0.22373235</v>
      </c>
      <c r="O43" s="143">
        <v>38512</v>
      </c>
      <c r="P43" s="144">
        <v>125251</v>
      </c>
      <c r="Q43" s="148">
        <f t="shared" ref="Q43:Q51" si="18">IF(O43=0,0,ROUND(P43/O43,4))</f>
        <v>3.2523</v>
      </c>
      <c r="R43" s="146">
        <f t="shared" si="3"/>
        <v>6.0383449999999998E-2</v>
      </c>
      <c r="S43" s="149">
        <v>0</v>
      </c>
      <c r="T43" s="150">
        <v>0</v>
      </c>
      <c r="U43" s="148">
        <f t="shared" ref="U43:U51" si="19">IF(S43=0,0,ROUND(T43/S43,4))</f>
        <v>0</v>
      </c>
      <c r="V43" s="146">
        <f t="shared" si="4"/>
        <v>0</v>
      </c>
      <c r="W43" s="151">
        <v>0</v>
      </c>
      <c r="X43" s="112">
        <f t="shared" si="5"/>
        <v>0</v>
      </c>
      <c r="Y43" s="152">
        <v>281353</v>
      </c>
      <c r="Z43" s="112">
        <f t="shared" si="6"/>
        <v>0.20141038999999999</v>
      </c>
      <c r="AA43" s="153">
        <f t="shared" si="7"/>
        <v>1.2916127899999998</v>
      </c>
      <c r="AB43" s="154">
        <f t="shared" ref="AB43:AB51" si="20">D43+H43+L43+P43+T43+W43+Y43</f>
        <v>1396914</v>
      </c>
      <c r="AC43" s="155">
        <v>3118900</v>
      </c>
      <c r="AD43" s="115">
        <f t="shared" si="14"/>
        <v>0.30933824998106652</v>
      </c>
      <c r="AE43" s="282"/>
      <c r="AF43" s="282"/>
    </row>
    <row r="44" spans="1:32">
      <c r="A44" s="43">
        <v>9932</v>
      </c>
      <c r="B44" s="116" t="s">
        <v>275</v>
      </c>
      <c r="C44" s="147">
        <v>4193540</v>
      </c>
      <c r="D44" s="147">
        <v>364433</v>
      </c>
      <c r="E44" s="117">
        <f t="shared" si="15"/>
        <v>8.6900000000000005E-2</v>
      </c>
      <c r="F44" s="118">
        <f t="shared" si="0"/>
        <v>0.72250393999999996</v>
      </c>
      <c r="G44" s="147">
        <v>11441</v>
      </c>
      <c r="H44" s="147">
        <v>109491</v>
      </c>
      <c r="I44" s="119">
        <f t="shared" si="16"/>
        <v>9.5701000000000001</v>
      </c>
      <c r="J44" s="118">
        <f t="shared" si="1"/>
        <v>0.31518034</v>
      </c>
      <c r="K44" s="147">
        <v>2684</v>
      </c>
      <c r="L44" s="147">
        <v>26062</v>
      </c>
      <c r="M44" s="119">
        <f t="shared" si="17"/>
        <v>9.7101000000000006</v>
      </c>
      <c r="N44" s="118">
        <f t="shared" si="2"/>
        <v>9.7078479999999995E-2</v>
      </c>
      <c r="O44" s="147">
        <v>1935</v>
      </c>
      <c r="P44" s="147">
        <v>11265</v>
      </c>
      <c r="Q44" s="119">
        <f t="shared" si="18"/>
        <v>5.8216999999999999</v>
      </c>
      <c r="R44" s="118">
        <f t="shared" si="3"/>
        <v>1.923938E-2</v>
      </c>
      <c r="S44" s="107">
        <v>0</v>
      </c>
      <c r="T44" s="107">
        <v>0</v>
      </c>
      <c r="U44" s="119">
        <f t="shared" si="19"/>
        <v>0</v>
      </c>
      <c r="V44" s="118">
        <f t="shared" si="4"/>
        <v>0</v>
      </c>
      <c r="W44" s="147">
        <v>53395</v>
      </c>
      <c r="X44" s="120">
        <f t="shared" si="5"/>
        <v>7.5647560000000003E-2</v>
      </c>
      <c r="Y44" s="147">
        <v>141193</v>
      </c>
      <c r="Z44" s="120">
        <f t="shared" si="6"/>
        <v>0.20003570000000001</v>
      </c>
      <c r="AA44" s="121">
        <f t="shared" si="7"/>
        <v>1.4296853999999997</v>
      </c>
      <c r="AB44" s="122">
        <f t="shared" si="20"/>
        <v>705839</v>
      </c>
      <c r="AC44" s="147">
        <v>2736361</v>
      </c>
      <c r="AD44" s="123">
        <f t="shared" si="14"/>
        <v>0.20505461623380397</v>
      </c>
      <c r="AE44" s="282"/>
      <c r="AF44" s="282"/>
    </row>
    <row r="45" spans="1:32">
      <c r="A45" s="43">
        <v>33965</v>
      </c>
      <c r="B45" s="116" t="s">
        <v>276</v>
      </c>
      <c r="C45" s="147">
        <v>1842932</v>
      </c>
      <c r="D45" s="147">
        <v>155526</v>
      </c>
      <c r="E45" s="117">
        <f>IF(C45=0,0,ROUND(D45/C45,4))</f>
        <v>8.4400000000000003E-2</v>
      </c>
      <c r="F45" s="118">
        <f t="shared" si="0"/>
        <v>0.76879332</v>
      </c>
      <c r="G45" s="147">
        <v>4835</v>
      </c>
      <c r="H45" s="147">
        <v>1703</v>
      </c>
      <c r="I45" s="119">
        <f>IF(G45=0,0,ROUND(H45/G45,4))</f>
        <v>0.35220000000000001</v>
      </c>
      <c r="J45" s="118">
        <f t="shared" si="1"/>
        <v>4.6316E-4</v>
      </c>
      <c r="K45" s="147">
        <v>1314100</v>
      </c>
      <c r="L45" s="147">
        <v>47718</v>
      </c>
      <c r="M45" s="119">
        <f>IF(K45=0,0,ROUND(L45/K45,4))</f>
        <v>3.6299999999999999E-2</v>
      </c>
      <c r="N45" s="118">
        <f t="shared" si="2"/>
        <v>1.7058500000000001E-3</v>
      </c>
      <c r="O45" s="147">
        <v>0</v>
      </c>
      <c r="P45" s="147">
        <v>0</v>
      </c>
      <c r="Q45" s="119">
        <f>IF(O45=0,0,ROUND(P45/O45,4))</f>
        <v>0</v>
      </c>
      <c r="R45" s="118">
        <f t="shared" si="3"/>
        <v>0</v>
      </c>
      <c r="S45" s="107">
        <v>0</v>
      </c>
      <c r="T45" s="107">
        <v>0</v>
      </c>
      <c r="U45" s="119">
        <f>IF(S45=0,0,ROUND(T45/S45,4))</f>
        <v>0</v>
      </c>
      <c r="V45" s="118">
        <f t="shared" si="4"/>
        <v>0</v>
      </c>
      <c r="W45" s="147">
        <v>0</v>
      </c>
      <c r="X45" s="120">
        <f t="shared" si="5"/>
        <v>0</v>
      </c>
      <c r="Y45" s="147">
        <v>69997</v>
      </c>
      <c r="Z45" s="120">
        <f t="shared" si="6"/>
        <v>0.25458639</v>
      </c>
      <c r="AA45" s="121">
        <f t="shared" si="7"/>
        <v>1.02554872</v>
      </c>
      <c r="AB45" s="122">
        <f t="shared" si="20"/>
        <v>274944</v>
      </c>
      <c r="AC45" s="147">
        <v>808212</v>
      </c>
      <c r="AD45" s="123">
        <f t="shared" si="14"/>
        <v>0.25383601254112981</v>
      </c>
      <c r="AE45" s="282"/>
      <c r="AF45" s="282"/>
    </row>
    <row r="46" spans="1:32">
      <c r="A46" s="43">
        <v>3634</v>
      </c>
      <c r="B46" s="116" t="s">
        <v>277</v>
      </c>
      <c r="C46" s="147">
        <v>14688124</v>
      </c>
      <c r="D46" s="147">
        <v>1124517</v>
      </c>
      <c r="E46" s="117">
        <f t="shared" si="15"/>
        <v>7.6600000000000001E-2</v>
      </c>
      <c r="F46" s="118">
        <f t="shared" si="0"/>
        <v>0.56250058999999997</v>
      </c>
      <c r="G46" s="147">
        <v>61400</v>
      </c>
      <c r="H46" s="147">
        <v>441087</v>
      </c>
      <c r="I46" s="119">
        <f t="shared" si="16"/>
        <v>7.1837999999999997</v>
      </c>
      <c r="J46" s="118">
        <f t="shared" si="1"/>
        <v>0.27281494000000001</v>
      </c>
      <c r="K46" s="147">
        <v>53606</v>
      </c>
      <c r="L46" s="147">
        <v>210369</v>
      </c>
      <c r="M46" s="119">
        <f t="shared" si="17"/>
        <v>3.9243999999999999</v>
      </c>
      <c r="N46" s="118">
        <f t="shared" si="2"/>
        <v>9.0650869999999995E-2</v>
      </c>
      <c r="O46" s="147">
        <v>53606</v>
      </c>
      <c r="P46" s="147">
        <v>92733</v>
      </c>
      <c r="Q46" s="119">
        <f t="shared" si="18"/>
        <v>1.7299</v>
      </c>
      <c r="R46" s="118">
        <f t="shared" si="3"/>
        <v>1.347072E-2</v>
      </c>
      <c r="S46" s="107">
        <v>0</v>
      </c>
      <c r="T46" s="107">
        <v>0</v>
      </c>
      <c r="U46" s="119">
        <f t="shared" si="19"/>
        <v>0</v>
      </c>
      <c r="V46" s="118">
        <f t="shared" si="4"/>
        <v>0</v>
      </c>
      <c r="W46" s="147">
        <v>0</v>
      </c>
      <c r="X46" s="120">
        <f t="shared" si="5"/>
        <v>0</v>
      </c>
      <c r="Y46" s="147">
        <v>597221</v>
      </c>
      <c r="Z46" s="120">
        <f t="shared" si="6"/>
        <v>0.24218924999999999</v>
      </c>
      <c r="AA46" s="121">
        <f t="shared" si="7"/>
        <v>1.1816263699999998</v>
      </c>
      <c r="AB46" s="122">
        <f t="shared" si="20"/>
        <v>2465927</v>
      </c>
      <c r="AC46" s="147">
        <v>5735087</v>
      </c>
      <c r="AD46" s="123">
        <f t="shared" si="14"/>
        <v>0.30068562253399395</v>
      </c>
      <c r="AE46" s="282"/>
      <c r="AF46" s="282"/>
    </row>
    <row r="47" spans="1:32">
      <c r="A47" s="43">
        <v>203634</v>
      </c>
      <c r="B47" s="116" t="s">
        <v>278</v>
      </c>
      <c r="C47" s="147">
        <v>2558409</v>
      </c>
      <c r="D47" s="147">
        <v>185363</v>
      </c>
      <c r="E47" s="117">
        <f t="shared" si="15"/>
        <v>7.2499999999999995E-2</v>
      </c>
      <c r="F47" s="118">
        <f t="shared" si="0"/>
        <v>0.84469282999999995</v>
      </c>
      <c r="G47" s="147">
        <v>783400</v>
      </c>
      <c r="H47" s="147">
        <v>7627</v>
      </c>
      <c r="I47" s="119">
        <f>IF(G47=0,0,ROUND(H47/G47,4))</f>
        <v>9.7000000000000003E-3</v>
      </c>
      <c r="J47" s="118">
        <f>ROUND((I47/I$53)*H47/$AB47,8)</f>
        <v>6.1309999999999994E-5</v>
      </c>
      <c r="K47" s="147">
        <v>90048</v>
      </c>
      <c r="L47" s="147">
        <v>34588</v>
      </c>
      <c r="M47" s="119">
        <f>IF(K47=0,0,ROUND(L47/K47,4))</f>
        <v>0.3841</v>
      </c>
      <c r="N47" s="118">
        <f t="shared" si="2"/>
        <v>1.404094E-2</v>
      </c>
      <c r="O47" s="147">
        <v>90048</v>
      </c>
      <c r="P47" s="147">
        <v>6461</v>
      </c>
      <c r="Q47" s="119">
        <f>IF(O47=0,0,ROUND(P47/O47,4))</f>
        <v>7.1800000000000003E-2</v>
      </c>
      <c r="R47" s="118">
        <f t="shared" si="3"/>
        <v>3.7494999999999998E-4</v>
      </c>
      <c r="S47" s="107">
        <v>0</v>
      </c>
      <c r="T47" s="107">
        <v>0</v>
      </c>
      <c r="U47" s="119">
        <f>IF(S47=0,0,ROUND(T47/S47,4))</f>
        <v>0</v>
      </c>
      <c r="V47" s="118">
        <f t="shared" si="4"/>
        <v>0</v>
      </c>
      <c r="W47" s="147">
        <v>0</v>
      </c>
      <c r="X47" s="120">
        <f>ROUND(W47/$AB47,8)</f>
        <v>0</v>
      </c>
      <c r="Y47" s="147">
        <v>22156</v>
      </c>
      <c r="Z47" s="120">
        <f>ROUND(Y47/$AB47,8)</f>
        <v>8.6481000000000002E-2</v>
      </c>
      <c r="AA47" s="121">
        <f t="shared" si="7"/>
        <v>0.94565102999999995</v>
      </c>
      <c r="AB47" s="122">
        <f>D47+H47+L47+P47+T47+W47+Y47</f>
        <v>256195</v>
      </c>
      <c r="AC47" s="147">
        <v>611454</v>
      </c>
      <c r="AD47" s="123">
        <f t="shared" si="14"/>
        <v>0.29527493260523552</v>
      </c>
      <c r="AE47" s="282"/>
      <c r="AF47" s="282"/>
    </row>
    <row r="48" spans="1:32" ht="16.2">
      <c r="A48" s="43">
        <v>133965</v>
      </c>
      <c r="B48" s="116" t="s">
        <v>160</v>
      </c>
      <c r="C48" s="147">
        <v>0</v>
      </c>
      <c r="D48" s="147">
        <v>0</v>
      </c>
      <c r="E48" s="117">
        <f t="shared" si="15"/>
        <v>0</v>
      </c>
      <c r="F48" s="118"/>
      <c r="G48" s="147">
        <v>0</v>
      </c>
      <c r="H48" s="147">
        <v>0</v>
      </c>
      <c r="I48" s="119">
        <f>IF(G48=0,0,ROUND(H48/G48,4))</f>
        <v>0</v>
      </c>
      <c r="J48" s="118"/>
      <c r="K48" s="147">
        <v>0</v>
      </c>
      <c r="L48" s="147">
        <v>0</v>
      </c>
      <c r="M48" s="119">
        <f>IF(K48=0,0,ROUND(L48/K48,4))</f>
        <v>0</v>
      </c>
      <c r="N48" s="118">
        <v>0</v>
      </c>
      <c r="O48" s="147">
        <v>0</v>
      </c>
      <c r="P48" s="147">
        <v>0</v>
      </c>
      <c r="Q48" s="119">
        <f>IF(O48=0,0,ROUND(P48/O48,4))</f>
        <v>0</v>
      </c>
      <c r="R48" s="118">
        <v>0</v>
      </c>
      <c r="S48" s="107">
        <v>0</v>
      </c>
      <c r="T48" s="107">
        <v>0</v>
      </c>
      <c r="U48" s="119">
        <f>IF(S48=0,0,ROUND(T48/S48,4))</f>
        <v>0</v>
      </c>
      <c r="V48" s="118">
        <v>0</v>
      </c>
      <c r="W48" s="147">
        <v>0</v>
      </c>
      <c r="X48" s="120">
        <v>0</v>
      </c>
      <c r="Y48" s="147">
        <v>0</v>
      </c>
      <c r="Z48" s="120">
        <v>0</v>
      </c>
      <c r="AA48" s="121">
        <f t="shared" si="7"/>
        <v>0</v>
      </c>
      <c r="AB48" s="122">
        <f>D48+H48+L48+P48+T48+W48+Y48</f>
        <v>0</v>
      </c>
      <c r="AC48" s="147">
        <v>293396</v>
      </c>
      <c r="AD48" s="123">
        <f t="shared" si="14"/>
        <v>0</v>
      </c>
      <c r="AE48" s="282"/>
      <c r="AF48" s="282"/>
    </row>
    <row r="49" spans="1:32">
      <c r="A49" s="43">
        <v>36273</v>
      </c>
      <c r="B49" s="116" t="s">
        <v>55</v>
      </c>
      <c r="C49" s="147">
        <v>4878157</v>
      </c>
      <c r="D49" s="147">
        <v>395290</v>
      </c>
      <c r="E49" s="117">
        <f t="shared" si="15"/>
        <v>8.1000000000000003E-2</v>
      </c>
      <c r="F49" s="118">
        <f t="shared" si="0"/>
        <v>1.1046908</v>
      </c>
      <c r="G49" s="147">
        <v>8551</v>
      </c>
      <c r="H49" s="147">
        <v>49509</v>
      </c>
      <c r="I49" s="119">
        <f t="shared" si="16"/>
        <v>5.7897999999999996</v>
      </c>
      <c r="J49" s="118">
        <f t="shared" ref="J49:J53" si="21">ROUND((I49/I$53)*H49/$AB49,8)</f>
        <v>0.13039144</v>
      </c>
      <c r="K49" s="147">
        <v>1677</v>
      </c>
      <c r="L49" s="147">
        <v>10967</v>
      </c>
      <c r="M49" s="119">
        <f t="shared" si="17"/>
        <v>6.5396999999999998</v>
      </c>
      <c r="N49" s="118">
        <f t="shared" si="2"/>
        <v>4.1607760000000001E-2</v>
      </c>
      <c r="O49" s="147">
        <v>1677</v>
      </c>
      <c r="P49" s="147">
        <v>10967</v>
      </c>
      <c r="Q49" s="119">
        <f t="shared" si="18"/>
        <v>6.5396999999999998</v>
      </c>
      <c r="R49" s="118">
        <f t="shared" si="3"/>
        <v>3.1819470000000002E-2</v>
      </c>
      <c r="S49" s="107">
        <v>0</v>
      </c>
      <c r="T49" s="107">
        <v>0</v>
      </c>
      <c r="U49" s="119">
        <f t="shared" si="19"/>
        <v>0</v>
      </c>
      <c r="V49" s="118">
        <f t="shared" si="4"/>
        <v>0</v>
      </c>
      <c r="W49" s="147">
        <v>0</v>
      </c>
      <c r="X49" s="120">
        <f t="shared" si="5"/>
        <v>0</v>
      </c>
      <c r="Y49" s="147">
        <v>0</v>
      </c>
      <c r="Z49" s="120">
        <f t="shared" si="6"/>
        <v>0</v>
      </c>
      <c r="AA49" s="121">
        <f t="shared" si="7"/>
        <v>1.30850947</v>
      </c>
      <c r="AB49" s="122">
        <f t="shared" si="20"/>
        <v>466733</v>
      </c>
      <c r="AC49" s="147">
        <v>2168214</v>
      </c>
      <c r="AD49" s="123">
        <f t="shared" si="14"/>
        <v>0.1771318360483152</v>
      </c>
      <c r="AE49" s="282"/>
      <c r="AF49" s="282"/>
    </row>
    <row r="50" spans="1:32">
      <c r="A50" s="43">
        <v>23582</v>
      </c>
      <c r="B50" s="116" t="s">
        <v>56</v>
      </c>
      <c r="C50" s="147">
        <v>6036735</v>
      </c>
      <c r="D50" s="147">
        <v>477623</v>
      </c>
      <c r="E50" s="117">
        <f t="shared" si="15"/>
        <v>7.9100000000000004E-2</v>
      </c>
      <c r="F50" s="118">
        <f t="shared" si="0"/>
        <v>0.88960496</v>
      </c>
      <c r="G50" s="147">
        <v>23182</v>
      </c>
      <c r="H50" s="147">
        <v>18575</v>
      </c>
      <c r="I50" s="119">
        <f t="shared" si="16"/>
        <v>0.80130000000000001</v>
      </c>
      <c r="J50" s="118">
        <f t="shared" si="21"/>
        <v>4.6208400000000002E-3</v>
      </c>
      <c r="K50" s="147">
        <v>11126</v>
      </c>
      <c r="L50" s="147">
        <v>34037</v>
      </c>
      <c r="M50" s="119">
        <f t="shared" si="17"/>
        <v>3.0592000000000001</v>
      </c>
      <c r="N50" s="118">
        <f t="shared" si="2"/>
        <v>4.1227159999999999E-2</v>
      </c>
      <c r="O50" s="147">
        <v>11126</v>
      </c>
      <c r="P50" s="147">
        <v>23179</v>
      </c>
      <c r="Q50" s="119">
        <f t="shared" si="18"/>
        <v>2.0832999999999999</v>
      </c>
      <c r="R50" s="118">
        <f t="shared" si="3"/>
        <v>1.462142E-2</v>
      </c>
      <c r="S50" s="107">
        <v>0</v>
      </c>
      <c r="T50" s="107">
        <v>0</v>
      </c>
      <c r="U50" s="119">
        <f t="shared" si="19"/>
        <v>0</v>
      </c>
      <c r="V50" s="118">
        <f t="shared" si="4"/>
        <v>0</v>
      </c>
      <c r="W50" s="147">
        <v>0</v>
      </c>
      <c r="X50" s="120">
        <f t="shared" si="5"/>
        <v>0</v>
      </c>
      <c r="Y50" s="147">
        <v>130455</v>
      </c>
      <c r="Z50" s="120">
        <f t="shared" si="6"/>
        <v>0.19076022000000001</v>
      </c>
      <c r="AA50" s="121">
        <f t="shared" si="7"/>
        <v>1.1408346</v>
      </c>
      <c r="AB50" s="122">
        <f t="shared" si="20"/>
        <v>683869</v>
      </c>
      <c r="AC50" s="147">
        <v>2811270</v>
      </c>
      <c r="AD50" s="123">
        <f t="shared" si="14"/>
        <v>0.19566289066042866</v>
      </c>
      <c r="AE50" s="282"/>
      <c r="AF50" s="282"/>
    </row>
    <row r="51" spans="1:32" ht="14.4" thickBot="1">
      <c r="A51" s="53">
        <v>23485</v>
      </c>
      <c r="B51" s="156" t="s">
        <v>57</v>
      </c>
      <c r="C51" s="147">
        <v>5736825</v>
      </c>
      <c r="D51" s="147">
        <v>514061</v>
      </c>
      <c r="E51" s="126">
        <f t="shared" si="15"/>
        <v>8.9599999999999999E-2</v>
      </c>
      <c r="F51" s="127">
        <f t="shared" si="0"/>
        <v>1.0995744599999999</v>
      </c>
      <c r="G51" s="147">
        <v>12981</v>
      </c>
      <c r="H51" s="147">
        <v>103852</v>
      </c>
      <c r="I51" s="128">
        <f t="shared" si="16"/>
        <v>8.0002999999999993</v>
      </c>
      <c r="J51" s="127">
        <f t="shared" si="21"/>
        <v>0.26150776999999997</v>
      </c>
      <c r="K51" s="157">
        <v>6290</v>
      </c>
      <c r="L51" s="158">
        <v>33361</v>
      </c>
      <c r="M51" s="128">
        <f t="shared" si="17"/>
        <v>5.3037999999999998</v>
      </c>
      <c r="N51" s="127">
        <f t="shared" si="2"/>
        <v>7.1025930000000001E-2</v>
      </c>
      <c r="O51" s="157">
        <v>4387</v>
      </c>
      <c r="P51" s="158">
        <v>23264</v>
      </c>
      <c r="Q51" s="128">
        <f t="shared" si="18"/>
        <v>5.3029000000000002</v>
      </c>
      <c r="R51" s="127">
        <f t="shared" si="3"/>
        <v>3.7871040000000002E-2</v>
      </c>
      <c r="S51" s="124">
        <v>0</v>
      </c>
      <c r="T51" s="125">
        <v>0</v>
      </c>
      <c r="U51" s="128">
        <f t="shared" si="19"/>
        <v>0</v>
      </c>
      <c r="V51" s="127">
        <f t="shared" si="4"/>
        <v>0</v>
      </c>
      <c r="W51" s="157">
        <v>0</v>
      </c>
      <c r="X51" s="129">
        <f t="shared" si="5"/>
        <v>0</v>
      </c>
      <c r="Y51" s="159">
        <v>0</v>
      </c>
      <c r="Z51" s="129">
        <f t="shared" si="6"/>
        <v>0</v>
      </c>
      <c r="AA51" s="130">
        <f t="shared" si="7"/>
        <v>1.4699791999999998</v>
      </c>
      <c r="AB51" s="131">
        <f t="shared" si="20"/>
        <v>674538</v>
      </c>
      <c r="AC51" s="157">
        <v>1990231</v>
      </c>
      <c r="AD51" s="132">
        <f t="shared" si="14"/>
        <v>0.25313188497764721</v>
      </c>
      <c r="AE51" s="282"/>
      <c r="AF51" s="282"/>
    </row>
    <row r="52" spans="1:32">
      <c r="B52" s="133" t="s">
        <v>31</v>
      </c>
      <c r="C52" s="160">
        <f>SUM(C43:C51)</f>
        <v>49784079</v>
      </c>
      <c r="D52" s="135">
        <f>SUM(D43:D51)</f>
        <v>3970196</v>
      </c>
      <c r="E52" s="138">
        <f>IF(C52=0,0,ROUND(D52/C52,4))</f>
        <v>7.9699999999999993E-2</v>
      </c>
      <c r="F52" s="59">
        <f t="shared" si="0"/>
        <v>0.73580283999999996</v>
      </c>
      <c r="G52" s="135">
        <f>SUM(G43:G51)</f>
        <v>906520</v>
      </c>
      <c r="H52" s="135">
        <f>SUM(H43:H51)</f>
        <v>757933</v>
      </c>
      <c r="I52" s="138">
        <f>IF(G52=0,0,ROUND(H52/G52,4))</f>
        <v>0.83609999999999995</v>
      </c>
      <c r="J52" s="59">
        <f t="shared" si="21"/>
        <v>1.9428609999999999E-2</v>
      </c>
      <c r="K52" s="135">
        <f>SUM(K43:K51)</f>
        <v>1518043</v>
      </c>
      <c r="L52" s="135">
        <f>SUM(L43:L51)</f>
        <v>607940</v>
      </c>
      <c r="M52" s="138">
        <f>IF(K52=0,0,ROUND(L52/K52,4))</f>
        <v>0.40050000000000002</v>
      </c>
      <c r="N52" s="59">
        <f t="shared" si="2"/>
        <v>9.5201399999999999E-3</v>
      </c>
      <c r="O52" s="135">
        <f>SUM(O43:O51)</f>
        <v>201291</v>
      </c>
      <c r="P52" s="135">
        <f>SUM(P43:P51)</f>
        <v>293120</v>
      </c>
      <c r="Q52" s="138">
        <f>IF(O52=0,0,ROUND(P52/O52,4))</f>
        <v>1.4561999999999999</v>
      </c>
      <c r="R52" s="59">
        <f t="shared" si="3"/>
        <v>1.276336E-2</v>
      </c>
      <c r="S52" s="134">
        <f>SUM(S43:S51)</f>
        <v>0</v>
      </c>
      <c r="T52" s="135">
        <f>SUM(T43:T51)</f>
        <v>0</v>
      </c>
      <c r="U52" s="138">
        <f>IF(S52=0,0,ROUND(T52/S52,4))</f>
        <v>0</v>
      </c>
      <c r="V52" s="59">
        <f t="shared" si="4"/>
        <v>0</v>
      </c>
      <c r="W52" s="135">
        <f>SUM(W43:W51)</f>
        <v>53395</v>
      </c>
      <c r="X52" s="139">
        <f>ROUND(W52/$AB52,8)</f>
        <v>7.7105100000000003E-3</v>
      </c>
      <c r="Y52" s="135">
        <f>SUM(Y43:Y51)</f>
        <v>1242375</v>
      </c>
      <c r="Z52" s="139">
        <f>ROUND(Y52/$AB52,8)</f>
        <v>0.17940539</v>
      </c>
      <c r="AA52" s="59">
        <f>F52+J52+N52+R52+V52+X52+Z52</f>
        <v>0.96463084999999993</v>
      </c>
      <c r="AB52" s="135">
        <f>D52+H52+L52+P52+T52+W52+Y52</f>
        <v>6924959</v>
      </c>
      <c r="AC52" s="135">
        <f>SUM(AC43:AC51)</f>
        <v>20273125</v>
      </c>
      <c r="AD52" s="140">
        <f t="shared" si="14"/>
        <v>0.25461201605230721</v>
      </c>
      <c r="AE52" s="282"/>
      <c r="AF52" s="282"/>
    </row>
    <row r="53" spans="1:32">
      <c r="B53" s="161" t="s">
        <v>1</v>
      </c>
      <c r="C53" s="135">
        <f>C42+C52</f>
        <v>2008328375</v>
      </c>
      <c r="D53" s="58">
        <f>D52+D42</f>
        <v>124794023</v>
      </c>
      <c r="E53" s="162">
        <f>IF(C53=0,0,ROUND(D53/C53,4))</f>
        <v>6.2100000000000002E-2</v>
      </c>
      <c r="F53" s="59">
        <f t="shared" si="0"/>
        <v>0.37271133000000001</v>
      </c>
      <c r="G53" s="135">
        <f>G42+G52</f>
        <v>9515216</v>
      </c>
      <c r="H53" s="58">
        <f>H52+H42</f>
        <v>44817236</v>
      </c>
      <c r="I53" s="162">
        <f>IF(G53=0,0,ROUND(H53/G53,4))</f>
        <v>4.7100999999999997</v>
      </c>
      <c r="J53" s="59">
        <f t="shared" si="21"/>
        <v>0.13385169999999999</v>
      </c>
      <c r="K53" s="135">
        <f>K42+K52</f>
        <v>5316445</v>
      </c>
      <c r="L53" s="58">
        <f>L52+L42</f>
        <v>19634527</v>
      </c>
      <c r="M53" s="162">
        <f>IF(K53=0,0,ROUND(L53/K53,4))</f>
        <v>3.6932</v>
      </c>
      <c r="N53" s="59">
        <f t="shared" si="2"/>
        <v>5.8640709999999999E-2</v>
      </c>
      <c r="O53" s="135">
        <f>O42+O52</f>
        <v>2767895</v>
      </c>
      <c r="P53" s="58">
        <f>P52+P42</f>
        <v>13367126</v>
      </c>
      <c r="Q53" s="162">
        <f>IF(O53=0,0,ROUND(P53/O53,4))</f>
        <v>4.8292999999999999</v>
      </c>
      <c r="R53" s="59">
        <f t="shared" si="3"/>
        <v>3.992242E-2</v>
      </c>
      <c r="S53" s="134">
        <f>S42+S52</f>
        <v>11132</v>
      </c>
      <c r="T53" s="58">
        <f>T52+T42</f>
        <v>173995</v>
      </c>
      <c r="U53" s="162">
        <f>IF(S53=0,0,ROUND(T53/S53,4))</f>
        <v>15.6302</v>
      </c>
      <c r="V53" s="59">
        <f t="shared" si="4"/>
        <v>5.1966000000000002E-4</v>
      </c>
      <c r="W53" s="58">
        <f>W52+W42</f>
        <v>18510074</v>
      </c>
      <c r="X53" s="139">
        <f>ROUND(W53/$AB53,8)</f>
        <v>5.5282409999999997E-2</v>
      </c>
      <c r="Y53" s="58">
        <f>Y52+Y42</f>
        <v>113530571</v>
      </c>
      <c r="Z53" s="139">
        <f>ROUND(Y53/$AB53,8)</f>
        <v>0.33907176999999999</v>
      </c>
      <c r="AA53" s="59">
        <f>F53+J53+N53+R53+V53+X53+Z53</f>
        <v>1</v>
      </c>
      <c r="AB53" s="58">
        <f>D53+H53+L53+P53+T53+W53+Y53</f>
        <v>334827552</v>
      </c>
      <c r="AC53" s="58">
        <f>AC42+AC52</f>
        <v>526282457</v>
      </c>
      <c r="AD53" s="163">
        <f t="shared" si="14"/>
        <v>0.38883249352638755</v>
      </c>
      <c r="AE53" s="282"/>
      <c r="AF53" s="282"/>
    </row>
    <row r="54" spans="1:32">
      <c r="B54" s="161"/>
      <c r="C54" s="135"/>
      <c r="D54" s="58"/>
      <c r="E54" s="162"/>
      <c r="F54" s="59"/>
      <c r="G54" s="135"/>
      <c r="H54" s="58"/>
      <c r="I54" s="162"/>
      <c r="J54" s="59"/>
      <c r="K54" s="135"/>
      <c r="L54" s="58"/>
      <c r="M54" s="162"/>
      <c r="N54" s="59"/>
      <c r="O54" s="135"/>
      <c r="P54" s="58"/>
      <c r="Q54" s="162"/>
      <c r="R54" s="59"/>
      <c r="S54" s="134"/>
      <c r="T54" s="58"/>
      <c r="U54" s="162"/>
      <c r="V54" s="59"/>
      <c r="W54" s="58"/>
      <c r="X54" s="139"/>
      <c r="Y54" s="58"/>
      <c r="Z54" s="139"/>
      <c r="AA54" s="59"/>
      <c r="AB54" s="58"/>
      <c r="AC54" s="58"/>
      <c r="AD54" s="163"/>
      <c r="AE54" s="282"/>
      <c r="AF54" s="282"/>
    </row>
    <row r="55" spans="1:32" ht="16.2">
      <c r="A55" s="164" t="s">
        <v>161</v>
      </c>
      <c r="B55" s="200"/>
      <c r="C55" s="135"/>
      <c r="D55" s="58"/>
      <c r="E55" s="162"/>
      <c r="F55" s="59"/>
      <c r="G55" s="135"/>
      <c r="H55" s="58"/>
      <c r="I55" s="162"/>
      <c r="J55" s="59"/>
      <c r="K55" s="135"/>
      <c r="L55" s="162"/>
      <c r="M55" s="162"/>
      <c r="N55" s="59"/>
      <c r="O55" s="135"/>
      <c r="P55" s="58"/>
      <c r="Q55" s="162"/>
      <c r="R55" s="59"/>
      <c r="S55" s="134"/>
      <c r="T55" s="58"/>
      <c r="U55" s="162"/>
      <c r="V55" s="59"/>
      <c r="W55" s="58"/>
      <c r="X55" s="139"/>
      <c r="Y55" s="58"/>
      <c r="Z55" s="139"/>
      <c r="AA55" s="59"/>
      <c r="AB55" s="58"/>
    </row>
    <row r="56" spans="1:32" ht="16.2">
      <c r="A56" s="36" t="s">
        <v>162</v>
      </c>
      <c r="E56" s="165"/>
    </row>
    <row r="57" spans="1:32" ht="16.2">
      <c r="A57" s="166" t="s">
        <v>234</v>
      </c>
    </row>
    <row r="65" s="36" customFormat="1"/>
    <row r="66" s="36" customFormat="1"/>
    <row r="67" s="36" customFormat="1"/>
    <row r="68" s="36" customFormat="1"/>
    <row r="69" s="36" customFormat="1"/>
    <row r="70" s="36" customFormat="1"/>
    <row r="71" s="36" customFormat="1"/>
    <row r="72" s="36" customFormat="1"/>
    <row r="73" s="36" customFormat="1"/>
    <row r="74" s="36" customFormat="1"/>
    <row r="75" s="36" customFormat="1"/>
    <row r="76" s="36" customFormat="1"/>
    <row r="77" s="36" customFormat="1"/>
    <row r="78" s="36" customFormat="1"/>
    <row r="79" s="36" customFormat="1"/>
    <row r="80" s="36" customFormat="1"/>
    <row r="81" s="36" customFormat="1"/>
    <row r="82" s="36" customFormat="1"/>
    <row r="83" s="36" customFormat="1"/>
    <row r="84" s="36" customFormat="1"/>
    <row r="85" s="36" customFormat="1"/>
    <row r="86" s="36" customFormat="1"/>
    <row r="87" s="36" customFormat="1"/>
    <row r="88" s="36" customFormat="1"/>
    <row r="89" s="36" customFormat="1"/>
    <row r="90" s="36" customFormat="1"/>
    <row r="91" s="36" customFormat="1"/>
    <row r="92" s="36" customFormat="1"/>
    <row r="93" s="36" customFormat="1"/>
    <row r="94" s="36" customFormat="1"/>
    <row r="95" s="36" customFormat="1"/>
    <row r="96" s="36" customFormat="1"/>
    <row r="97" s="36" customFormat="1"/>
    <row r="98" s="36" customFormat="1"/>
    <row r="99" s="36" customFormat="1"/>
    <row r="100" s="36" customFormat="1"/>
    <row r="101" s="36" customFormat="1"/>
    <row r="102" s="36" customFormat="1"/>
    <row r="103" s="36" customFormat="1"/>
    <row r="104" s="36" customFormat="1"/>
  </sheetData>
  <mergeCells count="12">
    <mergeCell ref="AD3:AD4"/>
    <mergeCell ref="A3:B4"/>
    <mergeCell ref="C3:F3"/>
    <mergeCell ref="G3:J3"/>
    <mergeCell ref="K3:N3"/>
    <mergeCell ref="O3:R3"/>
    <mergeCell ref="S3:V3"/>
    <mergeCell ref="W3:X3"/>
    <mergeCell ref="Y3:Z3"/>
    <mergeCell ref="AA3:AA4"/>
    <mergeCell ref="AB3:AB4"/>
    <mergeCell ref="AC3:AC4"/>
  </mergeCells>
  <conditionalFormatting sqref="E5:E30 E32:E37 E39">
    <cfRule type="top10" dxfId="57" priority="57" bottom="1" rank="4"/>
    <cfRule type="top10" dxfId="56" priority="58" rank="4"/>
  </conditionalFormatting>
  <conditionalFormatting sqref="E31">
    <cfRule type="top10" dxfId="55" priority="40" rank="4"/>
    <cfRule type="top10" dxfId="54" priority="39" bottom="1" rank="4"/>
  </conditionalFormatting>
  <conditionalFormatting sqref="E38">
    <cfRule type="top10" dxfId="53" priority="27" bottom="1" rank="4"/>
    <cfRule type="top10" dxfId="52" priority="28" rank="4"/>
  </conditionalFormatting>
  <conditionalFormatting sqref="E40:E41">
    <cfRule type="top10" dxfId="51" priority="11" bottom="1" rank="4"/>
    <cfRule type="top10" dxfId="50" priority="12" rank="4"/>
  </conditionalFormatting>
  <conditionalFormatting sqref="E43">
    <cfRule type="top10" dxfId="49" priority="13" bottom="1" rank="4"/>
    <cfRule type="top10" dxfId="48" priority="14" rank="4"/>
  </conditionalFormatting>
  <conditionalFormatting sqref="E44:E51">
    <cfRule type="top10" dxfId="47" priority="15" bottom="1" rank="4"/>
    <cfRule type="top10" dxfId="46" priority="16" rank="4"/>
  </conditionalFormatting>
  <conditionalFormatting sqref="I5:I30 I35:I37 I44:I51 I32:I33 I39">
    <cfRule type="top10" dxfId="45" priority="56" rank="4"/>
  </conditionalFormatting>
  <conditionalFormatting sqref="I5:I30 I43:I51 I32:I37 I39">
    <cfRule type="top10" dxfId="44" priority="48" rank="4"/>
    <cfRule type="top10" dxfId="43" priority="47" bottom="1" rank="4"/>
  </conditionalFormatting>
  <conditionalFormatting sqref="I5:I30 I44:I51 I32:I37 I39">
    <cfRule type="top10" dxfId="42" priority="55" bottom="1" rank="4"/>
  </conditionalFormatting>
  <conditionalFormatting sqref="I31">
    <cfRule type="top10" dxfId="41" priority="37" bottom="1" rank="4"/>
    <cfRule type="top10" dxfId="40" priority="29" bottom="1" rank="4"/>
    <cfRule type="top10" dxfId="39" priority="30" rank="4"/>
    <cfRule type="top10" dxfId="38" priority="38" rank="4"/>
  </conditionalFormatting>
  <conditionalFormatting sqref="I38">
    <cfRule type="top10" dxfId="37" priority="25" bottom="1" rank="4"/>
    <cfRule type="top10" dxfId="36" priority="26" rank="4"/>
    <cfRule type="top10" dxfId="35" priority="17" bottom="1" rank="4"/>
    <cfRule type="top10" dxfId="34" priority="18" rank="4"/>
  </conditionalFormatting>
  <conditionalFormatting sqref="I40:I41">
    <cfRule type="top10" dxfId="33" priority="2" rank="4"/>
    <cfRule type="top10" dxfId="32" priority="10" rank="4"/>
    <cfRule type="top10" dxfId="31" priority="1" bottom="1" rank="4"/>
    <cfRule type="top10" dxfId="30" priority="9" bottom="1" rank="4"/>
  </conditionalFormatting>
  <conditionalFormatting sqref="M5:M30 M35:M37 M44:M51 M32:M33 M39">
    <cfRule type="top10" dxfId="29" priority="54" rank="4"/>
  </conditionalFormatting>
  <conditionalFormatting sqref="M5:M30 M44:M51 M32:M37 M39">
    <cfRule type="top10" dxfId="28" priority="53" bottom="1" rank="4"/>
  </conditionalFormatting>
  <conditionalFormatting sqref="M31">
    <cfRule type="top10" dxfId="27" priority="35" bottom="1" rank="4"/>
    <cfRule type="top10" dxfId="26" priority="36" rank="4"/>
  </conditionalFormatting>
  <conditionalFormatting sqref="M38">
    <cfRule type="top10" dxfId="25" priority="23" bottom="1" rank="4"/>
    <cfRule type="top10" dxfId="24" priority="24" rank="4"/>
  </conditionalFormatting>
  <conditionalFormatting sqref="M40:M41">
    <cfRule type="top10" dxfId="23" priority="8" rank="4"/>
    <cfRule type="top10" dxfId="22" priority="7" bottom="1" rank="4"/>
  </conditionalFormatting>
  <conditionalFormatting sqref="M43">
    <cfRule type="top10" dxfId="21" priority="45" bottom="1" rank="4"/>
    <cfRule type="top10" dxfId="20" priority="46" rank="4"/>
  </conditionalFormatting>
  <conditionalFormatting sqref="Q5:Q30 Q35:Q37 Q44:Q51 Q32:Q33 Q39">
    <cfRule type="top10" dxfId="19" priority="52" rank="4"/>
  </conditionalFormatting>
  <conditionalFormatting sqref="Q5:Q30 Q44:Q51 Q32:Q37 Q39">
    <cfRule type="top10" dxfId="18" priority="51" bottom="1" rank="4"/>
  </conditionalFormatting>
  <conditionalFormatting sqref="Q31">
    <cfRule type="top10" dxfId="17" priority="33" bottom="1" rank="4"/>
    <cfRule type="top10" dxfId="16" priority="34" rank="4"/>
  </conditionalFormatting>
  <conditionalFormatting sqref="Q38">
    <cfRule type="top10" dxfId="15" priority="22" rank="4"/>
    <cfRule type="top10" dxfId="14" priority="21" bottom="1" rank="4"/>
  </conditionalFormatting>
  <conditionalFormatting sqref="Q40:Q41">
    <cfRule type="top10" dxfId="13" priority="6" rank="4"/>
    <cfRule type="top10" dxfId="12" priority="5" bottom="1" rank="4"/>
  </conditionalFormatting>
  <conditionalFormatting sqref="Q43">
    <cfRule type="top10" dxfId="11" priority="43" bottom="1" rank="4"/>
    <cfRule type="top10" dxfId="10" priority="44" rank="4"/>
  </conditionalFormatting>
  <conditionalFormatting sqref="U5:U30 U35:U37 U44:U51 U32:U33 U39">
    <cfRule type="top10" dxfId="9" priority="50" rank="4"/>
  </conditionalFormatting>
  <conditionalFormatting sqref="U5:U30 U44:U51 U32:U37 U39">
    <cfRule type="top10" dxfId="8" priority="49" bottom="1" rank="4"/>
  </conditionalFormatting>
  <conditionalFormatting sqref="U31">
    <cfRule type="top10" dxfId="7" priority="31" bottom="1" rank="4"/>
    <cfRule type="top10" dxfId="6" priority="32" rank="4"/>
  </conditionalFormatting>
  <conditionalFormatting sqref="U38">
    <cfRule type="top10" dxfId="5" priority="20" rank="4"/>
    <cfRule type="top10" dxfId="4" priority="19" bottom="1" rank="4"/>
  </conditionalFormatting>
  <conditionalFormatting sqref="U40:U41">
    <cfRule type="top10" dxfId="3" priority="3" bottom="1" rank="4"/>
    <cfRule type="top10" dxfId="2" priority="4" rank="4"/>
  </conditionalFormatting>
  <conditionalFormatting sqref="U43">
    <cfRule type="top10" dxfId="1" priority="41" bottom="1" rank="4"/>
    <cfRule type="top10" dxfId="0" priority="42" rank="4"/>
  </conditionalFormatting>
  <pageMargins left="0.17" right="0.18" top="0.18" bottom="0.49" header="0.18" footer="0.18"/>
  <pageSetup scale="76" fitToWidth="0" orientation="landscape" r:id="rId1"/>
  <headerFooter>
    <oddFooter>Prepared by Paul Turcotte &amp;D&amp;RPage &amp;P</oddFooter>
  </headerFooter>
  <colBreaks count="1" manualBreakCount="1"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H17"/>
  <sheetViews>
    <sheetView showGridLines="0" zoomScaleNormal="100" zoomScaleSheetLayoutView="75" workbookViewId="0">
      <selection activeCell="A9" sqref="A9:E9"/>
    </sheetView>
  </sheetViews>
  <sheetFormatPr defaultColWidth="9.109375" defaultRowHeight="13.8"/>
  <cols>
    <col min="1" max="1" width="10.44140625" style="284" customWidth="1"/>
    <col min="2" max="2" width="29" style="284" customWidth="1"/>
    <col min="3" max="3" width="31.109375" style="284" customWidth="1"/>
    <col min="4" max="5" width="15.88671875" style="284" customWidth="1"/>
    <col min="6" max="10" width="10.109375" style="284" customWidth="1"/>
    <col min="11" max="16384" width="9.109375" style="284"/>
  </cols>
  <sheetData>
    <row r="1" spans="1:8">
      <c r="A1" s="283" t="str">
        <f>'Allocation Summary'!A1</f>
        <v>State Colleges Basis for Legislative Appropriations - 2024-2025</v>
      </c>
    </row>
    <row r="2" spans="1:8" ht="14.4" thickBot="1">
      <c r="A2" s="283" t="s">
        <v>21</v>
      </c>
    </row>
    <row r="3" spans="1:8" ht="28.2" thickBot="1">
      <c r="A3" s="285" t="s">
        <v>2</v>
      </c>
      <c r="B3" s="286" t="s">
        <v>0</v>
      </c>
      <c r="C3" s="287" t="s">
        <v>236</v>
      </c>
      <c r="D3" s="287" t="s">
        <v>51</v>
      </c>
      <c r="E3" s="287" t="s">
        <v>50</v>
      </c>
    </row>
    <row r="4" spans="1:8">
      <c r="A4" s="288" t="s">
        <v>58</v>
      </c>
      <c r="B4" s="289" t="s">
        <v>55</v>
      </c>
      <c r="C4" s="290">
        <v>4788</v>
      </c>
      <c r="D4" s="291">
        <f>1316566.5*IF((10000-C4)/5000&gt;1,1,IF((10000-C4)/5000&gt;0,(10000-C4)/5000,0))</f>
        <v>1316566.5</v>
      </c>
      <c r="E4" s="292">
        <f>D4*2</f>
        <v>2633133</v>
      </c>
      <c r="F4" s="293"/>
      <c r="G4" s="294"/>
      <c r="H4" s="295"/>
    </row>
    <row r="5" spans="1:8">
      <c r="A5" s="296" t="s">
        <v>59</v>
      </c>
      <c r="B5" s="297" t="s">
        <v>56</v>
      </c>
      <c r="C5" s="298">
        <v>2629</v>
      </c>
      <c r="D5" s="291">
        <f t="shared" ref="D5:D6" si="0">1316566.5*IF((10000-C5)/5000&gt;1,1,IF((10000-C5)/5000&gt;0,(10000-C5)/5000,0))</f>
        <v>1316566.5</v>
      </c>
      <c r="E5" s="299">
        <f>D5*2</f>
        <v>2633133</v>
      </c>
      <c r="F5" s="293"/>
      <c r="G5" s="294"/>
      <c r="H5" s="295"/>
    </row>
    <row r="6" spans="1:8" ht="14.4" thickBot="1">
      <c r="A6" s="300" t="s">
        <v>60</v>
      </c>
      <c r="B6" s="301" t="s">
        <v>57</v>
      </c>
      <c r="C6" s="302">
        <v>2698</v>
      </c>
      <c r="D6" s="291">
        <f t="shared" si="0"/>
        <v>1316566.5</v>
      </c>
      <c r="E6" s="303">
        <f>D6*2</f>
        <v>2633133</v>
      </c>
      <c r="F6" s="293"/>
      <c r="G6" s="294"/>
      <c r="H6" s="295"/>
    </row>
    <row r="7" spans="1:8">
      <c r="B7" s="304" t="s">
        <v>1</v>
      </c>
      <c r="C7" s="305">
        <f>SUM(C4:C6)</f>
        <v>10115</v>
      </c>
      <c r="D7" s="305">
        <f>SUM(D4:D6)</f>
        <v>3949699.5</v>
      </c>
      <c r="E7" s="305">
        <f>SUM(E4:E6)</f>
        <v>7899399</v>
      </c>
    </row>
    <row r="8" spans="1:8">
      <c r="B8" s="304"/>
      <c r="C8" s="305"/>
      <c r="D8" s="305"/>
      <c r="E8" s="305"/>
    </row>
    <row r="9" spans="1:8" ht="101.4" customHeight="1">
      <c r="A9" s="347" t="s">
        <v>281</v>
      </c>
      <c r="B9" s="347"/>
      <c r="C9" s="347"/>
      <c r="D9" s="347"/>
      <c r="E9" s="348"/>
    </row>
    <row r="17" spans="7:7">
      <c r="G17" s="306"/>
    </row>
  </sheetData>
  <mergeCells count="1">
    <mergeCell ref="A9:E9"/>
  </mergeCells>
  <pageMargins left="0.34" right="0.26" top="0.49" bottom="0.37" header="0.33" footer="0.16"/>
  <pageSetup scale="91" orientation="portrait" r:id="rId1"/>
  <headerFooter alignWithMargins="0">
    <oddFooter>Prepared by Paul Turcotte &amp;D&amp;RPage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J16"/>
  <sheetViews>
    <sheetView zoomScaleNormal="100" workbookViewId="0">
      <selection activeCell="A10" sqref="A10"/>
    </sheetView>
  </sheetViews>
  <sheetFormatPr defaultColWidth="9.109375" defaultRowHeight="13.8"/>
  <cols>
    <col min="1" max="1" width="10.88671875" style="168" customWidth="1"/>
    <col min="2" max="2" width="17.33203125" style="168" bestFit="1" customWidth="1"/>
    <col min="3" max="5" width="9.109375" style="168" bestFit="1" customWidth="1"/>
    <col min="6" max="6" width="11.5546875" style="168" bestFit="1" customWidth="1"/>
    <col min="7" max="7" width="10.109375" style="168" bestFit="1" customWidth="1"/>
    <col min="8" max="9" width="7.88671875" style="168" bestFit="1" customWidth="1"/>
    <col min="10" max="10" width="8" style="168" bestFit="1" customWidth="1"/>
    <col min="11" max="11" width="11.5546875" style="168" bestFit="1" customWidth="1"/>
    <col min="12" max="12" width="10.109375" style="168" bestFit="1" customWidth="1"/>
    <col min="13" max="15" width="7.88671875" style="168" bestFit="1" customWidth="1"/>
    <col min="16" max="16" width="11.5546875" style="168" bestFit="1" customWidth="1"/>
    <col min="17" max="17" width="10.109375" style="168" bestFit="1" customWidth="1"/>
    <col min="18" max="18" width="3.6640625" style="168" customWidth="1"/>
    <col min="19" max="21" width="9.6640625" style="168" bestFit="1" customWidth="1"/>
    <col min="22" max="22" width="10.88671875" style="168" bestFit="1" customWidth="1"/>
    <col min="23" max="23" width="10.33203125" style="168" bestFit="1" customWidth="1"/>
    <col min="24" max="24" width="4.33203125" style="168" customWidth="1"/>
    <col min="25" max="36" width="13.109375" style="168" customWidth="1"/>
    <col min="37" max="16384" width="9.109375" style="168"/>
  </cols>
  <sheetData>
    <row r="1" spans="1:36">
      <c r="A1" s="349" t="str">
        <f>'Allocation Summary'!A1</f>
        <v>State Colleges Basis for Legislative Appropriations - 2024-2025</v>
      </c>
      <c r="B1" s="349"/>
      <c r="C1" s="349"/>
      <c r="D1" s="349"/>
      <c r="E1" s="349"/>
      <c r="F1" s="349"/>
      <c r="G1" s="349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</row>
    <row r="2" spans="1:36" ht="14.4" thickBot="1">
      <c r="A2" s="350" t="s">
        <v>131</v>
      </c>
      <c r="B2" s="350"/>
      <c r="C2" s="350"/>
      <c r="D2" s="350"/>
      <c r="E2" s="350"/>
      <c r="F2" s="350"/>
      <c r="G2" s="350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</row>
    <row r="3" spans="1:36" ht="16.2">
      <c r="A3" s="351" t="s">
        <v>2</v>
      </c>
      <c r="B3" s="355" t="s">
        <v>0</v>
      </c>
      <c r="C3" s="351" t="s">
        <v>132</v>
      </c>
      <c r="D3" s="352" t="s">
        <v>132</v>
      </c>
      <c r="E3" s="352"/>
      <c r="F3" s="352"/>
      <c r="G3" s="353"/>
      <c r="H3" s="357" t="s">
        <v>133</v>
      </c>
      <c r="I3" s="352"/>
      <c r="J3" s="352"/>
      <c r="K3" s="352"/>
      <c r="L3" s="353"/>
      <c r="M3" s="351" t="s">
        <v>163</v>
      </c>
      <c r="N3" s="352"/>
      <c r="O3" s="352"/>
      <c r="P3" s="352"/>
      <c r="Q3" s="353"/>
      <c r="R3" s="167"/>
      <c r="S3" s="351" t="s">
        <v>134</v>
      </c>
      <c r="T3" s="352"/>
      <c r="U3" s="352"/>
      <c r="V3" s="352"/>
      <c r="W3" s="353"/>
      <c r="X3" s="167"/>
      <c r="Y3" s="351" t="s">
        <v>164</v>
      </c>
      <c r="Z3" s="352"/>
      <c r="AA3" s="352"/>
      <c r="AB3" s="353"/>
      <c r="AC3" s="351" t="s">
        <v>165</v>
      </c>
      <c r="AD3" s="352"/>
      <c r="AE3" s="352"/>
      <c r="AF3" s="353"/>
      <c r="AG3" s="351" t="s">
        <v>166</v>
      </c>
      <c r="AH3" s="352"/>
      <c r="AI3" s="352"/>
      <c r="AJ3" s="353"/>
    </row>
    <row r="4" spans="1:36" ht="68.25" customHeight="1">
      <c r="A4" s="354"/>
      <c r="B4" s="356"/>
      <c r="C4" s="169" t="s">
        <v>143</v>
      </c>
      <c r="D4" s="169" t="s">
        <v>167</v>
      </c>
      <c r="E4" s="169" t="s">
        <v>168</v>
      </c>
      <c r="F4" s="169" t="s">
        <v>169</v>
      </c>
      <c r="G4" s="170" t="s">
        <v>135</v>
      </c>
      <c r="H4" s="171" t="str">
        <f>C4</f>
        <v>Fall 2020</v>
      </c>
      <c r="I4" s="169" t="str">
        <f>D4</f>
        <v>Fall 2021</v>
      </c>
      <c r="J4" s="169" t="str">
        <f>E4</f>
        <v>Fall 2022</v>
      </c>
      <c r="K4" s="169" t="str">
        <f>F4</f>
        <v>Difference Fall 2022 less Fall 2020</v>
      </c>
      <c r="L4" s="170" t="s">
        <v>135</v>
      </c>
      <c r="M4" s="172" t="str">
        <f>C4</f>
        <v>Fall 2020</v>
      </c>
      <c r="N4" s="169" t="str">
        <f>D4</f>
        <v>Fall 2021</v>
      </c>
      <c r="O4" s="169" t="str">
        <f>E4</f>
        <v>Fall 2022</v>
      </c>
      <c r="P4" s="169" t="str">
        <f>F4</f>
        <v>Difference Fall 2022 less Fall 2020</v>
      </c>
      <c r="Q4" s="170" t="s">
        <v>135</v>
      </c>
      <c r="R4" s="167"/>
      <c r="S4" s="172" t="s">
        <v>143</v>
      </c>
      <c r="T4" s="169" t="s">
        <v>167</v>
      </c>
      <c r="U4" s="169" t="s">
        <v>168</v>
      </c>
      <c r="V4" s="169" t="s">
        <v>170</v>
      </c>
      <c r="W4" s="170" t="s">
        <v>135</v>
      </c>
      <c r="X4" s="167"/>
      <c r="Y4" s="172" t="s">
        <v>144</v>
      </c>
      <c r="Z4" s="169" t="s">
        <v>171</v>
      </c>
      <c r="AA4" s="173" t="s">
        <v>19</v>
      </c>
      <c r="AB4" s="170" t="s">
        <v>135</v>
      </c>
      <c r="AC4" s="172" t="str">
        <f>Y4</f>
        <v>2022-2023 Biennium</v>
      </c>
      <c r="AD4" s="169" t="str">
        <f>Z4</f>
        <v>2024-2025 Biennium</v>
      </c>
      <c r="AE4" s="173" t="s">
        <v>19</v>
      </c>
      <c r="AF4" s="170" t="s">
        <v>135</v>
      </c>
      <c r="AG4" s="172" t="str">
        <f>Y4</f>
        <v>2022-2023 Biennium</v>
      </c>
      <c r="AH4" s="169" t="str">
        <f>Z4</f>
        <v>2024-2025 Biennium</v>
      </c>
      <c r="AI4" s="173" t="s">
        <v>19</v>
      </c>
      <c r="AJ4" s="170" t="s">
        <v>135</v>
      </c>
    </row>
    <row r="5" spans="1:36">
      <c r="A5" s="174">
        <v>36273</v>
      </c>
      <c r="B5" s="212" t="s">
        <v>55</v>
      </c>
      <c r="C5" s="175">
        <v>38512</v>
      </c>
      <c r="D5" s="176">
        <v>38106</v>
      </c>
      <c r="E5" s="176">
        <v>39535</v>
      </c>
      <c r="F5" s="177">
        <f>E5-C5</f>
        <v>1023</v>
      </c>
      <c r="G5" s="178">
        <f>IFERROR(F5/C5,0)</f>
        <v>2.6563149148317408E-2</v>
      </c>
      <c r="H5" s="176">
        <v>4402</v>
      </c>
      <c r="I5" s="176">
        <v>4470</v>
      </c>
      <c r="J5" s="176">
        <v>4788</v>
      </c>
      <c r="K5" s="179">
        <f>J5-H5</f>
        <v>386</v>
      </c>
      <c r="L5" s="180">
        <f t="shared" ref="L5:L8" si="0">IFERROR(ROUND(K5/H5,3),"")</f>
        <v>8.7999999999999995E-2</v>
      </c>
      <c r="M5" s="181">
        <v>2717</v>
      </c>
      <c r="N5" s="182">
        <v>2792</v>
      </c>
      <c r="O5" s="182">
        <f>E5/15</f>
        <v>2635.6666666666665</v>
      </c>
      <c r="P5" s="179">
        <f>O5-M5</f>
        <v>-81.333333333333485</v>
      </c>
      <c r="Q5" s="178">
        <f t="shared" ref="Q5:Q8" si="1">IFERROR(ROUND(P5/M5,3),"")</f>
        <v>-0.03</v>
      </c>
      <c r="R5" s="167"/>
      <c r="S5" s="190">
        <v>278016.95746524649</v>
      </c>
      <c r="T5" s="183">
        <v>278050.40047213499</v>
      </c>
      <c r="U5" s="183">
        <v>297872</v>
      </c>
      <c r="V5" s="184">
        <f>U5-S5</f>
        <v>19855.042534753506</v>
      </c>
      <c r="W5" s="185">
        <f>IFERROR(ROUND(V5/S5,3),"")</f>
        <v>7.0999999999999994E-2</v>
      </c>
      <c r="X5" s="167"/>
      <c r="Y5" s="186">
        <f>AC5+AG5</f>
        <v>1879857</v>
      </c>
      <c r="Z5" s="187">
        <f>AD5+AH5</f>
        <v>2160262</v>
      </c>
      <c r="AA5" s="179">
        <f>Z5-Y5</f>
        <v>280405</v>
      </c>
      <c r="AB5" s="178">
        <f>IFERROR(ROUND(AA5/Y5,3),"")</f>
        <v>0.14899999999999999</v>
      </c>
      <c r="AC5" s="183">
        <v>721296</v>
      </c>
      <c r="AD5" s="188">
        <f>SUMIF(Hours!$A:$A,Comparison!$A5,Hours!L:L)</f>
        <v>723568</v>
      </c>
      <c r="AE5" s="179">
        <f t="shared" ref="AE5" si="2">AD5-AC5</f>
        <v>2272</v>
      </c>
      <c r="AF5" s="178">
        <f t="shared" ref="AF5:AF8" si="3">IFERROR(ROUND(AE5/AC5,3),"")</f>
        <v>3.0000000000000001E-3</v>
      </c>
      <c r="AG5" s="181">
        <v>1158561</v>
      </c>
      <c r="AH5" s="188">
        <f>SUMIF(Hours!$A:$A,Comparison!$A5,Hours!M:M)</f>
        <v>1436694</v>
      </c>
      <c r="AI5" s="179">
        <f t="shared" ref="AI5" si="4">AH5-AG5</f>
        <v>278133</v>
      </c>
      <c r="AJ5" s="178">
        <f t="shared" ref="AJ5:AJ8" si="5">IFERROR(ROUND(AI5/AG5,3),"")</f>
        <v>0.24</v>
      </c>
    </row>
    <row r="6" spans="1:36">
      <c r="A6" s="174">
        <v>23582</v>
      </c>
      <c r="B6" s="212" t="s">
        <v>56</v>
      </c>
      <c r="C6" s="175">
        <v>20531</v>
      </c>
      <c r="D6" s="176">
        <v>20219</v>
      </c>
      <c r="E6" s="176">
        <v>21985</v>
      </c>
      <c r="F6" s="177">
        <f>E6-C6</f>
        <v>1454</v>
      </c>
      <c r="G6" s="185">
        <f>IFERROR(F6/C6,0)</f>
        <v>7.0819736008962061E-2</v>
      </c>
      <c r="H6" s="176">
        <v>2382</v>
      </c>
      <c r="I6" s="176">
        <v>2353</v>
      </c>
      <c r="J6" s="176">
        <v>2629</v>
      </c>
      <c r="K6" s="179">
        <f t="shared" ref="K6:K7" si="6">J6-H6</f>
        <v>247</v>
      </c>
      <c r="L6" s="189">
        <f t="shared" si="0"/>
        <v>0.104</v>
      </c>
      <c r="M6" s="190">
        <v>1375</v>
      </c>
      <c r="N6" s="176">
        <v>1379</v>
      </c>
      <c r="O6" s="182">
        <f t="shared" ref="O6:O7" si="7">E6/15</f>
        <v>1465.6666666666667</v>
      </c>
      <c r="P6" s="179">
        <f t="shared" ref="P6:P7" si="8">O6-M6</f>
        <v>90.666666666666742</v>
      </c>
      <c r="Q6" s="185">
        <f t="shared" si="1"/>
        <v>6.6000000000000003E-2</v>
      </c>
      <c r="R6" s="167"/>
      <c r="S6" s="190">
        <v>161848.847155289</v>
      </c>
      <c r="T6" s="183">
        <v>154032.47811114922</v>
      </c>
      <c r="U6" s="183">
        <v>183356</v>
      </c>
      <c r="V6" s="184">
        <f t="shared" ref="V6:V7" si="9">U6-S6</f>
        <v>21507.152844711003</v>
      </c>
      <c r="W6" s="185">
        <f t="shared" ref="W6:W7" si="10">IFERROR(ROUND(V6/S6,3),"")</f>
        <v>0.13300000000000001</v>
      </c>
      <c r="X6" s="167"/>
      <c r="Y6" s="186">
        <f t="shared" ref="Y6:Y7" si="11">AC6+AG6</f>
        <v>1039065</v>
      </c>
      <c r="Z6" s="191">
        <f>AD6+AH6</f>
        <v>1106758</v>
      </c>
      <c r="AA6" s="184">
        <f>Z6-Y6</f>
        <v>67693</v>
      </c>
      <c r="AB6" s="185">
        <f>IFERROR(ROUND(AA6/Y6,3),"")</f>
        <v>6.5000000000000002E-2</v>
      </c>
      <c r="AC6" s="183">
        <v>572384</v>
      </c>
      <c r="AD6" s="188">
        <f>SUMIF(Hours!$A:$A,Comparison!$A6,Hours!L:L)</f>
        <v>510832</v>
      </c>
      <c r="AE6" s="184">
        <f>AD6-AC6</f>
        <v>-61552</v>
      </c>
      <c r="AF6" s="185">
        <f t="shared" si="3"/>
        <v>-0.108</v>
      </c>
      <c r="AG6" s="190">
        <v>466681</v>
      </c>
      <c r="AH6" s="188">
        <f>SUMIF(Hours!$A:$A,Comparison!$A6,Hours!M:M)</f>
        <v>595926</v>
      </c>
      <c r="AI6" s="184">
        <f>AH6-AG6</f>
        <v>129245</v>
      </c>
      <c r="AJ6" s="185">
        <f t="shared" si="5"/>
        <v>0.27700000000000002</v>
      </c>
    </row>
    <row r="7" spans="1:36">
      <c r="A7" s="174">
        <v>23485</v>
      </c>
      <c r="B7" s="212" t="s">
        <v>57</v>
      </c>
      <c r="C7" s="175">
        <v>22662</v>
      </c>
      <c r="D7" s="176">
        <v>20934</v>
      </c>
      <c r="E7" s="176">
        <v>21896</v>
      </c>
      <c r="F7" s="177">
        <f>E7-C7</f>
        <v>-766</v>
      </c>
      <c r="G7" s="185">
        <f t="shared" ref="G7:G8" si="12">IFERROR(F7/C7,0)</f>
        <v>-3.3801076692260172E-2</v>
      </c>
      <c r="H7" s="176">
        <v>2566</v>
      </c>
      <c r="I7" s="176">
        <v>2524</v>
      </c>
      <c r="J7" s="176">
        <v>2698</v>
      </c>
      <c r="K7" s="179">
        <f t="shared" si="6"/>
        <v>132</v>
      </c>
      <c r="L7" s="189">
        <f t="shared" si="0"/>
        <v>5.0999999999999997E-2</v>
      </c>
      <c r="M7" s="190">
        <v>1593</v>
      </c>
      <c r="N7" s="176">
        <v>1473</v>
      </c>
      <c r="O7" s="182">
        <f t="shared" si="7"/>
        <v>1459.7333333333333</v>
      </c>
      <c r="P7" s="179">
        <f t="shared" si="8"/>
        <v>-133.26666666666665</v>
      </c>
      <c r="Q7" s="185">
        <f t="shared" si="1"/>
        <v>-8.4000000000000005E-2</v>
      </c>
      <c r="R7" s="167"/>
      <c r="S7" s="190">
        <v>211529.47749576991</v>
      </c>
      <c r="T7" s="183">
        <v>199090.07435769841</v>
      </c>
      <c r="U7" s="183">
        <v>209483</v>
      </c>
      <c r="V7" s="184">
        <f t="shared" si="9"/>
        <v>-2046.4774957699119</v>
      </c>
      <c r="W7" s="185">
        <f t="shared" si="10"/>
        <v>-0.01</v>
      </c>
      <c r="X7" s="167"/>
      <c r="Y7" s="186">
        <f t="shared" si="11"/>
        <v>1140424</v>
      </c>
      <c r="Z7" s="191">
        <f>AD7+AH7</f>
        <v>1213647</v>
      </c>
      <c r="AA7" s="184">
        <f>Z7-Y7</f>
        <v>73223</v>
      </c>
      <c r="AB7" s="185">
        <f>IFERROR(ROUND(AA7/Y7,3),"")</f>
        <v>6.4000000000000001E-2</v>
      </c>
      <c r="AC7" s="183">
        <v>597280</v>
      </c>
      <c r="AD7" s="188">
        <f>SUMIF(Hours!$A:$A,Comparison!$A7,Hours!L:L)</f>
        <v>547280</v>
      </c>
      <c r="AE7" s="184">
        <f>AD7-AC7</f>
        <v>-50000</v>
      </c>
      <c r="AF7" s="185">
        <f t="shared" si="3"/>
        <v>-8.4000000000000005E-2</v>
      </c>
      <c r="AG7" s="190">
        <v>543144</v>
      </c>
      <c r="AH7" s="188">
        <f>SUMIF(Hours!$A:$A,Comparison!$A7,Hours!M:M)</f>
        <v>666367</v>
      </c>
      <c r="AI7" s="184">
        <f>AH7-AG7</f>
        <v>123223</v>
      </c>
      <c r="AJ7" s="185">
        <f t="shared" si="5"/>
        <v>0.22700000000000001</v>
      </c>
    </row>
    <row r="8" spans="1:36" ht="14.4" thickBot="1">
      <c r="A8" s="192"/>
      <c r="B8" s="193" t="s">
        <v>136</v>
      </c>
      <c r="C8" s="194">
        <f>SUM(C5:C7)</f>
        <v>81705</v>
      </c>
      <c r="D8" s="195">
        <f>SUM(D5:D7)</f>
        <v>79259</v>
      </c>
      <c r="E8" s="196">
        <f>SUM(E5:E7)</f>
        <v>83416</v>
      </c>
      <c r="F8" s="196">
        <f>SUM(F5:F7)</f>
        <v>1711</v>
      </c>
      <c r="G8" s="197">
        <f t="shared" si="12"/>
        <v>2.0941190869591824E-2</v>
      </c>
      <c r="H8" s="195">
        <f>SUM(H5:H7)</f>
        <v>9350</v>
      </c>
      <c r="I8" s="196">
        <f>SUM(I5:I7)</f>
        <v>9347</v>
      </c>
      <c r="J8" s="196">
        <f>SUM(J5:J7)</f>
        <v>10115</v>
      </c>
      <c r="K8" s="196">
        <f>SUM(K5:K7)</f>
        <v>765</v>
      </c>
      <c r="L8" s="198">
        <f t="shared" si="0"/>
        <v>8.2000000000000003E-2</v>
      </c>
      <c r="M8" s="195">
        <f>SUM(M5:M7)</f>
        <v>5685</v>
      </c>
      <c r="N8" s="196">
        <f>SUM(N5:N7)</f>
        <v>5644</v>
      </c>
      <c r="O8" s="196">
        <f>SUM(O5:O7)</f>
        <v>5561.0666666666666</v>
      </c>
      <c r="P8" s="196">
        <f>SUM(P5:P7)</f>
        <v>-123.93333333333339</v>
      </c>
      <c r="Q8" s="197">
        <f t="shared" si="1"/>
        <v>-2.1999999999999999E-2</v>
      </c>
      <c r="R8" s="167"/>
      <c r="S8" s="194">
        <f>SUM(S5:S7)</f>
        <v>651395.28211630532</v>
      </c>
      <c r="T8" s="196">
        <f>SUM(T5:T7)</f>
        <v>631172.95294098265</v>
      </c>
      <c r="U8" s="196">
        <f>SUM(U5:U7)</f>
        <v>690711</v>
      </c>
      <c r="V8" s="196">
        <f>SUM(V5:V7)</f>
        <v>39315.717883694597</v>
      </c>
      <c r="W8" s="197">
        <f>IFERROR(ROUND(V8/T8,3),"")</f>
        <v>6.2E-2</v>
      </c>
      <c r="X8" s="167"/>
      <c r="Y8" s="194">
        <f>SUM(Y5:Y7)</f>
        <v>4059346</v>
      </c>
      <c r="Z8" s="196">
        <f>SUM(Z5:Z7)</f>
        <v>4480667</v>
      </c>
      <c r="AA8" s="196">
        <f>SUM(AA5:AA7)</f>
        <v>421321</v>
      </c>
      <c r="AB8" s="197">
        <f t="shared" ref="AB8" si="13">IFERROR(ROUND(AA8/Y8,3),"")</f>
        <v>0.104</v>
      </c>
      <c r="AC8" s="194">
        <f>SUM(AC5:AC7)</f>
        <v>1890960</v>
      </c>
      <c r="AD8" s="196">
        <f>SUM(AD5:AD7)</f>
        <v>1781680</v>
      </c>
      <c r="AE8" s="196">
        <f>SUM(AE5:AE7)</f>
        <v>-109280</v>
      </c>
      <c r="AF8" s="197">
        <f t="shared" si="3"/>
        <v>-5.8000000000000003E-2</v>
      </c>
      <c r="AG8" s="194">
        <f>SUM(AG5:AG7)</f>
        <v>2168386</v>
      </c>
      <c r="AH8" s="196">
        <f>SUM(AH5:AH7)</f>
        <v>2698987</v>
      </c>
      <c r="AI8" s="196">
        <f>SUM(AI5:AI7)</f>
        <v>530601</v>
      </c>
      <c r="AJ8" s="197">
        <f t="shared" si="5"/>
        <v>0.245</v>
      </c>
    </row>
    <row r="9" spans="1:36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</row>
    <row r="10" spans="1:36">
      <c r="A10" s="167" t="s">
        <v>172</v>
      </c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</row>
    <row r="11" spans="1:36" ht="16.2">
      <c r="A11" s="167" t="s">
        <v>173</v>
      </c>
    </row>
    <row r="12" spans="1:36">
      <c r="A12" s="199"/>
    </row>
    <row r="16" spans="1:36">
      <c r="F16" s="168" t="s">
        <v>137</v>
      </c>
    </row>
  </sheetData>
  <mergeCells count="11">
    <mergeCell ref="A1:G1"/>
    <mergeCell ref="A2:G2"/>
    <mergeCell ref="Y3:AB3"/>
    <mergeCell ref="AC3:AF3"/>
    <mergeCell ref="AG3:AJ3"/>
    <mergeCell ref="A3:A4"/>
    <mergeCell ref="B3:B4"/>
    <mergeCell ref="C3:G3"/>
    <mergeCell ref="H3:L3"/>
    <mergeCell ref="M3:Q3"/>
    <mergeCell ref="S3:W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L127"/>
  <sheetViews>
    <sheetView workbookViewId="0">
      <selection sqref="A1:L1"/>
    </sheetView>
  </sheetViews>
  <sheetFormatPr defaultColWidth="11.5546875" defaultRowHeight="13.8"/>
  <cols>
    <col min="1" max="1" width="8.6640625" style="307" bestFit="1" customWidth="1"/>
    <col min="2" max="2" width="6.6640625" style="307" bestFit="1" customWidth="1"/>
    <col min="3" max="3" width="66.6640625" style="307" bestFit="1" customWidth="1"/>
    <col min="4" max="4" width="11.6640625" style="307" bestFit="1" customWidth="1"/>
    <col min="5" max="5" width="15.6640625" style="307" bestFit="1" customWidth="1"/>
    <col min="6" max="6" width="9.6640625" style="307" bestFit="1" customWidth="1"/>
    <col min="7" max="7" width="13.6640625" style="307" bestFit="1" customWidth="1"/>
    <col min="8" max="8" width="10.6640625" style="307" bestFit="1" customWidth="1"/>
    <col min="9" max="9" width="14.6640625" style="307" bestFit="1" customWidth="1"/>
    <col min="10" max="10" width="9.6640625" style="307" bestFit="1" customWidth="1"/>
    <col min="11" max="11" width="12.6640625" style="307" bestFit="1" customWidth="1"/>
    <col min="12" max="12" width="10.6640625" style="307" bestFit="1" customWidth="1"/>
    <col min="13" max="13" width="11.5546875" style="307"/>
    <col min="14" max="14" width="8.6640625" style="307" bestFit="1" customWidth="1"/>
    <col min="15" max="15" width="6.6640625" style="307" bestFit="1" customWidth="1"/>
    <col min="16" max="16" width="66.6640625" style="307" bestFit="1" customWidth="1"/>
    <col min="17" max="17" width="11.6640625" style="307" bestFit="1" customWidth="1"/>
    <col min="18" max="18" width="15.6640625" style="307" bestFit="1" customWidth="1"/>
    <col min="19" max="19" width="9.6640625" style="307" bestFit="1" customWidth="1"/>
    <col min="20" max="20" width="13.6640625" style="307" bestFit="1" customWidth="1"/>
    <col min="21" max="21" width="10.6640625" style="307" bestFit="1" customWidth="1"/>
    <col min="22" max="22" width="14.6640625" style="307" bestFit="1" customWidth="1"/>
    <col min="23" max="23" width="9.6640625" style="307" bestFit="1" customWidth="1"/>
    <col min="24" max="24" width="12.6640625" style="307" bestFit="1" customWidth="1"/>
    <col min="25" max="25" width="10.6640625" style="307" bestFit="1" customWidth="1"/>
    <col min="26" max="28" width="11.5546875" style="307"/>
    <col min="29" max="29" width="62.6640625" style="307" bestFit="1" customWidth="1"/>
    <col min="30" max="16384" width="11.5546875" style="307"/>
  </cols>
  <sheetData>
    <row r="1" spans="1:38" ht="16.2" customHeight="1">
      <c r="A1" s="358" t="s">
        <v>174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N1" s="358" t="s">
        <v>174</v>
      </c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</row>
    <row r="2" spans="1:38" ht="16.2" customHeight="1">
      <c r="A2" s="358" t="s">
        <v>175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N2" s="358" t="s">
        <v>175</v>
      </c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</row>
    <row r="3" spans="1:38" ht="12" customHeight="1">
      <c r="AB3" s="308"/>
      <c r="AD3" s="308"/>
    </row>
    <row r="4" spans="1:38" ht="13.95" customHeight="1">
      <c r="A4" s="309" t="s">
        <v>2</v>
      </c>
      <c r="B4" s="309" t="s">
        <v>4</v>
      </c>
      <c r="C4" s="309" t="s">
        <v>176</v>
      </c>
      <c r="D4" s="309" t="s">
        <v>177</v>
      </c>
      <c r="E4" s="309" t="s">
        <v>178</v>
      </c>
      <c r="F4" s="309" t="s">
        <v>179</v>
      </c>
      <c r="G4" s="309" t="s">
        <v>180</v>
      </c>
      <c r="H4" s="309" t="s">
        <v>181</v>
      </c>
      <c r="I4" s="309" t="s">
        <v>182</v>
      </c>
      <c r="J4" s="309" t="s">
        <v>183</v>
      </c>
      <c r="K4" s="309" t="s">
        <v>184</v>
      </c>
      <c r="L4" s="309" t="s">
        <v>1</v>
      </c>
      <c r="N4" s="309" t="s">
        <v>2</v>
      </c>
      <c r="O4" s="309" t="s">
        <v>4</v>
      </c>
      <c r="P4" s="309" t="s">
        <v>176</v>
      </c>
      <c r="Q4" s="309" t="s">
        <v>177</v>
      </c>
      <c r="R4" s="309" t="s">
        <v>178</v>
      </c>
      <c r="S4" s="309" t="s">
        <v>179</v>
      </c>
      <c r="T4" s="309" t="s">
        <v>180</v>
      </c>
      <c r="U4" s="309" t="s">
        <v>181</v>
      </c>
      <c r="V4" s="309" t="s">
        <v>182</v>
      </c>
      <c r="W4" s="309" t="s">
        <v>183</v>
      </c>
      <c r="X4" s="309" t="s">
        <v>184</v>
      </c>
      <c r="Y4" s="309" t="s">
        <v>1</v>
      </c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</row>
    <row r="5" spans="1:38" ht="13.95" customHeight="1">
      <c r="A5" s="310" t="s">
        <v>58</v>
      </c>
      <c r="B5" s="310" t="s">
        <v>95</v>
      </c>
      <c r="C5" s="310" t="s">
        <v>185</v>
      </c>
      <c r="D5" s="311">
        <f>Q5+AD5</f>
        <v>0</v>
      </c>
      <c r="E5" s="311">
        <f t="shared" ref="E5:L20" si="0">R5+AE5</f>
        <v>0</v>
      </c>
      <c r="F5" s="311">
        <f t="shared" si="0"/>
        <v>0</v>
      </c>
      <c r="G5" s="311">
        <f t="shared" si="0"/>
        <v>0</v>
      </c>
      <c r="H5" s="311">
        <f t="shared" si="0"/>
        <v>0</v>
      </c>
      <c r="I5" s="311">
        <f t="shared" si="0"/>
        <v>0</v>
      </c>
      <c r="J5" s="311">
        <f t="shared" si="0"/>
        <v>416</v>
      </c>
      <c r="K5" s="311">
        <f t="shared" si="0"/>
        <v>0</v>
      </c>
      <c r="L5" s="311">
        <f t="shared" si="0"/>
        <v>416</v>
      </c>
      <c r="N5" s="310" t="s">
        <v>58</v>
      </c>
      <c r="O5" s="310" t="s">
        <v>95</v>
      </c>
      <c r="P5" s="310" t="s">
        <v>185</v>
      </c>
      <c r="Q5" s="311">
        <v>0</v>
      </c>
      <c r="R5" s="311">
        <v>0</v>
      </c>
      <c r="S5" s="311">
        <v>0</v>
      </c>
      <c r="T5" s="311">
        <v>0</v>
      </c>
      <c r="U5" s="311">
        <v>0</v>
      </c>
      <c r="V5" s="311">
        <v>0</v>
      </c>
      <c r="W5" s="311">
        <v>416</v>
      </c>
      <c r="X5" s="311">
        <v>0</v>
      </c>
      <c r="Y5" s="311">
        <v>416</v>
      </c>
      <c r="AA5" s="310"/>
      <c r="AB5" s="310"/>
      <c r="AC5" s="310"/>
      <c r="AD5" s="311"/>
      <c r="AE5" s="311"/>
      <c r="AF5" s="311"/>
      <c r="AG5" s="311"/>
      <c r="AH5" s="311"/>
      <c r="AI5" s="311"/>
      <c r="AJ5" s="311"/>
      <c r="AK5" s="311"/>
      <c r="AL5" s="311"/>
    </row>
    <row r="6" spans="1:38" ht="13.95" customHeight="1">
      <c r="A6" s="310" t="s">
        <v>58</v>
      </c>
      <c r="B6" s="310" t="s">
        <v>96</v>
      </c>
      <c r="C6" s="310" t="s">
        <v>186</v>
      </c>
      <c r="D6" s="311">
        <f t="shared" ref="D6:L41" si="1">Q6+AD6</f>
        <v>0</v>
      </c>
      <c r="E6" s="311">
        <f t="shared" si="0"/>
        <v>0</v>
      </c>
      <c r="F6" s="311">
        <f t="shared" si="0"/>
        <v>0</v>
      </c>
      <c r="G6" s="311">
        <f t="shared" si="0"/>
        <v>0</v>
      </c>
      <c r="H6" s="311">
        <f t="shared" si="0"/>
        <v>117520</v>
      </c>
      <c r="I6" s="311">
        <f t="shared" si="0"/>
        <v>0</v>
      </c>
      <c r="J6" s="311">
        <f t="shared" si="0"/>
        <v>400</v>
      </c>
      <c r="K6" s="311">
        <f t="shared" si="0"/>
        <v>0</v>
      </c>
      <c r="L6" s="311">
        <f t="shared" si="0"/>
        <v>117920</v>
      </c>
      <c r="N6" s="310" t="s">
        <v>58</v>
      </c>
      <c r="O6" s="310" t="s">
        <v>96</v>
      </c>
      <c r="P6" s="310" t="s">
        <v>186</v>
      </c>
      <c r="Q6" s="311">
        <v>0</v>
      </c>
      <c r="R6" s="311">
        <v>0</v>
      </c>
      <c r="S6" s="311">
        <v>0</v>
      </c>
      <c r="T6" s="311">
        <v>0</v>
      </c>
      <c r="U6" s="311">
        <v>117520</v>
      </c>
      <c r="V6" s="311">
        <v>0</v>
      </c>
      <c r="W6" s="311">
        <v>400</v>
      </c>
      <c r="X6" s="311">
        <v>0</v>
      </c>
      <c r="Y6" s="311">
        <v>117920</v>
      </c>
      <c r="AA6" s="310"/>
      <c r="AB6" s="310"/>
      <c r="AC6" s="310"/>
      <c r="AD6" s="311"/>
      <c r="AE6" s="311"/>
      <c r="AF6" s="311"/>
      <c r="AG6" s="311"/>
      <c r="AH6" s="311"/>
      <c r="AI6" s="311"/>
      <c r="AJ6" s="311"/>
      <c r="AK6" s="311"/>
      <c r="AL6" s="311"/>
    </row>
    <row r="7" spans="1:38" ht="13.95" customHeight="1">
      <c r="A7" s="310" t="s">
        <v>58</v>
      </c>
      <c r="B7" s="310" t="s">
        <v>97</v>
      </c>
      <c r="C7" s="310" t="s">
        <v>187</v>
      </c>
      <c r="D7" s="311">
        <f t="shared" si="1"/>
        <v>0</v>
      </c>
      <c r="E7" s="311">
        <f t="shared" si="0"/>
        <v>133568</v>
      </c>
      <c r="F7" s="311">
        <f t="shared" si="0"/>
        <v>0</v>
      </c>
      <c r="G7" s="311">
        <f t="shared" si="0"/>
        <v>0</v>
      </c>
      <c r="H7" s="311">
        <f t="shared" si="0"/>
        <v>118800</v>
      </c>
      <c r="I7" s="311">
        <f t="shared" si="0"/>
        <v>11440</v>
      </c>
      <c r="J7" s="311">
        <f t="shared" si="0"/>
        <v>520</v>
      </c>
      <c r="K7" s="311">
        <f t="shared" si="0"/>
        <v>0</v>
      </c>
      <c r="L7" s="311">
        <f t="shared" si="0"/>
        <v>264328</v>
      </c>
      <c r="N7" s="310" t="s">
        <v>58</v>
      </c>
      <c r="O7" s="310" t="s">
        <v>97</v>
      </c>
      <c r="P7" s="310" t="s">
        <v>187</v>
      </c>
      <c r="Q7" s="311">
        <v>0</v>
      </c>
      <c r="R7" s="311">
        <v>133568</v>
      </c>
      <c r="S7" s="311">
        <v>0</v>
      </c>
      <c r="T7" s="311">
        <v>0</v>
      </c>
      <c r="U7" s="311">
        <v>118800</v>
      </c>
      <c r="V7" s="311">
        <v>11440</v>
      </c>
      <c r="W7" s="311">
        <v>520</v>
      </c>
      <c r="X7" s="311">
        <v>0</v>
      </c>
      <c r="Y7" s="311">
        <v>264328</v>
      </c>
      <c r="AA7" s="310"/>
      <c r="AB7" s="310"/>
      <c r="AC7" s="310"/>
      <c r="AD7" s="311"/>
      <c r="AE7" s="311"/>
      <c r="AF7" s="311"/>
      <c r="AG7" s="311"/>
      <c r="AH7" s="311"/>
      <c r="AI7" s="311"/>
      <c r="AJ7" s="311"/>
      <c r="AK7" s="311"/>
      <c r="AL7" s="311"/>
    </row>
    <row r="8" spans="1:38" ht="13.95" customHeight="1">
      <c r="A8" s="310" t="s">
        <v>58</v>
      </c>
      <c r="B8" s="310" t="s">
        <v>98</v>
      </c>
      <c r="C8" s="310" t="s">
        <v>188</v>
      </c>
      <c r="D8" s="311">
        <f t="shared" si="1"/>
        <v>15984</v>
      </c>
      <c r="E8" s="311">
        <f t="shared" si="0"/>
        <v>18096</v>
      </c>
      <c r="F8" s="311">
        <f t="shared" si="0"/>
        <v>0</v>
      </c>
      <c r="G8" s="311">
        <f t="shared" si="0"/>
        <v>0</v>
      </c>
      <c r="H8" s="311">
        <f t="shared" si="0"/>
        <v>45296</v>
      </c>
      <c r="I8" s="311">
        <f t="shared" si="0"/>
        <v>65392</v>
      </c>
      <c r="J8" s="311">
        <f t="shared" si="0"/>
        <v>917</v>
      </c>
      <c r="K8" s="311">
        <f t="shared" si="0"/>
        <v>0</v>
      </c>
      <c r="L8" s="311">
        <f t="shared" si="0"/>
        <v>145685</v>
      </c>
      <c r="N8" s="310" t="s">
        <v>58</v>
      </c>
      <c r="O8" s="310" t="s">
        <v>98</v>
      </c>
      <c r="P8" s="310" t="s">
        <v>188</v>
      </c>
      <c r="Q8" s="311">
        <v>15984</v>
      </c>
      <c r="R8" s="311">
        <v>18096</v>
      </c>
      <c r="S8" s="311">
        <v>0</v>
      </c>
      <c r="T8" s="311">
        <v>0</v>
      </c>
      <c r="U8" s="311">
        <v>45296</v>
      </c>
      <c r="V8" s="311">
        <v>65392</v>
      </c>
      <c r="W8" s="311">
        <v>917</v>
      </c>
      <c r="X8" s="311">
        <v>0</v>
      </c>
      <c r="Y8" s="311">
        <v>145685</v>
      </c>
      <c r="AA8" s="310"/>
      <c r="AB8" s="310"/>
      <c r="AC8" s="310"/>
      <c r="AD8" s="311"/>
      <c r="AE8" s="311"/>
      <c r="AF8" s="311"/>
      <c r="AG8" s="311"/>
      <c r="AH8" s="311"/>
      <c r="AI8" s="311"/>
      <c r="AJ8" s="311"/>
      <c r="AK8" s="311"/>
      <c r="AL8" s="311"/>
    </row>
    <row r="9" spans="1:38" ht="13.95" customHeight="1">
      <c r="A9" s="310" t="s">
        <v>58</v>
      </c>
      <c r="B9" s="310" t="s">
        <v>99</v>
      </c>
      <c r="C9" s="310" t="s">
        <v>189</v>
      </c>
      <c r="D9" s="311">
        <f t="shared" si="1"/>
        <v>0</v>
      </c>
      <c r="E9" s="311">
        <f t="shared" si="0"/>
        <v>0</v>
      </c>
      <c r="F9" s="311">
        <f t="shared" si="0"/>
        <v>0</v>
      </c>
      <c r="G9" s="311">
        <f t="shared" si="0"/>
        <v>0</v>
      </c>
      <c r="H9" s="311">
        <f t="shared" si="0"/>
        <v>0</v>
      </c>
      <c r="I9" s="311">
        <f t="shared" si="0"/>
        <v>0</v>
      </c>
      <c r="J9" s="311">
        <f t="shared" si="0"/>
        <v>0</v>
      </c>
      <c r="K9" s="311">
        <f t="shared" si="0"/>
        <v>0</v>
      </c>
      <c r="L9" s="311">
        <f t="shared" si="0"/>
        <v>0</v>
      </c>
      <c r="N9" s="310" t="s">
        <v>58</v>
      </c>
      <c r="O9" s="310" t="s">
        <v>99</v>
      </c>
      <c r="P9" s="310" t="s">
        <v>189</v>
      </c>
      <c r="Q9" s="311">
        <v>0</v>
      </c>
      <c r="R9" s="311">
        <v>0</v>
      </c>
      <c r="S9" s="311">
        <v>0</v>
      </c>
      <c r="T9" s="311">
        <v>0</v>
      </c>
      <c r="U9" s="311">
        <v>0</v>
      </c>
      <c r="V9" s="311">
        <v>0</v>
      </c>
      <c r="W9" s="311">
        <v>0</v>
      </c>
      <c r="X9" s="311">
        <v>0</v>
      </c>
      <c r="Y9" s="311">
        <v>0</v>
      </c>
      <c r="AA9" s="310"/>
      <c r="AB9" s="310"/>
      <c r="AC9" s="310"/>
      <c r="AD9" s="311"/>
      <c r="AE9" s="311"/>
      <c r="AF9" s="311"/>
      <c r="AG9" s="311"/>
      <c r="AH9" s="311"/>
      <c r="AI9" s="311"/>
      <c r="AJ9" s="311"/>
      <c r="AK9" s="311"/>
      <c r="AL9" s="311"/>
    </row>
    <row r="10" spans="1:38" ht="13.95" customHeight="1">
      <c r="A10" s="310" t="s">
        <v>58</v>
      </c>
      <c r="B10" s="310" t="s">
        <v>100</v>
      </c>
      <c r="C10" s="310" t="s">
        <v>190</v>
      </c>
      <c r="D10" s="311">
        <f t="shared" si="1"/>
        <v>42816</v>
      </c>
      <c r="E10" s="311">
        <f t="shared" si="0"/>
        <v>0</v>
      </c>
      <c r="F10" s="311">
        <f t="shared" si="0"/>
        <v>0</v>
      </c>
      <c r="G10" s="311">
        <f t="shared" si="0"/>
        <v>0</v>
      </c>
      <c r="H10" s="311">
        <f t="shared" si="0"/>
        <v>1728</v>
      </c>
      <c r="I10" s="311">
        <f t="shared" si="0"/>
        <v>0</v>
      </c>
      <c r="J10" s="311">
        <f t="shared" si="0"/>
        <v>0</v>
      </c>
      <c r="K10" s="311">
        <f t="shared" si="0"/>
        <v>0</v>
      </c>
      <c r="L10" s="311">
        <f t="shared" si="0"/>
        <v>44544</v>
      </c>
      <c r="N10" s="310" t="s">
        <v>58</v>
      </c>
      <c r="O10" s="310" t="s">
        <v>100</v>
      </c>
      <c r="P10" s="310" t="s">
        <v>190</v>
      </c>
      <c r="Q10" s="311">
        <v>42816</v>
      </c>
      <c r="R10" s="311">
        <v>0</v>
      </c>
      <c r="S10" s="311">
        <v>0</v>
      </c>
      <c r="T10" s="311">
        <v>0</v>
      </c>
      <c r="U10" s="311">
        <v>1728</v>
      </c>
      <c r="V10" s="311">
        <v>0</v>
      </c>
      <c r="W10" s="311">
        <v>0</v>
      </c>
      <c r="X10" s="311">
        <v>0</v>
      </c>
      <c r="Y10" s="311">
        <v>44544</v>
      </c>
      <c r="AA10" s="310"/>
      <c r="AB10" s="310"/>
      <c r="AC10" s="310"/>
      <c r="AD10" s="311"/>
      <c r="AE10" s="311"/>
      <c r="AF10" s="311"/>
      <c r="AG10" s="311"/>
      <c r="AH10" s="311"/>
      <c r="AI10" s="311"/>
      <c r="AJ10" s="311"/>
      <c r="AK10" s="311"/>
      <c r="AL10" s="311"/>
    </row>
    <row r="11" spans="1:38" ht="13.95" customHeight="1">
      <c r="A11" s="310" t="s">
        <v>58</v>
      </c>
      <c r="B11" s="310" t="s">
        <v>101</v>
      </c>
      <c r="C11" s="310" t="s">
        <v>191</v>
      </c>
      <c r="D11" s="311">
        <f t="shared" si="1"/>
        <v>0</v>
      </c>
      <c r="E11" s="311">
        <f t="shared" si="0"/>
        <v>0</v>
      </c>
      <c r="F11" s="311">
        <f t="shared" si="0"/>
        <v>0</v>
      </c>
      <c r="G11" s="311">
        <f t="shared" si="0"/>
        <v>0</v>
      </c>
      <c r="H11" s="311">
        <f t="shared" si="0"/>
        <v>0</v>
      </c>
      <c r="I11" s="311">
        <f t="shared" si="0"/>
        <v>38560</v>
      </c>
      <c r="J11" s="311">
        <f t="shared" si="0"/>
        <v>0</v>
      </c>
      <c r="K11" s="311">
        <f t="shared" si="0"/>
        <v>0</v>
      </c>
      <c r="L11" s="311">
        <f t="shared" si="0"/>
        <v>38560</v>
      </c>
      <c r="N11" s="310" t="s">
        <v>58</v>
      </c>
      <c r="O11" s="310" t="s">
        <v>101</v>
      </c>
      <c r="P11" s="310" t="s">
        <v>191</v>
      </c>
      <c r="Q11" s="311">
        <v>0</v>
      </c>
      <c r="R11" s="311">
        <v>0</v>
      </c>
      <c r="S11" s="311">
        <v>0</v>
      </c>
      <c r="T11" s="311">
        <v>0</v>
      </c>
      <c r="U11" s="311">
        <v>0</v>
      </c>
      <c r="V11" s="311">
        <v>38560</v>
      </c>
      <c r="W11" s="311">
        <v>0</v>
      </c>
      <c r="X11" s="311">
        <v>0</v>
      </c>
      <c r="Y11" s="311">
        <v>38560</v>
      </c>
      <c r="AA11" s="310"/>
      <c r="AB11" s="310"/>
      <c r="AC11" s="310"/>
      <c r="AD11" s="311"/>
      <c r="AE11" s="311"/>
      <c r="AF11" s="311"/>
      <c r="AG11" s="311"/>
      <c r="AH11" s="311"/>
      <c r="AI11" s="311"/>
      <c r="AJ11" s="311"/>
      <c r="AK11" s="311"/>
      <c r="AL11" s="311"/>
    </row>
    <row r="12" spans="1:38" ht="13.95" customHeight="1">
      <c r="A12" s="310" t="s">
        <v>58</v>
      </c>
      <c r="B12" s="310" t="s">
        <v>102</v>
      </c>
      <c r="C12" s="310" t="s">
        <v>192</v>
      </c>
      <c r="D12" s="311">
        <f t="shared" si="1"/>
        <v>0</v>
      </c>
      <c r="E12" s="311">
        <f t="shared" si="0"/>
        <v>0</v>
      </c>
      <c r="F12" s="311">
        <f t="shared" si="0"/>
        <v>0</v>
      </c>
      <c r="G12" s="311">
        <f t="shared" si="0"/>
        <v>0</v>
      </c>
      <c r="H12" s="311">
        <f t="shared" si="0"/>
        <v>44864</v>
      </c>
      <c r="I12" s="311">
        <f t="shared" si="0"/>
        <v>0</v>
      </c>
      <c r="J12" s="311">
        <f t="shared" si="0"/>
        <v>1096</v>
      </c>
      <c r="K12" s="311">
        <f t="shared" si="0"/>
        <v>0</v>
      </c>
      <c r="L12" s="311">
        <f t="shared" si="0"/>
        <v>45960</v>
      </c>
      <c r="N12" s="310" t="s">
        <v>58</v>
      </c>
      <c r="O12" s="310" t="s">
        <v>102</v>
      </c>
      <c r="P12" s="310" t="s">
        <v>192</v>
      </c>
      <c r="Q12" s="311">
        <v>0</v>
      </c>
      <c r="R12" s="311">
        <v>0</v>
      </c>
      <c r="S12" s="311">
        <v>0</v>
      </c>
      <c r="T12" s="311">
        <v>0</v>
      </c>
      <c r="U12" s="311">
        <v>44864</v>
      </c>
      <c r="V12" s="311">
        <v>0</v>
      </c>
      <c r="W12" s="311">
        <v>1096</v>
      </c>
      <c r="X12" s="311">
        <v>0</v>
      </c>
      <c r="Y12" s="311">
        <v>45960</v>
      </c>
      <c r="AA12" s="310"/>
      <c r="AB12" s="310"/>
      <c r="AC12" s="310"/>
      <c r="AD12" s="311"/>
      <c r="AE12" s="311"/>
      <c r="AF12" s="311"/>
      <c r="AG12" s="311"/>
      <c r="AH12" s="311"/>
      <c r="AI12" s="311"/>
      <c r="AJ12" s="311"/>
      <c r="AK12" s="311"/>
      <c r="AL12" s="311"/>
    </row>
    <row r="13" spans="1:38" ht="13.95" customHeight="1">
      <c r="A13" s="310" t="s">
        <v>58</v>
      </c>
      <c r="B13" s="310" t="s">
        <v>103</v>
      </c>
      <c r="C13" s="310" t="s">
        <v>193</v>
      </c>
      <c r="D13" s="311">
        <f t="shared" si="1"/>
        <v>3264</v>
      </c>
      <c r="E13" s="311">
        <f t="shared" si="0"/>
        <v>4896</v>
      </c>
      <c r="F13" s="311">
        <f t="shared" si="0"/>
        <v>0</v>
      </c>
      <c r="G13" s="311">
        <f t="shared" si="0"/>
        <v>0</v>
      </c>
      <c r="H13" s="311">
        <f t="shared" si="0"/>
        <v>77008</v>
      </c>
      <c r="I13" s="311">
        <f t="shared" si="0"/>
        <v>0</v>
      </c>
      <c r="J13" s="311">
        <f t="shared" si="0"/>
        <v>560</v>
      </c>
      <c r="K13" s="311">
        <f t="shared" si="0"/>
        <v>3840</v>
      </c>
      <c r="L13" s="311">
        <f t="shared" si="0"/>
        <v>89568</v>
      </c>
      <c r="N13" s="310" t="s">
        <v>58</v>
      </c>
      <c r="O13" s="310" t="s">
        <v>103</v>
      </c>
      <c r="P13" s="310" t="s">
        <v>193</v>
      </c>
      <c r="Q13" s="311">
        <v>3264</v>
      </c>
      <c r="R13" s="311">
        <v>4896</v>
      </c>
      <c r="S13" s="311">
        <v>0</v>
      </c>
      <c r="T13" s="311">
        <v>0</v>
      </c>
      <c r="U13" s="311">
        <v>77008</v>
      </c>
      <c r="V13" s="311">
        <v>0</v>
      </c>
      <c r="W13" s="311">
        <v>560</v>
      </c>
      <c r="X13" s="311">
        <v>3840</v>
      </c>
      <c r="Y13" s="311">
        <v>89568</v>
      </c>
      <c r="AA13" s="310"/>
      <c r="AB13" s="310"/>
      <c r="AC13" s="310"/>
      <c r="AD13" s="311"/>
      <c r="AE13" s="311"/>
      <c r="AF13" s="311"/>
      <c r="AG13" s="311"/>
      <c r="AH13" s="311"/>
      <c r="AI13" s="311"/>
      <c r="AJ13" s="311"/>
      <c r="AK13" s="311"/>
      <c r="AL13" s="311"/>
    </row>
    <row r="14" spans="1:38" ht="13.95" customHeight="1">
      <c r="A14" s="310" t="s">
        <v>58</v>
      </c>
      <c r="B14" s="310" t="s">
        <v>104</v>
      </c>
      <c r="C14" s="310" t="s">
        <v>194</v>
      </c>
      <c r="D14" s="311">
        <f t="shared" si="1"/>
        <v>0</v>
      </c>
      <c r="E14" s="311">
        <f t="shared" si="0"/>
        <v>0</v>
      </c>
      <c r="F14" s="311">
        <f t="shared" si="0"/>
        <v>0</v>
      </c>
      <c r="G14" s="311">
        <f t="shared" si="0"/>
        <v>0</v>
      </c>
      <c r="H14" s="311">
        <f t="shared" si="0"/>
        <v>0</v>
      </c>
      <c r="I14" s="311">
        <f t="shared" si="0"/>
        <v>0</v>
      </c>
      <c r="J14" s="311">
        <f t="shared" si="0"/>
        <v>0</v>
      </c>
      <c r="K14" s="311">
        <f t="shared" si="0"/>
        <v>0</v>
      </c>
      <c r="L14" s="311">
        <f t="shared" si="0"/>
        <v>0</v>
      </c>
      <c r="N14" s="310" t="s">
        <v>58</v>
      </c>
      <c r="O14" s="310" t="s">
        <v>104</v>
      </c>
      <c r="P14" s="310" t="s">
        <v>194</v>
      </c>
      <c r="Q14" s="311">
        <v>0</v>
      </c>
      <c r="R14" s="311">
        <v>0</v>
      </c>
      <c r="S14" s="311">
        <v>0</v>
      </c>
      <c r="T14" s="311">
        <v>0</v>
      </c>
      <c r="U14" s="311">
        <v>0</v>
      </c>
      <c r="V14" s="311">
        <v>0</v>
      </c>
      <c r="W14" s="311">
        <v>0</v>
      </c>
      <c r="X14" s="311">
        <v>0</v>
      </c>
      <c r="Y14" s="311">
        <v>0</v>
      </c>
      <c r="AA14" s="310"/>
      <c r="AB14" s="310"/>
      <c r="AC14" s="310"/>
      <c r="AD14" s="311"/>
      <c r="AE14" s="311"/>
      <c r="AF14" s="311"/>
      <c r="AG14" s="311"/>
      <c r="AH14" s="311"/>
      <c r="AI14" s="311"/>
      <c r="AJ14" s="311"/>
      <c r="AK14" s="311"/>
      <c r="AL14" s="311"/>
    </row>
    <row r="15" spans="1:38" ht="13.95" customHeight="1">
      <c r="A15" s="310" t="s">
        <v>58</v>
      </c>
      <c r="B15" s="310" t="s">
        <v>105</v>
      </c>
      <c r="C15" s="310" t="s">
        <v>195</v>
      </c>
      <c r="D15" s="311">
        <f t="shared" si="1"/>
        <v>0</v>
      </c>
      <c r="E15" s="311">
        <f t="shared" si="0"/>
        <v>0</v>
      </c>
      <c r="F15" s="311">
        <f t="shared" si="0"/>
        <v>0</v>
      </c>
      <c r="G15" s="311">
        <f t="shared" si="0"/>
        <v>0</v>
      </c>
      <c r="H15" s="311">
        <f t="shared" si="0"/>
        <v>0</v>
      </c>
      <c r="I15" s="311">
        <f t="shared" si="0"/>
        <v>186384</v>
      </c>
      <c r="J15" s="311">
        <f t="shared" si="0"/>
        <v>0</v>
      </c>
      <c r="K15" s="311">
        <f t="shared" si="0"/>
        <v>1918</v>
      </c>
      <c r="L15" s="311">
        <f t="shared" si="0"/>
        <v>188302</v>
      </c>
      <c r="N15" s="310" t="s">
        <v>58</v>
      </c>
      <c r="O15" s="310" t="s">
        <v>105</v>
      </c>
      <c r="P15" s="310" t="s">
        <v>195</v>
      </c>
      <c r="Q15" s="311">
        <v>0</v>
      </c>
      <c r="R15" s="311">
        <v>0</v>
      </c>
      <c r="S15" s="311">
        <v>0</v>
      </c>
      <c r="T15" s="311">
        <v>0</v>
      </c>
      <c r="U15" s="311">
        <v>0</v>
      </c>
      <c r="V15" s="311">
        <v>186384</v>
      </c>
      <c r="W15" s="311">
        <v>0</v>
      </c>
      <c r="X15" s="311">
        <v>1918</v>
      </c>
      <c r="Y15" s="311">
        <v>188302</v>
      </c>
      <c r="AA15" s="310"/>
      <c r="AB15" s="310"/>
      <c r="AC15" s="310"/>
      <c r="AD15" s="311"/>
      <c r="AE15" s="311"/>
      <c r="AF15" s="311"/>
      <c r="AG15" s="311"/>
      <c r="AH15" s="311"/>
      <c r="AI15" s="311"/>
      <c r="AJ15" s="311"/>
      <c r="AK15" s="311"/>
      <c r="AL15" s="311"/>
    </row>
    <row r="16" spans="1:38" ht="13.95" customHeight="1">
      <c r="A16" s="310" t="s">
        <v>58</v>
      </c>
      <c r="B16" s="310" t="s">
        <v>106</v>
      </c>
      <c r="C16" s="310" t="s">
        <v>196</v>
      </c>
      <c r="D16" s="311">
        <f t="shared" si="1"/>
        <v>138400</v>
      </c>
      <c r="E16" s="311">
        <f t="shared" si="0"/>
        <v>0</v>
      </c>
      <c r="F16" s="311">
        <f t="shared" si="0"/>
        <v>28384</v>
      </c>
      <c r="G16" s="311">
        <f t="shared" si="0"/>
        <v>0</v>
      </c>
      <c r="H16" s="311">
        <f t="shared" si="0"/>
        <v>0</v>
      </c>
      <c r="I16" s="311">
        <f t="shared" si="0"/>
        <v>0</v>
      </c>
      <c r="J16" s="311">
        <f t="shared" si="0"/>
        <v>0</v>
      </c>
      <c r="K16" s="311">
        <f t="shared" si="0"/>
        <v>0</v>
      </c>
      <c r="L16" s="311">
        <f t="shared" si="0"/>
        <v>166784</v>
      </c>
      <c r="N16" s="310" t="s">
        <v>58</v>
      </c>
      <c r="O16" s="310" t="s">
        <v>106</v>
      </c>
      <c r="P16" s="310" t="s">
        <v>196</v>
      </c>
      <c r="Q16" s="311">
        <v>138400</v>
      </c>
      <c r="R16" s="311">
        <v>0</v>
      </c>
      <c r="S16" s="311">
        <v>28384</v>
      </c>
      <c r="T16" s="311">
        <v>0</v>
      </c>
      <c r="U16" s="311">
        <v>0</v>
      </c>
      <c r="V16" s="311">
        <v>0</v>
      </c>
      <c r="W16" s="311">
        <v>0</v>
      </c>
      <c r="X16" s="311">
        <v>0</v>
      </c>
      <c r="Y16" s="311">
        <v>166784</v>
      </c>
      <c r="AA16" s="310"/>
      <c r="AB16" s="310"/>
      <c r="AC16" s="310"/>
      <c r="AD16" s="311"/>
      <c r="AE16" s="311"/>
      <c r="AF16" s="311"/>
      <c r="AG16" s="311"/>
      <c r="AH16" s="311"/>
      <c r="AI16" s="311"/>
      <c r="AJ16" s="311"/>
      <c r="AK16" s="311"/>
      <c r="AL16" s="311"/>
    </row>
    <row r="17" spans="1:38" ht="13.95" customHeight="1">
      <c r="A17" s="310" t="s">
        <v>58</v>
      </c>
      <c r="B17" s="310" t="s">
        <v>107</v>
      </c>
      <c r="C17" s="310" t="s">
        <v>197</v>
      </c>
      <c r="D17" s="311">
        <f t="shared" si="1"/>
        <v>528</v>
      </c>
      <c r="E17" s="311">
        <f t="shared" si="0"/>
        <v>0</v>
      </c>
      <c r="F17" s="311">
        <f t="shared" si="0"/>
        <v>0</v>
      </c>
      <c r="G17" s="311">
        <f t="shared" si="0"/>
        <v>0</v>
      </c>
      <c r="H17" s="311">
        <f t="shared" si="0"/>
        <v>0</v>
      </c>
      <c r="I17" s="311">
        <f t="shared" si="0"/>
        <v>0</v>
      </c>
      <c r="J17" s="311">
        <f t="shared" si="0"/>
        <v>0</v>
      </c>
      <c r="K17" s="311">
        <f t="shared" si="0"/>
        <v>0</v>
      </c>
      <c r="L17" s="311">
        <f t="shared" si="0"/>
        <v>528</v>
      </c>
      <c r="N17" s="310" t="s">
        <v>58</v>
      </c>
      <c r="O17" s="310" t="s">
        <v>107</v>
      </c>
      <c r="P17" s="310" t="s">
        <v>197</v>
      </c>
      <c r="Q17" s="311">
        <v>528</v>
      </c>
      <c r="R17" s="311">
        <v>0</v>
      </c>
      <c r="S17" s="311">
        <v>0</v>
      </c>
      <c r="T17" s="311">
        <v>0</v>
      </c>
      <c r="U17" s="311">
        <v>0</v>
      </c>
      <c r="V17" s="311">
        <v>0</v>
      </c>
      <c r="W17" s="311">
        <v>0</v>
      </c>
      <c r="X17" s="311">
        <v>0</v>
      </c>
      <c r="Y17" s="311">
        <v>528</v>
      </c>
      <c r="AA17" s="310"/>
      <c r="AB17" s="310"/>
      <c r="AC17" s="310"/>
      <c r="AD17" s="311"/>
      <c r="AE17" s="311"/>
      <c r="AF17" s="311"/>
      <c r="AG17" s="311"/>
      <c r="AH17" s="311"/>
      <c r="AI17" s="311"/>
      <c r="AJ17" s="311"/>
      <c r="AK17" s="311"/>
      <c r="AL17" s="311"/>
    </row>
    <row r="18" spans="1:38" ht="13.95" customHeight="1">
      <c r="A18" s="310" t="s">
        <v>58</v>
      </c>
      <c r="B18" s="310" t="s">
        <v>108</v>
      </c>
      <c r="C18" s="310" t="s">
        <v>198</v>
      </c>
      <c r="D18" s="311">
        <f t="shared" si="1"/>
        <v>0</v>
      </c>
      <c r="E18" s="311">
        <f t="shared" si="0"/>
        <v>0</v>
      </c>
      <c r="F18" s="311">
        <f t="shared" si="0"/>
        <v>0</v>
      </c>
      <c r="G18" s="311">
        <f t="shared" si="0"/>
        <v>0</v>
      </c>
      <c r="H18" s="311">
        <f t="shared" si="0"/>
        <v>0</v>
      </c>
      <c r="I18" s="311">
        <f t="shared" si="0"/>
        <v>0</v>
      </c>
      <c r="J18" s="311">
        <f t="shared" si="0"/>
        <v>0</v>
      </c>
      <c r="K18" s="311">
        <f t="shared" si="0"/>
        <v>480</v>
      </c>
      <c r="L18" s="311">
        <f t="shared" si="0"/>
        <v>480</v>
      </c>
      <c r="N18" s="310" t="s">
        <v>58</v>
      </c>
      <c r="O18" s="310" t="s">
        <v>108</v>
      </c>
      <c r="P18" s="310" t="s">
        <v>198</v>
      </c>
      <c r="Q18" s="311">
        <v>0</v>
      </c>
      <c r="R18" s="311">
        <v>0</v>
      </c>
      <c r="S18" s="311">
        <v>0</v>
      </c>
      <c r="T18" s="311">
        <v>0</v>
      </c>
      <c r="U18" s="311">
        <v>0</v>
      </c>
      <c r="V18" s="311">
        <v>0</v>
      </c>
      <c r="W18" s="311">
        <v>0</v>
      </c>
      <c r="X18" s="311">
        <v>480</v>
      </c>
      <c r="Y18" s="311">
        <v>480</v>
      </c>
      <c r="AA18" s="310"/>
      <c r="AB18" s="310"/>
      <c r="AC18" s="310"/>
      <c r="AD18" s="311"/>
      <c r="AE18" s="311"/>
      <c r="AF18" s="311"/>
      <c r="AG18" s="311"/>
      <c r="AH18" s="311"/>
      <c r="AI18" s="311"/>
      <c r="AJ18" s="311"/>
      <c r="AK18" s="311"/>
      <c r="AL18" s="311"/>
    </row>
    <row r="19" spans="1:38" ht="13.95" customHeight="1">
      <c r="A19" s="310" t="s">
        <v>58</v>
      </c>
      <c r="B19" s="310" t="s">
        <v>109</v>
      </c>
      <c r="C19" s="310" t="s">
        <v>199</v>
      </c>
      <c r="D19" s="311">
        <f t="shared" si="1"/>
        <v>0</v>
      </c>
      <c r="E19" s="311">
        <f t="shared" si="0"/>
        <v>0</v>
      </c>
      <c r="F19" s="311">
        <f t="shared" si="0"/>
        <v>0</v>
      </c>
      <c r="G19" s="311">
        <f t="shared" si="0"/>
        <v>0</v>
      </c>
      <c r="H19" s="311">
        <f t="shared" si="0"/>
        <v>0</v>
      </c>
      <c r="I19" s="311">
        <f t="shared" si="0"/>
        <v>33664</v>
      </c>
      <c r="J19" s="311">
        <f t="shared" si="0"/>
        <v>0</v>
      </c>
      <c r="K19" s="311">
        <f t="shared" si="0"/>
        <v>1715</v>
      </c>
      <c r="L19" s="311">
        <f t="shared" si="0"/>
        <v>35379</v>
      </c>
      <c r="N19" s="310" t="s">
        <v>58</v>
      </c>
      <c r="O19" s="310" t="s">
        <v>109</v>
      </c>
      <c r="P19" s="310" t="s">
        <v>199</v>
      </c>
      <c r="Q19" s="311">
        <v>0</v>
      </c>
      <c r="R19" s="311">
        <v>0</v>
      </c>
      <c r="S19" s="311">
        <v>0</v>
      </c>
      <c r="T19" s="311">
        <v>0</v>
      </c>
      <c r="U19" s="311">
        <v>0</v>
      </c>
      <c r="V19" s="311">
        <v>33664</v>
      </c>
      <c r="W19" s="311">
        <v>0</v>
      </c>
      <c r="X19" s="311">
        <v>1715</v>
      </c>
      <c r="Y19" s="311">
        <v>35379</v>
      </c>
      <c r="AA19" s="310"/>
      <c r="AB19" s="310"/>
      <c r="AC19" s="310"/>
      <c r="AD19" s="311"/>
      <c r="AE19" s="311"/>
      <c r="AF19" s="311"/>
      <c r="AG19" s="311"/>
      <c r="AH19" s="311"/>
      <c r="AI19" s="311"/>
      <c r="AJ19" s="311"/>
      <c r="AK19" s="311"/>
      <c r="AL19" s="311"/>
    </row>
    <row r="20" spans="1:38" ht="13.95" customHeight="1">
      <c r="A20" s="310" t="s">
        <v>58</v>
      </c>
      <c r="B20" s="310" t="s">
        <v>110</v>
      </c>
      <c r="C20" s="310" t="s">
        <v>200</v>
      </c>
      <c r="D20" s="311">
        <f t="shared" si="1"/>
        <v>0</v>
      </c>
      <c r="E20" s="311">
        <f t="shared" si="0"/>
        <v>0</v>
      </c>
      <c r="F20" s="311">
        <f t="shared" si="0"/>
        <v>0</v>
      </c>
      <c r="G20" s="311">
        <f t="shared" si="0"/>
        <v>0</v>
      </c>
      <c r="H20" s="311">
        <f t="shared" si="0"/>
        <v>0</v>
      </c>
      <c r="I20" s="311">
        <f t="shared" si="0"/>
        <v>165072</v>
      </c>
      <c r="J20" s="311">
        <f t="shared" si="0"/>
        <v>0</v>
      </c>
      <c r="K20" s="311">
        <f t="shared" si="0"/>
        <v>2187</v>
      </c>
      <c r="L20" s="311">
        <f t="shared" si="0"/>
        <v>167259</v>
      </c>
      <c r="N20" s="310" t="s">
        <v>58</v>
      </c>
      <c r="O20" s="310" t="s">
        <v>110</v>
      </c>
      <c r="P20" s="310" t="s">
        <v>200</v>
      </c>
      <c r="Q20" s="311">
        <v>0</v>
      </c>
      <c r="R20" s="311">
        <v>0</v>
      </c>
      <c r="S20" s="311">
        <v>0</v>
      </c>
      <c r="T20" s="311">
        <v>0</v>
      </c>
      <c r="U20" s="311">
        <v>0</v>
      </c>
      <c r="V20" s="311">
        <v>165072</v>
      </c>
      <c r="W20" s="311">
        <v>0</v>
      </c>
      <c r="X20" s="311">
        <v>2187</v>
      </c>
      <c r="Y20" s="311">
        <v>167259</v>
      </c>
      <c r="AA20" s="310"/>
      <c r="AB20" s="310"/>
      <c r="AC20" s="310"/>
      <c r="AD20" s="311"/>
      <c r="AE20" s="311"/>
      <c r="AF20" s="311"/>
      <c r="AG20" s="311"/>
      <c r="AH20" s="311"/>
      <c r="AI20" s="311"/>
      <c r="AJ20" s="311"/>
      <c r="AK20" s="311"/>
      <c r="AL20" s="311"/>
    </row>
    <row r="21" spans="1:38" ht="13.95" customHeight="1">
      <c r="A21" s="310" t="s">
        <v>58</v>
      </c>
      <c r="B21" s="310" t="s">
        <v>111</v>
      </c>
      <c r="C21" s="310" t="s">
        <v>201</v>
      </c>
      <c r="D21" s="311">
        <f t="shared" si="1"/>
        <v>0</v>
      </c>
      <c r="E21" s="311">
        <f t="shared" si="1"/>
        <v>0</v>
      </c>
      <c r="F21" s="311">
        <f t="shared" si="1"/>
        <v>0</v>
      </c>
      <c r="G21" s="311">
        <f t="shared" si="1"/>
        <v>0</v>
      </c>
      <c r="H21" s="311">
        <f t="shared" si="1"/>
        <v>0</v>
      </c>
      <c r="I21" s="311">
        <f t="shared" si="1"/>
        <v>50512</v>
      </c>
      <c r="J21" s="311">
        <f t="shared" si="1"/>
        <v>0</v>
      </c>
      <c r="K21" s="311">
        <f t="shared" si="1"/>
        <v>180</v>
      </c>
      <c r="L21" s="311">
        <f t="shared" si="1"/>
        <v>50692</v>
      </c>
      <c r="N21" s="310" t="s">
        <v>58</v>
      </c>
      <c r="O21" s="310" t="s">
        <v>111</v>
      </c>
      <c r="P21" s="310" t="s">
        <v>201</v>
      </c>
      <c r="Q21" s="311">
        <v>0</v>
      </c>
      <c r="R21" s="311">
        <v>0</v>
      </c>
      <c r="S21" s="311">
        <v>0</v>
      </c>
      <c r="T21" s="311">
        <v>0</v>
      </c>
      <c r="U21" s="311">
        <v>0</v>
      </c>
      <c r="V21" s="311">
        <v>50512</v>
      </c>
      <c r="W21" s="311">
        <v>0</v>
      </c>
      <c r="X21" s="311">
        <v>180</v>
      </c>
      <c r="Y21" s="311">
        <v>50692</v>
      </c>
      <c r="AA21" s="310"/>
      <c r="AB21" s="310"/>
      <c r="AC21" s="310"/>
      <c r="AD21" s="311"/>
      <c r="AE21" s="311"/>
      <c r="AF21" s="311"/>
      <c r="AG21" s="311"/>
      <c r="AH21" s="311"/>
      <c r="AI21" s="311"/>
      <c r="AJ21" s="311"/>
      <c r="AK21" s="311"/>
      <c r="AL21" s="311"/>
    </row>
    <row r="22" spans="1:38" ht="13.95" customHeight="1">
      <c r="A22" s="310" t="s">
        <v>58</v>
      </c>
      <c r="B22" s="310" t="s">
        <v>112</v>
      </c>
      <c r="C22" s="310" t="s">
        <v>202</v>
      </c>
      <c r="D22" s="311">
        <f t="shared" si="1"/>
        <v>0</v>
      </c>
      <c r="E22" s="311">
        <f t="shared" si="1"/>
        <v>0</v>
      </c>
      <c r="F22" s="311">
        <f t="shared" si="1"/>
        <v>0</v>
      </c>
      <c r="G22" s="311">
        <f t="shared" si="1"/>
        <v>0</v>
      </c>
      <c r="H22" s="311">
        <f t="shared" si="1"/>
        <v>0</v>
      </c>
      <c r="I22" s="311">
        <f t="shared" si="1"/>
        <v>0</v>
      </c>
      <c r="J22" s="311">
        <f t="shared" si="1"/>
        <v>0</v>
      </c>
      <c r="K22" s="311">
        <f t="shared" si="1"/>
        <v>0</v>
      </c>
      <c r="L22" s="311">
        <f t="shared" si="1"/>
        <v>0</v>
      </c>
      <c r="N22" s="310" t="s">
        <v>58</v>
      </c>
      <c r="O22" s="310" t="s">
        <v>112</v>
      </c>
      <c r="P22" s="310" t="s">
        <v>202</v>
      </c>
      <c r="Q22" s="311">
        <v>0</v>
      </c>
      <c r="R22" s="311">
        <v>0</v>
      </c>
      <c r="S22" s="311">
        <v>0</v>
      </c>
      <c r="T22" s="311">
        <v>0</v>
      </c>
      <c r="U22" s="311">
        <v>0</v>
      </c>
      <c r="V22" s="311">
        <v>0</v>
      </c>
      <c r="W22" s="311">
        <v>0</v>
      </c>
      <c r="X22" s="311">
        <v>0</v>
      </c>
      <c r="Y22" s="311">
        <v>0</v>
      </c>
      <c r="AA22" s="310"/>
      <c r="AB22" s="310"/>
      <c r="AC22" s="310"/>
      <c r="AD22" s="311"/>
      <c r="AE22" s="311"/>
      <c r="AF22" s="311"/>
      <c r="AG22" s="311"/>
      <c r="AH22" s="311"/>
      <c r="AI22" s="311"/>
      <c r="AJ22" s="311"/>
      <c r="AK22" s="311"/>
      <c r="AL22" s="311"/>
    </row>
    <row r="23" spans="1:38" ht="13.95" customHeight="1">
      <c r="A23" s="310" t="s">
        <v>58</v>
      </c>
      <c r="B23" s="310" t="s">
        <v>113</v>
      </c>
      <c r="C23" s="310" t="s">
        <v>203</v>
      </c>
      <c r="D23" s="311">
        <f t="shared" si="1"/>
        <v>0</v>
      </c>
      <c r="E23" s="311">
        <f t="shared" si="1"/>
        <v>56496</v>
      </c>
      <c r="F23" s="311">
        <f t="shared" si="1"/>
        <v>0</v>
      </c>
      <c r="G23" s="311">
        <f t="shared" si="1"/>
        <v>48032</v>
      </c>
      <c r="H23" s="311">
        <f t="shared" si="1"/>
        <v>0</v>
      </c>
      <c r="I23" s="311">
        <f t="shared" si="1"/>
        <v>0</v>
      </c>
      <c r="J23" s="311">
        <f t="shared" si="1"/>
        <v>0</v>
      </c>
      <c r="K23" s="311">
        <f t="shared" si="1"/>
        <v>0</v>
      </c>
      <c r="L23" s="311">
        <f t="shared" si="1"/>
        <v>104528</v>
      </c>
      <c r="N23" s="310" t="s">
        <v>58</v>
      </c>
      <c r="O23" s="310" t="s">
        <v>113</v>
      </c>
      <c r="P23" s="310" t="s">
        <v>203</v>
      </c>
      <c r="Q23" s="311">
        <v>0</v>
      </c>
      <c r="R23" s="311">
        <v>56496</v>
      </c>
      <c r="S23" s="311">
        <v>0</v>
      </c>
      <c r="T23" s="311">
        <v>48032</v>
      </c>
      <c r="U23" s="311">
        <v>0</v>
      </c>
      <c r="V23" s="311">
        <v>0</v>
      </c>
      <c r="W23" s="311">
        <v>0</v>
      </c>
      <c r="X23" s="311">
        <v>0</v>
      </c>
      <c r="Y23" s="311">
        <v>104528</v>
      </c>
      <c r="AA23" s="310"/>
      <c r="AB23" s="310"/>
      <c r="AC23" s="310"/>
      <c r="AD23" s="311"/>
      <c r="AE23" s="311"/>
      <c r="AF23" s="311"/>
      <c r="AG23" s="311"/>
      <c r="AH23" s="311"/>
      <c r="AI23" s="311"/>
      <c r="AJ23" s="311"/>
      <c r="AK23" s="311"/>
      <c r="AL23" s="311"/>
    </row>
    <row r="24" spans="1:38" ht="13.95" customHeight="1">
      <c r="A24" s="310" t="s">
        <v>58</v>
      </c>
      <c r="B24" s="310" t="s">
        <v>114</v>
      </c>
      <c r="C24" s="310" t="s">
        <v>204</v>
      </c>
      <c r="D24" s="311">
        <f t="shared" si="1"/>
        <v>0</v>
      </c>
      <c r="E24" s="311">
        <f t="shared" si="1"/>
        <v>0</v>
      </c>
      <c r="F24" s="311">
        <f t="shared" si="1"/>
        <v>0</v>
      </c>
      <c r="G24" s="311">
        <f t="shared" si="1"/>
        <v>0</v>
      </c>
      <c r="H24" s="311">
        <f t="shared" si="1"/>
        <v>12112</v>
      </c>
      <c r="I24" s="311">
        <f t="shared" si="1"/>
        <v>0</v>
      </c>
      <c r="J24" s="311">
        <f t="shared" si="1"/>
        <v>0</v>
      </c>
      <c r="K24" s="311">
        <f t="shared" si="1"/>
        <v>0</v>
      </c>
      <c r="L24" s="311">
        <f t="shared" si="1"/>
        <v>12112</v>
      </c>
      <c r="N24" s="310" t="s">
        <v>58</v>
      </c>
      <c r="O24" s="310" t="s">
        <v>114</v>
      </c>
      <c r="P24" s="310" t="s">
        <v>204</v>
      </c>
      <c r="Q24" s="311">
        <v>0</v>
      </c>
      <c r="R24" s="311">
        <v>0</v>
      </c>
      <c r="S24" s="311">
        <v>0</v>
      </c>
      <c r="T24" s="311">
        <v>0</v>
      </c>
      <c r="U24" s="311">
        <v>12112</v>
      </c>
      <c r="V24" s="311">
        <v>0</v>
      </c>
      <c r="W24" s="311">
        <v>0</v>
      </c>
      <c r="X24" s="311">
        <v>0</v>
      </c>
      <c r="Y24" s="311">
        <v>12112</v>
      </c>
      <c r="AA24" s="310"/>
      <c r="AB24" s="310"/>
      <c r="AC24" s="310"/>
      <c r="AD24" s="311"/>
      <c r="AE24" s="311"/>
      <c r="AF24" s="311"/>
      <c r="AG24" s="311"/>
      <c r="AH24" s="311"/>
      <c r="AI24" s="311"/>
      <c r="AJ24" s="311"/>
      <c r="AK24" s="311"/>
      <c r="AL24" s="311"/>
    </row>
    <row r="25" spans="1:38" ht="13.95" customHeight="1">
      <c r="A25" s="310" t="s">
        <v>58</v>
      </c>
      <c r="B25" s="310" t="s">
        <v>115</v>
      </c>
      <c r="C25" s="310" t="s">
        <v>205</v>
      </c>
      <c r="D25" s="311">
        <f t="shared" si="1"/>
        <v>0</v>
      </c>
      <c r="E25" s="311">
        <f t="shared" si="1"/>
        <v>0</v>
      </c>
      <c r="F25" s="311">
        <f t="shared" si="1"/>
        <v>0</v>
      </c>
      <c r="G25" s="311">
        <f t="shared" si="1"/>
        <v>0</v>
      </c>
      <c r="H25" s="311">
        <f t="shared" si="1"/>
        <v>26032</v>
      </c>
      <c r="I25" s="311">
        <f t="shared" si="1"/>
        <v>0</v>
      </c>
      <c r="J25" s="311">
        <f t="shared" si="1"/>
        <v>16346</v>
      </c>
      <c r="K25" s="311">
        <f t="shared" si="1"/>
        <v>0</v>
      </c>
      <c r="L25" s="311">
        <f t="shared" si="1"/>
        <v>42378</v>
      </c>
      <c r="N25" s="310" t="s">
        <v>58</v>
      </c>
      <c r="O25" s="310" t="s">
        <v>115</v>
      </c>
      <c r="P25" s="310" t="s">
        <v>205</v>
      </c>
      <c r="Q25" s="311">
        <v>0</v>
      </c>
      <c r="R25" s="311">
        <v>0</v>
      </c>
      <c r="S25" s="311">
        <v>0</v>
      </c>
      <c r="T25" s="311">
        <v>0</v>
      </c>
      <c r="U25" s="311">
        <v>26032</v>
      </c>
      <c r="V25" s="311">
        <v>0</v>
      </c>
      <c r="W25" s="311">
        <v>16346</v>
      </c>
      <c r="X25" s="311">
        <v>0</v>
      </c>
      <c r="Y25" s="311">
        <v>42378</v>
      </c>
      <c r="AA25" s="310"/>
      <c r="AB25" s="310"/>
      <c r="AC25" s="310"/>
      <c r="AD25" s="311"/>
      <c r="AE25" s="311"/>
      <c r="AF25" s="311"/>
      <c r="AG25" s="311"/>
      <c r="AH25" s="311"/>
      <c r="AI25" s="311"/>
      <c r="AJ25" s="311"/>
      <c r="AK25" s="311"/>
      <c r="AL25" s="311"/>
    </row>
    <row r="26" spans="1:38" ht="13.95" customHeight="1">
      <c r="A26" s="310" t="s">
        <v>58</v>
      </c>
      <c r="B26" s="310" t="s">
        <v>116</v>
      </c>
      <c r="C26" s="310" t="s">
        <v>206</v>
      </c>
      <c r="D26" s="311">
        <f t="shared" si="1"/>
        <v>0</v>
      </c>
      <c r="E26" s="311">
        <f t="shared" si="1"/>
        <v>0</v>
      </c>
      <c r="F26" s="311">
        <f t="shared" si="1"/>
        <v>0</v>
      </c>
      <c r="G26" s="311">
        <f t="shared" si="1"/>
        <v>0</v>
      </c>
      <c r="H26" s="311">
        <f t="shared" si="1"/>
        <v>23424</v>
      </c>
      <c r="I26" s="311">
        <f t="shared" si="1"/>
        <v>0</v>
      </c>
      <c r="J26" s="311">
        <f t="shared" si="1"/>
        <v>72</v>
      </c>
      <c r="K26" s="311">
        <f t="shared" si="1"/>
        <v>0</v>
      </c>
      <c r="L26" s="311">
        <f t="shared" si="1"/>
        <v>23496</v>
      </c>
      <c r="N26" s="310" t="s">
        <v>58</v>
      </c>
      <c r="O26" s="310" t="s">
        <v>116</v>
      </c>
      <c r="P26" s="310" t="s">
        <v>206</v>
      </c>
      <c r="Q26" s="311">
        <v>0</v>
      </c>
      <c r="R26" s="311">
        <v>0</v>
      </c>
      <c r="S26" s="311">
        <v>0</v>
      </c>
      <c r="T26" s="311">
        <v>0</v>
      </c>
      <c r="U26" s="311">
        <v>23424</v>
      </c>
      <c r="V26" s="311">
        <v>0</v>
      </c>
      <c r="W26" s="311">
        <v>72</v>
      </c>
      <c r="X26" s="311">
        <v>0</v>
      </c>
      <c r="Y26" s="311">
        <v>23496</v>
      </c>
      <c r="AA26" s="310"/>
      <c r="AB26" s="310"/>
      <c r="AC26" s="310"/>
      <c r="AD26" s="311"/>
      <c r="AE26" s="311"/>
      <c r="AF26" s="311"/>
      <c r="AG26" s="311"/>
      <c r="AH26" s="311"/>
      <c r="AI26" s="311"/>
      <c r="AJ26" s="311"/>
      <c r="AK26" s="311"/>
      <c r="AL26" s="311"/>
    </row>
    <row r="27" spans="1:38" ht="13.95" customHeight="1">
      <c r="A27" s="310" t="s">
        <v>58</v>
      </c>
      <c r="B27" s="310" t="s">
        <v>117</v>
      </c>
      <c r="C27" s="310" t="s">
        <v>207</v>
      </c>
      <c r="D27" s="311">
        <f t="shared" si="1"/>
        <v>0</v>
      </c>
      <c r="E27" s="311">
        <f t="shared" si="1"/>
        <v>0</v>
      </c>
      <c r="F27" s="311">
        <f t="shared" si="1"/>
        <v>0</v>
      </c>
      <c r="G27" s="311">
        <f t="shared" si="1"/>
        <v>0</v>
      </c>
      <c r="H27" s="311">
        <f t="shared" si="1"/>
        <v>0</v>
      </c>
      <c r="I27" s="311">
        <f t="shared" si="1"/>
        <v>0</v>
      </c>
      <c r="J27" s="311">
        <f t="shared" si="1"/>
        <v>0</v>
      </c>
      <c r="K27" s="311">
        <f t="shared" si="1"/>
        <v>0</v>
      </c>
      <c r="L27" s="311">
        <f t="shared" si="1"/>
        <v>0</v>
      </c>
      <c r="N27" s="310" t="s">
        <v>58</v>
      </c>
      <c r="O27" s="310" t="s">
        <v>117</v>
      </c>
      <c r="P27" s="310" t="s">
        <v>207</v>
      </c>
      <c r="Q27" s="311">
        <v>0</v>
      </c>
      <c r="R27" s="311">
        <v>0</v>
      </c>
      <c r="S27" s="311">
        <v>0</v>
      </c>
      <c r="T27" s="311">
        <v>0</v>
      </c>
      <c r="U27" s="311">
        <v>0</v>
      </c>
      <c r="V27" s="311">
        <v>0</v>
      </c>
      <c r="W27" s="311">
        <v>0</v>
      </c>
      <c r="X27" s="311">
        <v>0</v>
      </c>
      <c r="Y27" s="311">
        <v>0</v>
      </c>
      <c r="AA27" s="310"/>
      <c r="AB27" s="310"/>
      <c r="AC27" s="310"/>
      <c r="AD27" s="311"/>
      <c r="AE27" s="311"/>
      <c r="AF27" s="311"/>
      <c r="AG27" s="311"/>
      <c r="AH27" s="311"/>
      <c r="AI27" s="311"/>
      <c r="AJ27" s="311"/>
      <c r="AK27" s="311"/>
      <c r="AL27" s="311"/>
    </row>
    <row r="28" spans="1:38" ht="13.95" customHeight="1">
      <c r="A28" s="310" t="s">
        <v>58</v>
      </c>
      <c r="B28" s="310" t="s">
        <v>118</v>
      </c>
      <c r="C28" s="310" t="s">
        <v>208</v>
      </c>
      <c r="D28" s="311">
        <f t="shared" si="1"/>
        <v>14112</v>
      </c>
      <c r="E28" s="311">
        <f t="shared" si="1"/>
        <v>0</v>
      </c>
      <c r="F28" s="311">
        <f t="shared" si="1"/>
        <v>0</v>
      </c>
      <c r="G28" s="311">
        <f t="shared" si="1"/>
        <v>0</v>
      </c>
      <c r="H28" s="311">
        <f t="shared" si="1"/>
        <v>65024</v>
      </c>
      <c r="I28" s="311">
        <f t="shared" si="1"/>
        <v>0</v>
      </c>
      <c r="J28" s="311">
        <f t="shared" si="1"/>
        <v>292783</v>
      </c>
      <c r="K28" s="311">
        <f t="shared" si="1"/>
        <v>0</v>
      </c>
      <c r="L28" s="311">
        <f t="shared" si="1"/>
        <v>371919</v>
      </c>
      <c r="N28" s="310" t="s">
        <v>58</v>
      </c>
      <c r="O28" s="310" t="s">
        <v>118</v>
      </c>
      <c r="P28" s="310" t="s">
        <v>208</v>
      </c>
      <c r="Q28" s="311">
        <v>14112</v>
      </c>
      <c r="R28" s="311">
        <v>0</v>
      </c>
      <c r="S28" s="311">
        <v>0</v>
      </c>
      <c r="T28" s="311">
        <v>0</v>
      </c>
      <c r="U28" s="311">
        <v>65024</v>
      </c>
      <c r="V28" s="311">
        <v>0</v>
      </c>
      <c r="W28" s="311">
        <v>292783</v>
      </c>
      <c r="X28" s="311">
        <v>0</v>
      </c>
      <c r="Y28" s="311">
        <v>371919</v>
      </c>
      <c r="AA28" s="310"/>
      <c r="AB28" s="310"/>
      <c r="AC28" s="310"/>
      <c r="AD28" s="311"/>
      <c r="AE28" s="311"/>
      <c r="AF28" s="311"/>
      <c r="AG28" s="311"/>
      <c r="AH28" s="311"/>
      <c r="AI28" s="311"/>
      <c r="AJ28" s="311"/>
      <c r="AK28" s="311"/>
      <c r="AL28" s="311"/>
    </row>
    <row r="29" spans="1:38" ht="13.95" customHeight="1">
      <c r="A29" s="310" t="s">
        <v>58</v>
      </c>
      <c r="B29" s="310" t="s">
        <v>119</v>
      </c>
      <c r="C29" s="310" t="s">
        <v>209</v>
      </c>
      <c r="D29" s="311">
        <f t="shared" si="1"/>
        <v>149728</v>
      </c>
      <c r="E29" s="311">
        <f t="shared" si="1"/>
        <v>0</v>
      </c>
      <c r="F29" s="311">
        <f t="shared" si="1"/>
        <v>0</v>
      </c>
      <c r="G29" s="311">
        <f t="shared" si="1"/>
        <v>0</v>
      </c>
      <c r="H29" s="311">
        <f t="shared" si="1"/>
        <v>0</v>
      </c>
      <c r="I29" s="311">
        <f t="shared" si="1"/>
        <v>0</v>
      </c>
      <c r="J29" s="311">
        <f t="shared" si="1"/>
        <v>0</v>
      </c>
      <c r="K29" s="311">
        <f t="shared" si="1"/>
        <v>0</v>
      </c>
      <c r="L29" s="311">
        <f t="shared" si="1"/>
        <v>149728</v>
      </c>
      <c r="N29" s="310" t="s">
        <v>58</v>
      </c>
      <c r="O29" s="310" t="s">
        <v>119</v>
      </c>
      <c r="P29" s="310" t="s">
        <v>209</v>
      </c>
      <c r="Q29" s="311">
        <v>149728</v>
      </c>
      <c r="R29" s="311">
        <v>0</v>
      </c>
      <c r="S29" s="311">
        <v>0</v>
      </c>
      <c r="T29" s="311">
        <v>0</v>
      </c>
      <c r="U29" s="311">
        <v>0</v>
      </c>
      <c r="V29" s="311">
        <v>0</v>
      </c>
      <c r="W29" s="311">
        <v>0</v>
      </c>
      <c r="X29" s="311">
        <v>0</v>
      </c>
      <c r="Y29" s="311">
        <v>149728</v>
      </c>
      <c r="AA29" s="310"/>
      <c r="AB29" s="310"/>
      <c r="AC29" s="310"/>
      <c r="AD29" s="311"/>
      <c r="AE29" s="311"/>
      <c r="AF29" s="311"/>
      <c r="AG29" s="311"/>
      <c r="AH29" s="311"/>
      <c r="AI29" s="311"/>
      <c r="AJ29" s="311"/>
      <c r="AK29" s="311"/>
      <c r="AL29" s="311"/>
    </row>
    <row r="30" spans="1:38" ht="13.95" customHeight="1">
      <c r="A30" s="310" t="s">
        <v>58</v>
      </c>
      <c r="B30" s="310" t="s">
        <v>120</v>
      </c>
      <c r="C30" s="310" t="s">
        <v>210</v>
      </c>
      <c r="D30" s="311">
        <f t="shared" si="1"/>
        <v>69264</v>
      </c>
      <c r="E30" s="311">
        <f t="shared" si="1"/>
        <v>0</v>
      </c>
      <c r="F30" s="311">
        <f t="shared" si="1"/>
        <v>0</v>
      </c>
      <c r="G30" s="311">
        <f t="shared" si="1"/>
        <v>0</v>
      </c>
      <c r="H30" s="311">
        <f t="shared" si="1"/>
        <v>30432</v>
      </c>
      <c r="I30" s="311">
        <f t="shared" si="1"/>
        <v>0</v>
      </c>
      <c r="J30" s="311">
        <f t="shared" si="1"/>
        <v>0</v>
      </c>
      <c r="K30" s="311">
        <f t="shared" si="1"/>
        <v>0</v>
      </c>
      <c r="L30" s="311">
        <f t="shared" si="1"/>
        <v>99696</v>
      </c>
      <c r="N30" s="310" t="s">
        <v>58</v>
      </c>
      <c r="O30" s="310" t="s">
        <v>120</v>
      </c>
      <c r="P30" s="310" t="s">
        <v>210</v>
      </c>
      <c r="Q30" s="311">
        <v>69264</v>
      </c>
      <c r="R30" s="311">
        <v>0</v>
      </c>
      <c r="S30" s="311">
        <v>0</v>
      </c>
      <c r="T30" s="311">
        <v>0</v>
      </c>
      <c r="U30" s="311">
        <v>30432</v>
      </c>
      <c r="V30" s="311">
        <v>0</v>
      </c>
      <c r="W30" s="311">
        <v>0</v>
      </c>
      <c r="X30" s="311">
        <v>0</v>
      </c>
      <c r="Y30" s="311">
        <v>99696</v>
      </c>
      <c r="AA30" s="310"/>
      <c r="AB30" s="310"/>
      <c r="AC30" s="310"/>
      <c r="AD30" s="311"/>
      <c r="AE30" s="311"/>
      <c r="AF30" s="311"/>
      <c r="AG30" s="311"/>
      <c r="AH30" s="311"/>
      <c r="AI30" s="311"/>
      <c r="AJ30" s="311"/>
      <c r="AK30" s="311"/>
      <c r="AL30" s="311"/>
    </row>
    <row r="31" spans="1:38" ht="13.95" customHeight="1">
      <c r="A31" s="310" t="s">
        <v>58</v>
      </c>
      <c r="B31" s="310" t="s">
        <v>121</v>
      </c>
      <c r="C31" s="310" t="s">
        <v>211</v>
      </c>
      <c r="D31" s="311">
        <f t="shared" si="1"/>
        <v>0</v>
      </c>
      <c r="E31" s="311">
        <f t="shared" si="1"/>
        <v>0</v>
      </c>
      <c r="F31" s="311">
        <f t="shared" si="1"/>
        <v>0</v>
      </c>
      <c r="G31" s="311">
        <f t="shared" si="1"/>
        <v>0</v>
      </c>
      <c r="H31" s="311">
        <f t="shared" si="1"/>
        <v>0</v>
      </c>
      <c r="I31" s="311">
        <f t="shared" si="1"/>
        <v>0</v>
      </c>
      <c r="J31" s="311">
        <f t="shared" si="1"/>
        <v>0</v>
      </c>
      <c r="K31" s="311">
        <f t="shared" si="1"/>
        <v>0</v>
      </c>
      <c r="L31" s="311">
        <f t="shared" si="1"/>
        <v>0</v>
      </c>
      <c r="N31" s="310" t="s">
        <v>58</v>
      </c>
      <c r="O31" s="310" t="s">
        <v>121</v>
      </c>
      <c r="P31" s="310" t="s">
        <v>211</v>
      </c>
      <c r="Q31" s="311">
        <v>0</v>
      </c>
      <c r="R31" s="311">
        <v>0</v>
      </c>
      <c r="S31" s="311">
        <v>0</v>
      </c>
      <c r="T31" s="311">
        <v>0</v>
      </c>
      <c r="U31" s="311">
        <v>0</v>
      </c>
      <c r="V31" s="311">
        <v>0</v>
      </c>
      <c r="W31" s="311">
        <v>0</v>
      </c>
      <c r="X31" s="311">
        <v>0</v>
      </c>
      <c r="Y31" s="311">
        <v>0</v>
      </c>
      <c r="AA31" s="310"/>
      <c r="AB31" s="310"/>
      <c r="AC31" s="310"/>
      <c r="AD31" s="311"/>
      <c r="AE31" s="311"/>
      <c r="AF31" s="311"/>
      <c r="AG31" s="311"/>
      <c r="AH31" s="311"/>
      <c r="AI31" s="311"/>
      <c r="AJ31" s="311"/>
      <c r="AK31" s="311"/>
      <c r="AL31" s="311"/>
    </row>
    <row r="32" spans="1:38" ht="13.95" customHeight="1">
      <c r="A32" s="310" t="s">
        <v>58</v>
      </c>
      <c r="B32" s="310" t="s">
        <v>122</v>
      </c>
      <c r="C32" s="310" t="s">
        <v>212</v>
      </c>
      <c r="D32" s="311">
        <f t="shared" si="1"/>
        <v>434096</v>
      </c>
      <c r="E32" s="311">
        <f t="shared" si="1"/>
        <v>213056</v>
      </c>
      <c r="F32" s="311">
        <f t="shared" si="1"/>
        <v>28384</v>
      </c>
      <c r="G32" s="311">
        <f t="shared" si="1"/>
        <v>48032</v>
      </c>
      <c r="H32" s="311">
        <f t="shared" si="1"/>
        <v>562240</v>
      </c>
      <c r="I32" s="311">
        <f t="shared" si="1"/>
        <v>551024</v>
      </c>
      <c r="J32" s="311">
        <f t="shared" si="1"/>
        <v>313110</v>
      </c>
      <c r="K32" s="311">
        <f t="shared" si="1"/>
        <v>10320</v>
      </c>
      <c r="L32" s="311">
        <f t="shared" si="1"/>
        <v>2160262</v>
      </c>
      <c r="N32" s="310" t="s">
        <v>58</v>
      </c>
      <c r="O32" s="310" t="s">
        <v>122</v>
      </c>
      <c r="P32" s="310" t="s">
        <v>212</v>
      </c>
      <c r="Q32" s="311">
        <v>434096</v>
      </c>
      <c r="R32" s="311">
        <v>213056</v>
      </c>
      <c r="S32" s="311">
        <v>28384</v>
      </c>
      <c r="T32" s="311">
        <v>48032</v>
      </c>
      <c r="U32" s="311">
        <v>562240</v>
      </c>
      <c r="V32" s="311">
        <v>551024</v>
      </c>
      <c r="W32" s="311">
        <v>313110</v>
      </c>
      <c r="X32" s="311">
        <v>10320</v>
      </c>
      <c r="Y32" s="311">
        <v>2160262</v>
      </c>
      <c r="AA32" s="310"/>
      <c r="AB32" s="310"/>
      <c r="AC32" s="310"/>
      <c r="AD32" s="311"/>
      <c r="AE32" s="311"/>
      <c r="AF32" s="311"/>
      <c r="AG32" s="311"/>
      <c r="AH32" s="311"/>
      <c r="AI32" s="311"/>
      <c r="AJ32" s="311"/>
      <c r="AK32" s="311"/>
      <c r="AL32" s="311"/>
    </row>
    <row r="33" spans="1:38" ht="13.95" customHeight="1">
      <c r="A33" s="310" t="s">
        <v>58</v>
      </c>
      <c r="B33" s="310" t="s">
        <v>213</v>
      </c>
      <c r="C33" s="310" t="s">
        <v>123</v>
      </c>
      <c r="D33" s="311"/>
      <c r="E33" s="311"/>
      <c r="F33" s="311"/>
      <c r="G33" s="311"/>
      <c r="H33" s="311"/>
      <c r="I33" s="311"/>
      <c r="J33" s="311"/>
      <c r="K33" s="311"/>
      <c r="L33" s="311"/>
      <c r="N33" s="310" t="s">
        <v>58</v>
      </c>
      <c r="O33" s="310" t="s">
        <v>213</v>
      </c>
      <c r="P33" s="310" t="s">
        <v>123</v>
      </c>
      <c r="Q33" s="311" t="s">
        <v>214</v>
      </c>
      <c r="R33" s="311" t="s">
        <v>214</v>
      </c>
      <c r="S33" s="311" t="s">
        <v>214</v>
      </c>
      <c r="T33" s="311" t="s">
        <v>214</v>
      </c>
      <c r="U33" s="311" t="s">
        <v>214</v>
      </c>
      <c r="V33" s="311" t="s">
        <v>214</v>
      </c>
      <c r="W33" s="311" t="s">
        <v>214</v>
      </c>
      <c r="X33" s="311" t="s">
        <v>214</v>
      </c>
      <c r="Y33" s="311" t="s">
        <v>214</v>
      </c>
      <c r="AA33" s="310"/>
      <c r="AB33" s="310"/>
      <c r="AC33" s="310"/>
      <c r="AD33" s="311"/>
      <c r="AE33" s="311"/>
      <c r="AF33" s="311"/>
      <c r="AG33" s="311"/>
      <c r="AH33" s="311"/>
      <c r="AI33" s="311"/>
      <c r="AJ33" s="311"/>
      <c r="AK33" s="311"/>
      <c r="AL33" s="311"/>
    </row>
    <row r="34" spans="1:38" ht="13.95" customHeight="1">
      <c r="A34" s="310" t="s">
        <v>58</v>
      </c>
      <c r="B34" s="310" t="s">
        <v>124</v>
      </c>
      <c r="C34" s="310" t="s">
        <v>215</v>
      </c>
      <c r="D34" s="311">
        <f t="shared" si="1"/>
        <v>0</v>
      </c>
      <c r="E34" s="311">
        <f t="shared" si="1"/>
        <v>0</v>
      </c>
      <c r="F34" s="311">
        <f t="shared" si="1"/>
        <v>0</v>
      </c>
      <c r="G34" s="311">
        <f t="shared" si="1"/>
        <v>0</v>
      </c>
      <c r="H34" s="311">
        <f t="shared" si="1"/>
        <v>0</v>
      </c>
      <c r="I34" s="311">
        <f t="shared" si="1"/>
        <v>0</v>
      </c>
      <c r="J34" s="311">
        <f t="shared" si="1"/>
        <v>0</v>
      </c>
      <c r="K34" s="311">
        <f t="shared" si="1"/>
        <v>0</v>
      </c>
      <c r="L34" s="311">
        <f t="shared" si="1"/>
        <v>0</v>
      </c>
      <c r="N34" s="310" t="s">
        <v>58</v>
      </c>
      <c r="O34" s="310" t="s">
        <v>124</v>
      </c>
      <c r="P34" s="310" t="s">
        <v>215</v>
      </c>
      <c r="Q34" s="311">
        <v>0</v>
      </c>
      <c r="R34" s="311">
        <v>0</v>
      </c>
      <c r="S34" s="311">
        <v>0</v>
      </c>
      <c r="T34" s="311">
        <v>0</v>
      </c>
      <c r="U34" s="311">
        <v>0</v>
      </c>
      <c r="V34" s="311">
        <v>0</v>
      </c>
      <c r="W34" s="311">
        <v>0</v>
      </c>
      <c r="X34" s="311">
        <v>0</v>
      </c>
      <c r="Y34" s="311">
        <v>0</v>
      </c>
      <c r="AA34" s="310"/>
      <c r="AB34" s="310"/>
      <c r="AC34" s="310"/>
      <c r="AD34" s="311"/>
      <c r="AE34" s="311"/>
      <c r="AF34" s="311"/>
      <c r="AG34" s="311"/>
      <c r="AH34" s="311"/>
      <c r="AI34" s="311"/>
      <c r="AJ34" s="311"/>
      <c r="AK34" s="311"/>
      <c r="AL34" s="311"/>
    </row>
    <row r="35" spans="1:38" ht="13.95" customHeight="1">
      <c r="A35" s="310" t="s">
        <v>58</v>
      </c>
      <c r="B35" s="310" t="s">
        <v>125</v>
      </c>
      <c r="C35" s="310" t="s">
        <v>216</v>
      </c>
      <c r="D35" s="311">
        <f t="shared" si="1"/>
        <v>0</v>
      </c>
      <c r="E35" s="311">
        <f t="shared" si="1"/>
        <v>0</v>
      </c>
      <c r="F35" s="311">
        <f t="shared" si="1"/>
        <v>0</v>
      </c>
      <c r="G35" s="311">
        <f t="shared" si="1"/>
        <v>0</v>
      </c>
      <c r="H35" s="311">
        <f t="shared" si="1"/>
        <v>0</v>
      </c>
      <c r="I35" s="311">
        <f t="shared" si="1"/>
        <v>0</v>
      </c>
      <c r="J35" s="311">
        <f t="shared" si="1"/>
        <v>0</v>
      </c>
      <c r="K35" s="311">
        <f t="shared" si="1"/>
        <v>0</v>
      </c>
      <c r="L35" s="311">
        <f t="shared" si="1"/>
        <v>0</v>
      </c>
      <c r="N35" s="310" t="s">
        <v>58</v>
      </c>
      <c r="O35" s="310" t="s">
        <v>125</v>
      </c>
      <c r="P35" s="310" t="s">
        <v>216</v>
      </c>
      <c r="Q35" s="311">
        <v>0</v>
      </c>
      <c r="R35" s="311">
        <v>0</v>
      </c>
      <c r="S35" s="311">
        <v>0</v>
      </c>
      <c r="T35" s="311">
        <v>0</v>
      </c>
      <c r="U35" s="311">
        <v>0</v>
      </c>
      <c r="V35" s="311">
        <v>0</v>
      </c>
      <c r="W35" s="311">
        <v>0</v>
      </c>
      <c r="X35" s="311">
        <v>0</v>
      </c>
      <c r="Y35" s="311">
        <v>0</v>
      </c>
      <c r="AA35" s="310"/>
      <c r="AB35" s="310"/>
      <c r="AC35" s="310"/>
      <c r="AD35" s="311"/>
      <c r="AE35" s="311"/>
      <c r="AF35" s="311"/>
      <c r="AG35" s="311"/>
      <c r="AH35" s="311"/>
      <c r="AI35" s="311"/>
      <c r="AJ35" s="311"/>
      <c r="AK35" s="311"/>
      <c r="AL35" s="311"/>
    </row>
    <row r="36" spans="1:38" ht="13.95" customHeight="1">
      <c r="A36" s="310" t="s">
        <v>58</v>
      </c>
      <c r="B36" s="310" t="s">
        <v>217</v>
      </c>
      <c r="C36" s="310" t="s">
        <v>218</v>
      </c>
      <c r="D36" s="311">
        <f t="shared" si="1"/>
        <v>0</v>
      </c>
      <c r="E36" s="311">
        <f t="shared" si="1"/>
        <v>0</v>
      </c>
      <c r="F36" s="311">
        <f t="shared" si="1"/>
        <v>0</v>
      </c>
      <c r="G36" s="311">
        <f t="shared" si="1"/>
        <v>0</v>
      </c>
      <c r="H36" s="311">
        <f t="shared" si="1"/>
        <v>0</v>
      </c>
      <c r="I36" s="311">
        <f t="shared" si="1"/>
        <v>0</v>
      </c>
      <c r="J36" s="311">
        <f t="shared" si="1"/>
        <v>0</v>
      </c>
      <c r="K36" s="311">
        <f t="shared" si="1"/>
        <v>0</v>
      </c>
      <c r="L36" s="311">
        <f t="shared" si="1"/>
        <v>0</v>
      </c>
      <c r="N36" s="310" t="s">
        <v>58</v>
      </c>
      <c r="O36" s="310" t="s">
        <v>217</v>
      </c>
      <c r="P36" s="310" t="s">
        <v>218</v>
      </c>
      <c r="Q36" s="311">
        <v>0</v>
      </c>
      <c r="R36" s="311">
        <v>0</v>
      </c>
      <c r="S36" s="311">
        <v>0</v>
      </c>
      <c r="T36" s="311">
        <v>0</v>
      </c>
      <c r="U36" s="311">
        <v>0</v>
      </c>
      <c r="V36" s="311">
        <v>0</v>
      </c>
      <c r="W36" s="311">
        <v>0</v>
      </c>
      <c r="X36" s="311">
        <v>0</v>
      </c>
      <c r="Y36" s="311">
        <v>0</v>
      </c>
      <c r="AA36" s="310"/>
      <c r="AB36" s="310"/>
      <c r="AC36" s="310"/>
      <c r="AD36" s="311"/>
      <c r="AE36" s="311"/>
      <c r="AF36" s="311"/>
      <c r="AG36" s="311"/>
      <c r="AH36" s="311"/>
      <c r="AI36" s="311"/>
      <c r="AJ36" s="311"/>
      <c r="AK36" s="311"/>
      <c r="AL36" s="311"/>
    </row>
    <row r="37" spans="1:38" ht="13.95" customHeight="1">
      <c r="A37" s="310" t="s">
        <v>58</v>
      </c>
      <c r="B37" s="310" t="s">
        <v>126</v>
      </c>
      <c r="C37" s="310" t="s">
        <v>219</v>
      </c>
      <c r="D37" s="311">
        <f t="shared" si="1"/>
        <v>0</v>
      </c>
      <c r="E37" s="311">
        <f t="shared" si="1"/>
        <v>0</v>
      </c>
      <c r="F37" s="311">
        <f t="shared" si="1"/>
        <v>0</v>
      </c>
      <c r="G37" s="311">
        <f t="shared" si="1"/>
        <v>0</v>
      </c>
      <c r="H37" s="311">
        <f t="shared" si="1"/>
        <v>0</v>
      </c>
      <c r="I37" s="311">
        <f t="shared" si="1"/>
        <v>0</v>
      </c>
      <c r="J37" s="311">
        <f t="shared" si="1"/>
        <v>0</v>
      </c>
      <c r="K37" s="311">
        <f t="shared" si="1"/>
        <v>0</v>
      </c>
      <c r="L37" s="311">
        <f t="shared" si="1"/>
        <v>0</v>
      </c>
      <c r="N37" s="310" t="s">
        <v>58</v>
      </c>
      <c r="O37" s="310" t="s">
        <v>126</v>
      </c>
      <c r="P37" s="310" t="s">
        <v>219</v>
      </c>
      <c r="Q37" s="311">
        <v>0</v>
      </c>
      <c r="R37" s="311">
        <v>0</v>
      </c>
      <c r="S37" s="311">
        <v>0</v>
      </c>
      <c r="T37" s="311">
        <v>0</v>
      </c>
      <c r="U37" s="311">
        <v>0</v>
      </c>
      <c r="V37" s="311">
        <v>0</v>
      </c>
      <c r="W37" s="311">
        <v>0</v>
      </c>
      <c r="X37" s="311">
        <v>0</v>
      </c>
      <c r="Y37" s="311">
        <v>0</v>
      </c>
      <c r="AA37" s="310"/>
      <c r="AB37" s="310"/>
      <c r="AC37" s="310"/>
      <c r="AD37" s="311"/>
      <c r="AE37" s="311"/>
      <c r="AF37" s="311"/>
      <c r="AG37" s="311"/>
      <c r="AH37" s="311"/>
      <c r="AI37" s="311"/>
      <c r="AJ37" s="311"/>
      <c r="AK37" s="311"/>
      <c r="AL37" s="311"/>
    </row>
    <row r="38" spans="1:38" ht="13.95" customHeight="1">
      <c r="A38" s="310" t="s">
        <v>58</v>
      </c>
      <c r="B38" s="310" t="s">
        <v>127</v>
      </c>
      <c r="C38" s="310" t="s">
        <v>220</v>
      </c>
      <c r="D38" s="311">
        <f t="shared" si="1"/>
        <v>0</v>
      </c>
      <c r="E38" s="311">
        <f t="shared" si="1"/>
        <v>0</v>
      </c>
      <c r="F38" s="311">
        <f t="shared" si="1"/>
        <v>0</v>
      </c>
      <c r="G38" s="311">
        <f t="shared" si="1"/>
        <v>0</v>
      </c>
      <c r="H38" s="311">
        <f t="shared" si="1"/>
        <v>0</v>
      </c>
      <c r="I38" s="311">
        <f t="shared" si="1"/>
        <v>0</v>
      </c>
      <c r="J38" s="311">
        <f t="shared" si="1"/>
        <v>0</v>
      </c>
      <c r="K38" s="311">
        <f t="shared" si="1"/>
        <v>0</v>
      </c>
      <c r="L38" s="311">
        <f t="shared" si="1"/>
        <v>0</v>
      </c>
      <c r="N38" s="310" t="s">
        <v>58</v>
      </c>
      <c r="O38" s="310" t="s">
        <v>127</v>
      </c>
      <c r="P38" s="310" t="s">
        <v>220</v>
      </c>
      <c r="Q38" s="311">
        <v>0</v>
      </c>
      <c r="R38" s="311">
        <v>0</v>
      </c>
      <c r="S38" s="311">
        <v>0</v>
      </c>
      <c r="T38" s="311">
        <v>0</v>
      </c>
      <c r="U38" s="311">
        <v>0</v>
      </c>
      <c r="V38" s="311">
        <v>0</v>
      </c>
      <c r="W38" s="311">
        <v>0</v>
      </c>
      <c r="X38" s="311">
        <v>0</v>
      </c>
      <c r="Y38" s="311">
        <v>0</v>
      </c>
      <c r="AA38" s="310"/>
      <c r="AB38" s="310"/>
      <c r="AC38" s="310"/>
      <c r="AD38" s="311"/>
      <c r="AE38" s="311"/>
      <c r="AF38" s="311"/>
      <c r="AG38" s="311"/>
      <c r="AH38" s="311"/>
      <c r="AI38" s="311"/>
      <c r="AJ38" s="311"/>
      <c r="AK38" s="311"/>
      <c r="AL38" s="311"/>
    </row>
    <row r="39" spans="1:38" ht="13.95" customHeight="1">
      <c r="A39" s="310" t="s">
        <v>58</v>
      </c>
      <c r="B39" s="310" t="s">
        <v>138</v>
      </c>
      <c r="C39" s="310" t="s">
        <v>221</v>
      </c>
      <c r="D39" s="311">
        <f t="shared" si="1"/>
        <v>0</v>
      </c>
      <c r="E39" s="311">
        <f t="shared" si="1"/>
        <v>0</v>
      </c>
      <c r="F39" s="311">
        <f t="shared" si="1"/>
        <v>0</v>
      </c>
      <c r="G39" s="311">
        <f t="shared" si="1"/>
        <v>0</v>
      </c>
      <c r="H39" s="311">
        <f t="shared" si="1"/>
        <v>0</v>
      </c>
      <c r="I39" s="311">
        <f t="shared" si="1"/>
        <v>0</v>
      </c>
      <c r="J39" s="311">
        <f t="shared" si="1"/>
        <v>0</v>
      </c>
      <c r="K39" s="311">
        <f t="shared" si="1"/>
        <v>0</v>
      </c>
      <c r="L39" s="311">
        <f t="shared" si="1"/>
        <v>0</v>
      </c>
      <c r="N39" s="310" t="s">
        <v>58</v>
      </c>
      <c r="O39" s="310" t="s">
        <v>138</v>
      </c>
      <c r="P39" s="310" t="s">
        <v>221</v>
      </c>
      <c r="Q39" s="311">
        <v>0</v>
      </c>
      <c r="R39" s="311">
        <v>0</v>
      </c>
      <c r="S39" s="311">
        <v>0</v>
      </c>
      <c r="T39" s="311">
        <v>0</v>
      </c>
      <c r="U39" s="311">
        <v>0</v>
      </c>
      <c r="V39" s="311">
        <v>0</v>
      </c>
      <c r="W39" s="311">
        <v>0</v>
      </c>
      <c r="X39" s="311">
        <v>0</v>
      </c>
      <c r="Y39" s="311">
        <v>0</v>
      </c>
      <c r="AA39" s="310"/>
      <c r="AB39" s="310"/>
      <c r="AC39" s="310"/>
      <c r="AD39" s="311"/>
      <c r="AE39" s="311"/>
      <c r="AF39" s="311"/>
      <c r="AG39" s="311"/>
      <c r="AH39" s="311"/>
      <c r="AI39" s="311"/>
      <c r="AJ39" s="311"/>
      <c r="AK39" s="311"/>
      <c r="AL39" s="311"/>
    </row>
    <row r="40" spans="1:38" ht="13.95" customHeight="1">
      <c r="A40" s="310" t="s">
        <v>58</v>
      </c>
      <c r="B40" s="310" t="s">
        <v>222</v>
      </c>
      <c r="C40" s="310" t="s">
        <v>223</v>
      </c>
      <c r="D40" s="311">
        <f t="shared" si="1"/>
        <v>0</v>
      </c>
      <c r="E40" s="311">
        <f t="shared" si="1"/>
        <v>0</v>
      </c>
      <c r="F40" s="311">
        <f t="shared" si="1"/>
        <v>0</v>
      </c>
      <c r="G40" s="311">
        <f t="shared" si="1"/>
        <v>0</v>
      </c>
      <c r="H40" s="311">
        <f t="shared" si="1"/>
        <v>0</v>
      </c>
      <c r="I40" s="311">
        <f t="shared" si="1"/>
        <v>0</v>
      </c>
      <c r="J40" s="311">
        <f t="shared" si="1"/>
        <v>0</v>
      </c>
      <c r="K40" s="311">
        <f t="shared" si="1"/>
        <v>0</v>
      </c>
      <c r="L40" s="311">
        <f t="shared" si="1"/>
        <v>0</v>
      </c>
      <c r="N40" s="310" t="s">
        <v>58</v>
      </c>
      <c r="O40" s="310" t="s">
        <v>222</v>
      </c>
      <c r="P40" s="310" t="s">
        <v>223</v>
      </c>
      <c r="Q40" s="311">
        <v>0</v>
      </c>
      <c r="R40" s="311">
        <v>0</v>
      </c>
      <c r="S40" s="311">
        <v>0</v>
      </c>
      <c r="T40" s="311">
        <v>0</v>
      </c>
      <c r="U40" s="311">
        <v>0</v>
      </c>
      <c r="V40" s="311">
        <v>0</v>
      </c>
      <c r="W40" s="311">
        <v>0</v>
      </c>
      <c r="X40" s="311">
        <v>0</v>
      </c>
      <c r="Y40" s="311">
        <v>0</v>
      </c>
      <c r="AA40" s="310"/>
      <c r="AB40" s="310"/>
      <c r="AC40" s="310"/>
      <c r="AD40" s="311"/>
      <c r="AE40" s="311"/>
      <c r="AF40" s="311"/>
      <c r="AG40" s="311"/>
      <c r="AH40" s="311"/>
      <c r="AI40" s="311"/>
      <c r="AJ40" s="311"/>
      <c r="AK40" s="311"/>
      <c r="AL40" s="311"/>
    </row>
    <row r="41" spans="1:38" ht="13.95" customHeight="1">
      <c r="A41" s="310" t="s">
        <v>58</v>
      </c>
      <c r="B41" s="310" t="s">
        <v>224</v>
      </c>
      <c r="C41" s="310" t="s">
        <v>225</v>
      </c>
      <c r="D41" s="311">
        <f t="shared" si="1"/>
        <v>0</v>
      </c>
      <c r="E41" s="311">
        <f t="shared" si="1"/>
        <v>0</v>
      </c>
      <c r="F41" s="311">
        <f t="shared" si="1"/>
        <v>0</v>
      </c>
      <c r="G41" s="311">
        <f t="shared" si="1"/>
        <v>0</v>
      </c>
      <c r="H41" s="311">
        <f t="shared" si="1"/>
        <v>0</v>
      </c>
      <c r="I41" s="311">
        <f t="shared" si="1"/>
        <v>0</v>
      </c>
      <c r="J41" s="311">
        <f t="shared" si="1"/>
        <v>0</v>
      </c>
      <c r="K41" s="311">
        <f t="shared" si="1"/>
        <v>0</v>
      </c>
      <c r="L41" s="311">
        <f t="shared" si="1"/>
        <v>0</v>
      </c>
      <c r="N41" s="310" t="s">
        <v>58</v>
      </c>
      <c r="O41" s="310" t="s">
        <v>224</v>
      </c>
      <c r="P41" s="310" t="s">
        <v>225</v>
      </c>
      <c r="Q41" s="311">
        <v>0</v>
      </c>
      <c r="R41" s="311">
        <v>0</v>
      </c>
      <c r="S41" s="311">
        <v>0</v>
      </c>
      <c r="T41" s="311">
        <v>0</v>
      </c>
      <c r="U41" s="311">
        <v>0</v>
      </c>
      <c r="V41" s="311">
        <v>0</v>
      </c>
      <c r="W41" s="311">
        <v>0</v>
      </c>
      <c r="X41" s="311">
        <v>0</v>
      </c>
      <c r="Y41" s="311">
        <v>0</v>
      </c>
      <c r="AA41" s="310"/>
      <c r="AB41" s="310"/>
      <c r="AC41" s="310"/>
      <c r="AD41" s="311"/>
      <c r="AE41" s="311"/>
      <c r="AF41" s="311"/>
      <c r="AG41" s="311"/>
      <c r="AH41" s="311"/>
      <c r="AI41" s="311"/>
      <c r="AJ41" s="311"/>
      <c r="AK41" s="311"/>
      <c r="AL41" s="311"/>
    </row>
    <row r="42" spans="1:38" ht="12" customHeight="1"/>
    <row r="43" spans="1:38" ht="16.2" customHeight="1">
      <c r="A43" s="358" t="s">
        <v>174</v>
      </c>
      <c r="B43" s="358"/>
      <c r="C43" s="358"/>
      <c r="D43" s="358"/>
      <c r="E43" s="358"/>
      <c r="F43" s="358"/>
      <c r="G43" s="358"/>
      <c r="H43" s="358"/>
      <c r="I43" s="358"/>
      <c r="J43" s="358"/>
      <c r="K43" s="358"/>
      <c r="L43" s="358"/>
      <c r="N43" s="358" t="s">
        <v>174</v>
      </c>
      <c r="O43" s="358"/>
      <c r="P43" s="358"/>
      <c r="Q43" s="358"/>
      <c r="R43" s="358"/>
      <c r="S43" s="358"/>
      <c r="T43" s="358"/>
      <c r="U43" s="358"/>
      <c r="V43" s="358"/>
      <c r="W43" s="358"/>
      <c r="X43" s="358"/>
      <c r="Y43" s="358"/>
      <c r="AA43" s="358"/>
      <c r="AB43" s="358"/>
      <c r="AC43" s="358"/>
      <c r="AD43" s="358"/>
      <c r="AE43" s="358"/>
      <c r="AF43" s="358"/>
      <c r="AG43" s="358"/>
      <c r="AH43" s="358"/>
      <c r="AI43" s="358"/>
      <c r="AJ43" s="358"/>
      <c r="AK43" s="358"/>
      <c r="AL43" s="358"/>
    </row>
    <row r="44" spans="1:38" ht="16.2" customHeight="1">
      <c r="A44" s="358" t="s">
        <v>226</v>
      </c>
      <c r="B44" s="358"/>
      <c r="C44" s="358"/>
      <c r="D44" s="358"/>
      <c r="E44" s="358"/>
      <c r="F44" s="358"/>
      <c r="G44" s="358"/>
      <c r="H44" s="358"/>
      <c r="I44" s="358"/>
      <c r="J44" s="358"/>
      <c r="K44" s="358"/>
      <c r="L44" s="358"/>
      <c r="N44" s="358" t="s">
        <v>226</v>
      </c>
      <c r="O44" s="358"/>
      <c r="P44" s="358"/>
      <c r="Q44" s="358"/>
      <c r="R44" s="358"/>
      <c r="S44" s="358"/>
      <c r="T44" s="358"/>
      <c r="U44" s="358"/>
      <c r="V44" s="358"/>
      <c r="W44" s="358"/>
      <c r="X44" s="358"/>
      <c r="Y44" s="358"/>
      <c r="AA44" s="358"/>
      <c r="AB44" s="358"/>
      <c r="AC44" s="358"/>
      <c r="AD44" s="358"/>
      <c r="AE44" s="358"/>
      <c r="AF44" s="358"/>
      <c r="AG44" s="358"/>
      <c r="AH44" s="358"/>
      <c r="AI44" s="358"/>
      <c r="AJ44" s="358"/>
      <c r="AK44" s="358"/>
      <c r="AL44" s="358"/>
    </row>
    <row r="45" spans="1:38" ht="12" customHeight="1">
      <c r="AB45" s="308"/>
      <c r="AD45" s="308"/>
    </row>
    <row r="46" spans="1:38" ht="13.95" customHeight="1">
      <c r="A46" s="309" t="s">
        <v>2</v>
      </c>
      <c r="B46" s="309" t="s">
        <v>4</v>
      </c>
      <c r="C46" s="309" t="s">
        <v>176</v>
      </c>
      <c r="D46" s="309" t="s">
        <v>177</v>
      </c>
      <c r="E46" s="309" t="s">
        <v>178</v>
      </c>
      <c r="F46" s="309" t="s">
        <v>179</v>
      </c>
      <c r="G46" s="309" t="s">
        <v>180</v>
      </c>
      <c r="H46" s="309" t="s">
        <v>181</v>
      </c>
      <c r="I46" s="309" t="s">
        <v>182</v>
      </c>
      <c r="J46" s="309" t="s">
        <v>183</v>
      </c>
      <c r="K46" s="309" t="s">
        <v>184</v>
      </c>
      <c r="L46" s="309" t="s">
        <v>1</v>
      </c>
      <c r="N46" s="309" t="s">
        <v>2</v>
      </c>
      <c r="O46" s="309" t="s">
        <v>4</v>
      </c>
      <c r="P46" s="309" t="s">
        <v>176</v>
      </c>
      <c r="Q46" s="309" t="s">
        <v>177</v>
      </c>
      <c r="R46" s="309" t="s">
        <v>178</v>
      </c>
      <c r="S46" s="309" t="s">
        <v>179</v>
      </c>
      <c r="T46" s="309" t="s">
        <v>180</v>
      </c>
      <c r="U46" s="309" t="s">
        <v>181</v>
      </c>
      <c r="V46" s="309" t="s">
        <v>182</v>
      </c>
      <c r="W46" s="309" t="s">
        <v>183</v>
      </c>
      <c r="X46" s="309" t="s">
        <v>184</v>
      </c>
      <c r="Y46" s="309" t="s">
        <v>1</v>
      </c>
      <c r="AA46" s="309"/>
      <c r="AB46" s="309"/>
      <c r="AC46" s="309"/>
      <c r="AD46" s="309"/>
      <c r="AE46" s="309"/>
      <c r="AF46" s="309"/>
      <c r="AG46" s="309"/>
      <c r="AH46" s="309"/>
      <c r="AI46" s="309"/>
      <c r="AJ46" s="309"/>
      <c r="AK46" s="309"/>
      <c r="AL46" s="309"/>
    </row>
    <row r="47" spans="1:38" ht="13.95" customHeight="1">
      <c r="A47" s="310" t="s">
        <v>59</v>
      </c>
      <c r="B47" s="310" t="s">
        <v>95</v>
      </c>
      <c r="C47" s="310" t="s">
        <v>185</v>
      </c>
      <c r="D47" s="311">
        <f>Q47+AD47</f>
        <v>0</v>
      </c>
      <c r="E47" s="311">
        <f t="shared" ref="E47:L74" si="2">R47+AE47</f>
        <v>0</v>
      </c>
      <c r="F47" s="311">
        <f t="shared" si="2"/>
        <v>0</v>
      </c>
      <c r="G47" s="311">
        <f t="shared" si="2"/>
        <v>0</v>
      </c>
      <c r="H47" s="311">
        <f t="shared" si="2"/>
        <v>0</v>
      </c>
      <c r="I47" s="311">
        <f t="shared" si="2"/>
        <v>0</v>
      </c>
      <c r="J47" s="311">
        <f t="shared" si="2"/>
        <v>0</v>
      </c>
      <c r="K47" s="311">
        <f t="shared" si="2"/>
        <v>0</v>
      </c>
      <c r="L47" s="311">
        <f t="shared" si="2"/>
        <v>0</v>
      </c>
      <c r="N47" s="310" t="s">
        <v>59</v>
      </c>
      <c r="O47" s="310" t="s">
        <v>95</v>
      </c>
      <c r="P47" s="310" t="s">
        <v>185</v>
      </c>
      <c r="Q47" s="311">
        <v>0</v>
      </c>
      <c r="R47" s="311">
        <v>0</v>
      </c>
      <c r="S47" s="311">
        <v>0</v>
      </c>
      <c r="T47" s="311">
        <v>0</v>
      </c>
      <c r="U47" s="311">
        <v>0</v>
      </c>
      <c r="V47" s="311">
        <v>0</v>
      </c>
      <c r="W47" s="311">
        <v>0</v>
      </c>
      <c r="X47" s="311">
        <v>0</v>
      </c>
      <c r="Y47" s="311">
        <v>0</v>
      </c>
      <c r="AA47" s="310"/>
      <c r="AB47" s="310"/>
      <c r="AC47" s="310"/>
      <c r="AD47" s="311"/>
      <c r="AE47" s="311"/>
      <c r="AF47" s="311"/>
      <c r="AG47" s="311"/>
      <c r="AH47" s="311"/>
      <c r="AI47" s="311"/>
      <c r="AJ47" s="311"/>
      <c r="AK47" s="311"/>
      <c r="AL47" s="311"/>
    </row>
    <row r="48" spans="1:38" ht="13.95" customHeight="1">
      <c r="A48" s="310" t="s">
        <v>59</v>
      </c>
      <c r="B48" s="310" t="s">
        <v>96</v>
      </c>
      <c r="C48" s="310" t="s">
        <v>186</v>
      </c>
      <c r="D48" s="311">
        <f t="shared" ref="D48:D74" si="3">Q48+AD48</f>
        <v>0</v>
      </c>
      <c r="E48" s="311">
        <f t="shared" si="2"/>
        <v>0</v>
      </c>
      <c r="F48" s="311">
        <f t="shared" si="2"/>
        <v>0</v>
      </c>
      <c r="G48" s="311">
        <f t="shared" si="2"/>
        <v>0</v>
      </c>
      <c r="H48" s="311">
        <f t="shared" si="2"/>
        <v>15776</v>
      </c>
      <c r="I48" s="311">
        <f t="shared" si="2"/>
        <v>0</v>
      </c>
      <c r="J48" s="311">
        <f t="shared" si="2"/>
        <v>0</v>
      </c>
      <c r="K48" s="311">
        <f t="shared" si="2"/>
        <v>0</v>
      </c>
      <c r="L48" s="311">
        <f t="shared" si="2"/>
        <v>15776</v>
      </c>
      <c r="N48" s="310" t="s">
        <v>59</v>
      </c>
      <c r="O48" s="310" t="s">
        <v>96</v>
      </c>
      <c r="P48" s="310" t="s">
        <v>186</v>
      </c>
      <c r="Q48" s="311">
        <v>0</v>
      </c>
      <c r="R48" s="311">
        <v>0</v>
      </c>
      <c r="S48" s="311">
        <v>0</v>
      </c>
      <c r="T48" s="311">
        <v>0</v>
      </c>
      <c r="U48" s="311">
        <v>15776</v>
      </c>
      <c r="V48" s="311">
        <v>0</v>
      </c>
      <c r="W48" s="311">
        <v>0</v>
      </c>
      <c r="X48" s="311">
        <v>0</v>
      </c>
      <c r="Y48" s="311">
        <v>15776</v>
      </c>
      <c r="AA48" s="310"/>
      <c r="AB48" s="310"/>
      <c r="AC48" s="310"/>
      <c r="AD48" s="311"/>
      <c r="AE48" s="311"/>
      <c r="AF48" s="311"/>
      <c r="AG48" s="311"/>
      <c r="AH48" s="311"/>
      <c r="AI48" s="311"/>
      <c r="AJ48" s="311"/>
      <c r="AK48" s="311"/>
      <c r="AL48" s="311"/>
    </row>
    <row r="49" spans="1:38" ht="13.95" customHeight="1">
      <c r="A49" s="310" t="s">
        <v>59</v>
      </c>
      <c r="B49" s="310" t="s">
        <v>97</v>
      </c>
      <c r="C49" s="310" t="s">
        <v>187</v>
      </c>
      <c r="D49" s="311">
        <f t="shared" si="3"/>
        <v>0</v>
      </c>
      <c r="E49" s="311">
        <f t="shared" si="2"/>
        <v>107936</v>
      </c>
      <c r="F49" s="311">
        <f t="shared" si="2"/>
        <v>0</v>
      </c>
      <c r="G49" s="311">
        <f t="shared" si="2"/>
        <v>0</v>
      </c>
      <c r="H49" s="311">
        <f t="shared" si="2"/>
        <v>52752</v>
      </c>
      <c r="I49" s="311">
        <f t="shared" si="2"/>
        <v>5040</v>
      </c>
      <c r="J49" s="311">
        <f t="shared" si="2"/>
        <v>0</v>
      </c>
      <c r="K49" s="311">
        <f t="shared" si="2"/>
        <v>0</v>
      </c>
      <c r="L49" s="311">
        <f t="shared" si="2"/>
        <v>165728</v>
      </c>
      <c r="N49" s="310" t="s">
        <v>59</v>
      </c>
      <c r="O49" s="310" t="s">
        <v>97</v>
      </c>
      <c r="P49" s="310" t="s">
        <v>187</v>
      </c>
      <c r="Q49" s="311">
        <v>0</v>
      </c>
      <c r="R49" s="311">
        <v>107936</v>
      </c>
      <c r="S49" s="311">
        <v>0</v>
      </c>
      <c r="T49" s="311">
        <v>0</v>
      </c>
      <c r="U49" s="311">
        <v>52752</v>
      </c>
      <c r="V49" s="311">
        <v>5040</v>
      </c>
      <c r="W49" s="311">
        <v>0</v>
      </c>
      <c r="X49" s="311">
        <v>0</v>
      </c>
      <c r="Y49" s="311">
        <v>165728</v>
      </c>
      <c r="AA49" s="310"/>
      <c r="AB49" s="310"/>
      <c r="AC49" s="310"/>
      <c r="AD49" s="311"/>
      <c r="AE49" s="311"/>
      <c r="AF49" s="311"/>
      <c r="AG49" s="311"/>
      <c r="AH49" s="311"/>
      <c r="AI49" s="311"/>
      <c r="AJ49" s="311"/>
      <c r="AK49" s="311"/>
      <c r="AL49" s="311"/>
    </row>
    <row r="50" spans="1:38" ht="13.95" customHeight="1">
      <c r="A50" s="310" t="s">
        <v>59</v>
      </c>
      <c r="B50" s="310" t="s">
        <v>98</v>
      </c>
      <c r="C50" s="310" t="s">
        <v>188</v>
      </c>
      <c r="D50" s="311">
        <f t="shared" si="3"/>
        <v>10416</v>
      </c>
      <c r="E50" s="311">
        <f t="shared" si="2"/>
        <v>0</v>
      </c>
      <c r="F50" s="311">
        <f t="shared" si="2"/>
        <v>0</v>
      </c>
      <c r="G50" s="311">
        <f t="shared" si="2"/>
        <v>0</v>
      </c>
      <c r="H50" s="311">
        <f t="shared" si="2"/>
        <v>23680</v>
      </c>
      <c r="I50" s="311">
        <f t="shared" si="2"/>
        <v>9952</v>
      </c>
      <c r="J50" s="311">
        <f t="shared" si="2"/>
        <v>8413</v>
      </c>
      <c r="K50" s="311">
        <f t="shared" si="2"/>
        <v>0</v>
      </c>
      <c r="L50" s="311">
        <f t="shared" si="2"/>
        <v>52461</v>
      </c>
      <c r="N50" s="310" t="s">
        <v>59</v>
      </c>
      <c r="O50" s="310" t="s">
        <v>98</v>
      </c>
      <c r="P50" s="310" t="s">
        <v>188</v>
      </c>
      <c r="Q50" s="311">
        <v>10416</v>
      </c>
      <c r="R50" s="311">
        <v>0</v>
      </c>
      <c r="S50" s="311">
        <v>0</v>
      </c>
      <c r="T50" s="311">
        <v>0</v>
      </c>
      <c r="U50" s="311">
        <v>23680</v>
      </c>
      <c r="V50" s="311">
        <v>9952</v>
      </c>
      <c r="W50" s="311">
        <v>8413</v>
      </c>
      <c r="X50" s="311">
        <v>0</v>
      </c>
      <c r="Y50" s="311">
        <v>52461</v>
      </c>
      <c r="AA50" s="310"/>
      <c r="AB50" s="310"/>
      <c r="AC50" s="310"/>
      <c r="AD50" s="311"/>
      <c r="AE50" s="311"/>
      <c r="AF50" s="311"/>
      <c r="AG50" s="311"/>
      <c r="AH50" s="311"/>
      <c r="AI50" s="311"/>
      <c r="AJ50" s="311"/>
      <c r="AK50" s="311"/>
      <c r="AL50" s="311"/>
    </row>
    <row r="51" spans="1:38" ht="13.95" customHeight="1">
      <c r="A51" s="310" t="s">
        <v>59</v>
      </c>
      <c r="B51" s="310" t="s">
        <v>99</v>
      </c>
      <c r="C51" s="310" t="s">
        <v>189</v>
      </c>
      <c r="D51" s="311">
        <f t="shared" si="3"/>
        <v>0</v>
      </c>
      <c r="E51" s="311">
        <f t="shared" si="2"/>
        <v>0</v>
      </c>
      <c r="F51" s="311">
        <f t="shared" si="2"/>
        <v>0</v>
      </c>
      <c r="G51" s="311">
        <f t="shared" si="2"/>
        <v>0</v>
      </c>
      <c r="H51" s="311">
        <f t="shared" si="2"/>
        <v>0</v>
      </c>
      <c r="I51" s="311">
        <f t="shared" si="2"/>
        <v>0</v>
      </c>
      <c r="J51" s="311">
        <f t="shared" si="2"/>
        <v>0</v>
      </c>
      <c r="K51" s="311">
        <f t="shared" si="2"/>
        <v>0</v>
      </c>
      <c r="L51" s="311">
        <f t="shared" si="2"/>
        <v>0</v>
      </c>
      <c r="N51" s="310" t="s">
        <v>59</v>
      </c>
      <c r="O51" s="310" t="s">
        <v>99</v>
      </c>
      <c r="P51" s="310" t="s">
        <v>189</v>
      </c>
      <c r="Q51" s="311">
        <v>0</v>
      </c>
      <c r="R51" s="311">
        <v>0</v>
      </c>
      <c r="S51" s="311">
        <v>0</v>
      </c>
      <c r="T51" s="311">
        <v>0</v>
      </c>
      <c r="U51" s="311">
        <v>0</v>
      </c>
      <c r="V51" s="311">
        <v>0</v>
      </c>
      <c r="W51" s="311">
        <v>0</v>
      </c>
      <c r="X51" s="311">
        <v>0</v>
      </c>
      <c r="Y51" s="311">
        <v>0</v>
      </c>
      <c r="AA51" s="310"/>
      <c r="AB51" s="310"/>
      <c r="AC51" s="310"/>
      <c r="AD51" s="311"/>
      <c r="AE51" s="311"/>
      <c r="AF51" s="311"/>
      <c r="AG51" s="311"/>
      <c r="AH51" s="311"/>
      <c r="AI51" s="311"/>
      <c r="AJ51" s="311"/>
      <c r="AK51" s="311"/>
      <c r="AL51" s="311"/>
    </row>
    <row r="52" spans="1:38" ht="13.95" customHeight="1">
      <c r="A52" s="310" t="s">
        <v>59</v>
      </c>
      <c r="B52" s="310" t="s">
        <v>100</v>
      </c>
      <c r="C52" s="310" t="s">
        <v>190</v>
      </c>
      <c r="D52" s="311">
        <f t="shared" si="3"/>
        <v>19632</v>
      </c>
      <c r="E52" s="311">
        <f t="shared" si="2"/>
        <v>0</v>
      </c>
      <c r="F52" s="311">
        <f t="shared" si="2"/>
        <v>0</v>
      </c>
      <c r="G52" s="311">
        <f t="shared" si="2"/>
        <v>0</v>
      </c>
      <c r="H52" s="311">
        <f t="shared" si="2"/>
        <v>0</v>
      </c>
      <c r="I52" s="311">
        <f t="shared" si="2"/>
        <v>0</v>
      </c>
      <c r="J52" s="311">
        <f t="shared" si="2"/>
        <v>0</v>
      </c>
      <c r="K52" s="311">
        <f t="shared" si="2"/>
        <v>0</v>
      </c>
      <c r="L52" s="311">
        <f t="shared" si="2"/>
        <v>19632</v>
      </c>
      <c r="N52" s="310" t="s">
        <v>59</v>
      </c>
      <c r="O52" s="310" t="s">
        <v>100</v>
      </c>
      <c r="P52" s="310" t="s">
        <v>190</v>
      </c>
      <c r="Q52" s="311">
        <v>19632</v>
      </c>
      <c r="R52" s="311">
        <v>0</v>
      </c>
      <c r="S52" s="311">
        <v>0</v>
      </c>
      <c r="T52" s="311">
        <v>0</v>
      </c>
      <c r="U52" s="311">
        <v>0</v>
      </c>
      <c r="V52" s="311">
        <v>0</v>
      </c>
      <c r="W52" s="311">
        <v>0</v>
      </c>
      <c r="X52" s="311">
        <v>0</v>
      </c>
      <c r="Y52" s="311">
        <v>19632</v>
      </c>
      <c r="AA52" s="310"/>
      <c r="AB52" s="310"/>
      <c r="AC52" s="310"/>
      <c r="AD52" s="311"/>
      <c r="AE52" s="311"/>
      <c r="AF52" s="311"/>
      <c r="AG52" s="311"/>
      <c r="AH52" s="311"/>
      <c r="AI52" s="311"/>
      <c r="AJ52" s="311"/>
      <c r="AK52" s="311"/>
      <c r="AL52" s="311"/>
    </row>
    <row r="53" spans="1:38" ht="13.95" customHeight="1">
      <c r="A53" s="310" t="s">
        <v>59</v>
      </c>
      <c r="B53" s="310" t="s">
        <v>101</v>
      </c>
      <c r="C53" s="310" t="s">
        <v>191</v>
      </c>
      <c r="D53" s="311">
        <f t="shared" si="3"/>
        <v>0</v>
      </c>
      <c r="E53" s="311">
        <f t="shared" si="2"/>
        <v>15760</v>
      </c>
      <c r="F53" s="311">
        <f t="shared" si="2"/>
        <v>0</v>
      </c>
      <c r="G53" s="311">
        <f t="shared" si="2"/>
        <v>0</v>
      </c>
      <c r="H53" s="311">
        <f t="shared" si="2"/>
        <v>0</v>
      </c>
      <c r="I53" s="311">
        <f t="shared" si="2"/>
        <v>10144</v>
      </c>
      <c r="J53" s="311">
        <f t="shared" si="2"/>
        <v>0</v>
      </c>
      <c r="K53" s="311">
        <f t="shared" si="2"/>
        <v>1200</v>
      </c>
      <c r="L53" s="311">
        <f t="shared" si="2"/>
        <v>27104</v>
      </c>
      <c r="N53" s="310" t="s">
        <v>59</v>
      </c>
      <c r="O53" s="310" t="s">
        <v>101</v>
      </c>
      <c r="P53" s="310" t="s">
        <v>191</v>
      </c>
      <c r="Q53" s="311">
        <v>0</v>
      </c>
      <c r="R53" s="311">
        <v>15760</v>
      </c>
      <c r="S53" s="311">
        <v>0</v>
      </c>
      <c r="T53" s="311">
        <v>0</v>
      </c>
      <c r="U53" s="311">
        <v>0</v>
      </c>
      <c r="V53" s="311">
        <v>10144</v>
      </c>
      <c r="W53" s="311">
        <v>0</v>
      </c>
      <c r="X53" s="311">
        <v>1200</v>
      </c>
      <c r="Y53" s="311">
        <v>27104</v>
      </c>
      <c r="AA53" s="310"/>
      <c r="AB53" s="310"/>
      <c r="AC53" s="310"/>
      <c r="AD53" s="311"/>
      <c r="AE53" s="311"/>
      <c r="AF53" s="311"/>
      <c r="AG53" s="311"/>
      <c r="AH53" s="311"/>
      <c r="AI53" s="311"/>
      <c r="AJ53" s="311"/>
      <c r="AK53" s="311"/>
      <c r="AL53" s="311"/>
    </row>
    <row r="54" spans="1:38" ht="13.95" customHeight="1">
      <c r="A54" s="310" t="s">
        <v>59</v>
      </c>
      <c r="B54" s="310" t="s">
        <v>102</v>
      </c>
      <c r="C54" s="310" t="s">
        <v>192</v>
      </c>
      <c r="D54" s="311">
        <f t="shared" si="3"/>
        <v>0</v>
      </c>
      <c r="E54" s="311">
        <f t="shared" si="2"/>
        <v>0</v>
      </c>
      <c r="F54" s="311">
        <f t="shared" si="2"/>
        <v>0</v>
      </c>
      <c r="G54" s="311">
        <f t="shared" si="2"/>
        <v>0</v>
      </c>
      <c r="H54" s="311">
        <f t="shared" si="2"/>
        <v>1216</v>
      </c>
      <c r="I54" s="311">
        <f t="shared" si="2"/>
        <v>0</v>
      </c>
      <c r="J54" s="311">
        <f t="shared" si="2"/>
        <v>0</v>
      </c>
      <c r="K54" s="311">
        <f t="shared" si="2"/>
        <v>0</v>
      </c>
      <c r="L54" s="311">
        <f t="shared" si="2"/>
        <v>1216</v>
      </c>
      <c r="N54" s="310" t="s">
        <v>59</v>
      </c>
      <c r="O54" s="310" t="s">
        <v>102</v>
      </c>
      <c r="P54" s="310" t="s">
        <v>192</v>
      </c>
      <c r="Q54" s="311">
        <v>0</v>
      </c>
      <c r="R54" s="311">
        <v>0</v>
      </c>
      <c r="S54" s="311">
        <v>0</v>
      </c>
      <c r="T54" s="311">
        <v>0</v>
      </c>
      <c r="U54" s="311">
        <v>1216</v>
      </c>
      <c r="V54" s="311">
        <v>0</v>
      </c>
      <c r="W54" s="311">
        <v>0</v>
      </c>
      <c r="X54" s="311">
        <v>0</v>
      </c>
      <c r="Y54" s="311">
        <v>1216</v>
      </c>
      <c r="AA54" s="310"/>
      <c r="AB54" s="310"/>
      <c r="AC54" s="310"/>
      <c r="AD54" s="311"/>
      <c r="AE54" s="311"/>
      <c r="AF54" s="311"/>
      <c r="AG54" s="311"/>
      <c r="AH54" s="311"/>
      <c r="AI54" s="311"/>
      <c r="AJ54" s="311"/>
      <c r="AK54" s="311"/>
      <c r="AL54" s="311"/>
    </row>
    <row r="55" spans="1:38" ht="13.95" customHeight="1">
      <c r="A55" s="310" t="s">
        <v>59</v>
      </c>
      <c r="B55" s="310" t="s">
        <v>103</v>
      </c>
      <c r="C55" s="310" t="s">
        <v>193</v>
      </c>
      <c r="D55" s="311">
        <f t="shared" si="3"/>
        <v>13968</v>
      </c>
      <c r="E55" s="311">
        <f t="shared" si="2"/>
        <v>6304</v>
      </c>
      <c r="F55" s="311">
        <f t="shared" si="2"/>
        <v>0</v>
      </c>
      <c r="G55" s="311">
        <f t="shared" si="2"/>
        <v>0</v>
      </c>
      <c r="H55" s="311">
        <f t="shared" si="2"/>
        <v>52704</v>
      </c>
      <c r="I55" s="311">
        <f t="shared" si="2"/>
        <v>0</v>
      </c>
      <c r="J55" s="311">
        <f t="shared" si="2"/>
        <v>0</v>
      </c>
      <c r="K55" s="311">
        <f t="shared" si="2"/>
        <v>0</v>
      </c>
      <c r="L55" s="311">
        <f t="shared" si="2"/>
        <v>72976</v>
      </c>
      <c r="N55" s="310" t="s">
        <v>59</v>
      </c>
      <c r="O55" s="310" t="s">
        <v>103</v>
      </c>
      <c r="P55" s="310" t="s">
        <v>193</v>
      </c>
      <c r="Q55" s="311">
        <v>13968</v>
      </c>
      <c r="R55" s="311">
        <v>6304</v>
      </c>
      <c r="S55" s="311">
        <v>0</v>
      </c>
      <c r="T55" s="311">
        <v>0</v>
      </c>
      <c r="U55" s="311">
        <v>52704</v>
      </c>
      <c r="V55" s="311">
        <v>0</v>
      </c>
      <c r="W55" s="311">
        <v>0</v>
      </c>
      <c r="X55" s="311">
        <v>0</v>
      </c>
      <c r="Y55" s="311">
        <v>72976</v>
      </c>
      <c r="AA55" s="310"/>
      <c r="AB55" s="310"/>
      <c r="AC55" s="310"/>
      <c r="AD55" s="311"/>
      <c r="AE55" s="311"/>
      <c r="AF55" s="311"/>
      <c r="AG55" s="311"/>
      <c r="AH55" s="311"/>
      <c r="AI55" s="311"/>
      <c r="AJ55" s="311"/>
      <c r="AK55" s="311"/>
      <c r="AL55" s="311"/>
    </row>
    <row r="56" spans="1:38" ht="13.95" customHeight="1">
      <c r="A56" s="310" t="s">
        <v>59</v>
      </c>
      <c r="B56" s="310" t="s">
        <v>104</v>
      </c>
      <c r="C56" s="310" t="s">
        <v>194</v>
      </c>
      <c r="D56" s="311">
        <f t="shared" si="3"/>
        <v>0</v>
      </c>
      <c r="E56" s="311">
        <f t="shared" si="2"/>
        <v>0</v>
      </c>
      <c r="F56" s="311">
        <f t="shared" si="2"/>
        <v>0</v>
      </c>
      <c r="G56" s="311">
        <f t="shared" si="2"/>
        <v>0</v>
      </c>
      <c r="H56" s="311">
        <f t="shared" si="2"/>
        <v>0</v>
      </c>
      <c r="I56" s="311">
        <f t="shared" si="2"/>
        <v>0</v>
      </c>
      <c r="J56" s="311">
        <f t="shared" si="2"/>
        <v>0</v>
      </c>
      <c r="K56" s="311">
        <f t="shared" si="2"/>
        <v>0</v>
      </c>
      <c r="L56" s="311">
        <f t="shared" si="2"/>
        <v>0</v>
      </c>
      <c r="N56" s="310" t="s">
        <v>59</v>
      </c>
      <c r="O56" s="310" t="s">
        <v>104</v>
      </c>
      <c r="P56" s="310" t="s">
        <v>194</v>
      </c>
      <c r="Q56" s="311">
        <v>0</v>
      </c>
      <c r="R56" s="311">
        <v>0</v>
      </c>
      <c r="S56" s="311">
        <v>0</v>
      </c>
      <c r="T56" s="311">
        <v>0</v>
      </c>
      <c r="U56" s="311">
        <v>0</v>
      </c>
      <c r="V56" s="311">
        <v>0</v>
      </c>
      <c r="W56" s="311">
        <v>0</v>
      </c>
      <c r="X56" s="311">
        <v>0</v>
      </c>
      <c r="Y56" s="311">
        <v>0</v>
      </c>
      <c r="AA56" s="310"/>
      <c r="AB56" s="310"/>
      <c r="AC56" s="310"/>
      <c r="AD56" s="311"/>
      <c r="AE56" s="311"/>
      <c r="AF56" s="311"/>
      <c r="AG56" s="311"/>
      <c r="AH56" s="311"/>
      <c r="AI56" s="311"/>
      <c r="AJ56" s="311"/>
      <c r="AK56" s="311"/>
      <c r="AL56" s="311"/>
    </row>
    <row r="57" spans="1:38" ht="13.95" customHeight="1">
      <c r="A57" s="310" t="s">
        <v>59</v>
      </c>
      <c r="B57" s="310" t="s">
        <v>105</v>
      </c>
      <c r="C57" s="310" t="s">
        <v>195</v>
      </c>
      <c r="D57" s="311">
        <f t="shared" si="3"/>
        <v>0</v>
      </c>
      <c r="E57" s="311">
        <f t="shared" si="2"/>
        <v>0</v>
      </c>
      <c r="F57" s="311">
        <f t="shared" si="2"/>
        <v>0</v>
      </c>
      <c r="G57" s="311">
        <f t="shared" si="2"/>
        <v>0</v>
      </c>
      <c r="H57" s="311">
        <f t="shared" si="2"/>
        <v>0</v>
      </c>
      <c r="I57" s="311">
        <f t="shared" si="2"/>
        <v>40800</v>
      </c>
      <c r="J57" s="311">
        <f t="shared" si="2"/>
        <v>0</v>
      </c>
      <c r="K57" s="311">
        <f t="shared" si="2"/>
        <v>3080</v>
      </c>
      <c r="L57" s="311">
        <f t="shared" si="2"/>
        <v>43880</v>
      </c>
      <c r="N57" s="310" t="s">
        <v>59</v>
      </c>
      <c r="O57" s="310" t="s">
        <v>105</v>
      </c>
      <c r="P57" s="310" t="s">
        <v>195</v>
      </c>
      <c r="Q57" s="311">
        <v>0</v>
      </c>
      <c r="R57" s="311">
        <v>0</v>
      </c>
      <c r="S57" s="311">
        <v>0</v>
      </c>
      <c r="T57" s="311">
        <v>0</v>
      </c>
      <c r="U57" s="311">
        <v>0</v>
      </c>
      <c r="V57" s="311">
        <v>40800</v>
      </c>
      <c r="W57" s="311">
        <v>0</v>
      </c>
      <c r="X57" s="311">
        <v>3080</v>
      </c>
      <c r="Y57" s="311">
        <v>43880</v>
      </c>
      <c r="AA57" s="310"/>
      <c r="AB57" s="310"/>
      <c r="AC57" s="310"/>
      <c r="AD57" s="311"/>
      <c r="AE57" s="311"/>
      <c r="AF57" s="311"/>
      <c r="AG57" s="311"/>
      <c r="AH57" s="311"/>
      <c r="AI57" s="311"/>
      <c r="AJ57" s="311"/>
      <c r="AK57" s="311"/>
      <c r="AL57" s="311"/>
    </row>
    <row r="58" spans="1:38" ht="13.95" customHeight="1">
      <c r="A58" s="310" t="s">
        <v>59</v>
      </c>
      <c r="B58" s="310" t="s">
        <v>106</v>
      </c>
      <c r="C58" s="310" t="s">
        <v>196</v>
      </c>
      <c r="D58" s="311">
        <f t="shared" si="3"/>
        <v>70368</v>
      </c>
      <c r="E58" s="311">
        <f t="shared" si="2"/>
        <v>0</v>
      </c>
      <c r="F58" s="311">
        <f t="shared" si="2"/>
        <v>11312</v>
      </c>
      <c r="G58" s="311">
        <f t="shared" si="2"/>
        <v>0</v>
      </c>
      <c r="H58" s="311">
        <f t="shared" si="2"/>
        <v>0</v>
      </c>
      <c r="I58" s="311">
        <f t="shared" si="2"/>
        <v>0</v>
      </c>
      <c r="J58" s="311">
        <f t="shared" si="2"/>
        <v>0</v>
      </c>
      <c r="K58" s="311">
        <f t="shared" si="2"/>
        <v>0</v>
      </c>
      <c r="L58" s="311">
        <f t="shared" si="2"/>
        <v>81680</v>
      </c>
      <c r="N58" s="310" t="s">
        <v>59</v>
      </c>
      <c r="O58" s="310" t="s">
        <v>106</v>
      </c>
      <c r="P58" s="310" t="s">
        <v>196</v>
      </c>
      <c r="Q58" s="311">
        <v>70368</v>
      </c>
      <c r="R58" s="311">
        <v>0</v>
      </c>
      <c r="S58" s="311">
        <v>11312</v>
      </c>
      <c r="T58" s="311">
        <v>0</v>
      </c>
      <c r="U58" s="311">
        <v>0</v>
      </c>
      <c r="V58" s="311">
        <v>0</v>
      </c>
      <c r="W58" s="311">
        <v>0</v>
      </c>
      <c r="X58" s="311">
        <v>0</v>
      </c>
      <c r="Y58" s="311">
        <v>81680</v>
      </c>
      <c r="AA58" s="310"/>
      <c r="AB58" s="310"/>
      <c r="AC58" s="310"/>
      <c r="AD58" s="311"/>
      <c r="AE58" s="311"/>
      <c r="AF58" s="311"/>
      <c r="AG58" s="311"/>
      <c r="AH58" s="311"/>
      <c r="AI58" s="311"/>
      <c r="AJ58" s="311"/>
      <c r="AK58" s="311"/>
      <c r="AL58" s="311"/>
    </row>
    <row r="59" spans="1:38" ht="13.95" customHeight="1">
      <c r="A59" s="310" t="s">
        <v>59</v>
      </c>
      <c r="B59" s="310" t="s">
        <v>107</v>
      </c>
      <c r="C59" s="310" t="s">
        <v>197</v>
      </c>
      <c r="D59" s="311">
        <f t="shared" si="3"/>
        <v>2496</v>
      </c>
      <c r="E59" s="311">
        <f t="shared" si="2"/>
        <v>0</v>
      </c>
      <c r="F59" s="311">
        <f t="shared" si="2"/>
        <v>0</v>
      </c>
      <c r="G59" s="311">
        <f t="shared" si="2"/>
        <v>0</v>
      </c>
      <c r="H59" s="311">
        <f t="shared" si="2"/>
        <v>0</v>
      </c>
      <c r="I59" s="311">
        <f t="shared" si="2"/>
        <v>0</v>
      </c>
      <c r="J59" s="311">
        <f t="shared" si="2"/>
        <v>0</v>
      </c>
      <c r="K59" s="311">
        <f t="shared" si="2"/>
        <v>0</v>
      </c>
      <c r="L59" s="311">
        <f t="shared" si="2"/>
        <v>2496</v>
      </c>
      <c r="N59" s="310" t="s">
        <v>59</v>
      </c>
      <c r="O59" s="310" t="s">
        <v>107</v>
      </c>
      <c r="P59" s="310" t="s">
        <v>197</v>
      </c>
      <c r="Q59" s="311">
        <v>2496</v>
      </c>
      <c r="R59" s="311">
        <v>0</v>
      </c>
      <c r="S59" s="311">
        <v>0</v>
      </c>
      <c r="T59" s="311">
        <v>0</v>
      </c>
      <c r="U59" s="311">
        <v>0</v>
      </c>
      <c r="V59" s="311">
        <v>0</v>
      </c>
      <c r="W59" s="311">
        <v>0</v>
      </c>
      <c r="X59" s="311">
        <v>0</v>
      </c>
      <c r="Y59" s="311">
        <v>2496</v>
      </c>
      <c r="AA59" s="310"/>
      <c r="AB59" s="310"/>
      <c r="AC59" s="310"/>
      <c r="AD59" s="311"/>
      <c r="AE59" s="311"/>
      <c r="AF59" s="311"/>
      <c r="AG59" s="311"/>
      <c r="AH59" s="311"/>
      <c r="AI59" s="311"/>
      <c r="AJ59" s="311"/>
      <c r="AK59" s="311"/>
      <c r="AL59" s="311"/>
    </row>
    <row r="60" spans="1:38" ht="13.95" customHeight="1">
      <c r="A60" s="310" t="s">
        <v>59</v>
      </c>
      <c r="B60" s="310" t="s">
        <v>108</v>
      </c>
      <c r="C60" s="310" t="s">
        <v>198</v>
      </c>
      <c r="D60" s="311">
        <f t="shared" si="3"/>
        <v>0</v>
      </c>
      <c r="E60" s="311">
        <f t="shared" si="2"/>
        <v>0</v>
      </c>
      <c r="F60" s="311">
        <f t="shared" si="2"/>
        <v>0</v>
      </c>
      <c r="G60" s="311">
        <f t="shared" si="2"/>
        <v>0</v>
      </c>
      <c r="H60" s="311">
        <f t="shared" si="2"/>
        <v>0</v>
      </c>
      <c r="I60" s="311">
        <f t="shared" si="2"/>
        <v>102736</v>
      </c>
      <c r="J60" s="311">
        <f t="shared" si="2"/>
        <v>0</v>
      </c>
      <c r="K60" s="311">
        <f t="shared" si="2"/>
        <v>4504</v>
      </c>
      <c r="L60" s="311">
        <f t="shared" si="2"/>
        <v>107240</v>
      </c>
      <c r="N60" s="310" t="s">
        <v>59</v>
      </c>
      <c r="O60" s="310" t="s">
        <v>108</v>
      </c>
      <c r="P60" s="310" t="s">
        <v>198</v>
      </c>
      <c r="Q60" s="311">
        <v>0</v>
      </c>
      <c r="R60" s="311">
        <v>0</v>
      </c>
      <c r="S60" s="311">
        <v>0</v>
      </c>
      <c r="T60" s="311">
        <v>0</v>
      </c>
      <c r="U60" s="311">
        <v>0</v>
      </c>
      <c r="V60" s="311">
        <v>102736</v>
      </c>
      <c r="W60" s="311">
        <v>0</v>
      </c>
      <c r="X60" s="311">
        <v>4504</v>
      </c>
      <c r="Y60" s="311">
        <v>107240</v>
      </c>
      <c r="AA60" s="310"/>
      <c r="AB60" s="310"/>
      <c r="AC60" s="310"/>
      <c r="AD60" s="311"/>
      <c r="AE60" s="311"/>
      <c r="AF60" s="311"/>
      <c r="AG60" s="311"/>
      <c r="AH60" s="311"/>
      <c r="AI60" s="311"/>
      <c r="AJ60" s="311"/>
      <c r="AK60" s="311"/>
      <c r="AL60" s="311"/>
    </row>
    <row r="61" spans="1:38" ht="13.95" customHeight="1">
      <c r="A61" s="310" t="s">
        <v>59</v>
      </c>
      <c r="B61" s="310" t="s">
        <v>109</v>
      </c>
      <c r="C61" s="310" t="s">
        <v>199</v>
      </c>
      <c r="D61" s="311">
        <f t="shared" si="3"/>
        <v>0</v>
      </c>
      <c r="E61" s="311">
        <f t="shared" si="2"/>
        <v>0</v>
      </c>
      <c r="F61" s="311">
        <f t="shared" si="2"/>
        <v>0</v>
      </c>
      <c r="G61" s="311">
        <f t="shared" si="2"/>
        <v>0</v>
      </c>
      <c r="H61" s="311">
        <f t="shared" si="2"/>
        <v>0</v>
      </c>
      <c r="I61" s="311">
        <f t="shared" si="2"/>
        <v>0</v>
      </c>
      <c r="J61" s="311">
        <f t="shared" si="2"/>
        <v>0</v>
      </c>
      <c r="K61" s="311">
        <f t="shared" si="2"/>
        <v>0</v>
      </c>
      <c r="L61" s="311">
        <f t="shared" si="2"/>
        <v>0</v>
      </c>
      <c r="N61" s="310" t="s">
        <v>59</v>
      </c>
      <c r="O61" s="310" t="s">
        <v>109</v>
      </c>
      <c r="P61" s="310" t="s">
        <v>199</v>
      </c>
      <c r="Q61" s="311">
        <v>0</v>
      </c>
      <c r="R61" s="311">
        <v>0</v>
      </c>
      <c r="S61" s="311">
        <v>0</v>
      </c>
      <c r="T61" s="311">
        <v>0</v>
      </c>
      <c r="U61" s="311">
        <v>0</v>
      </c>
      <c r="V61" s="311">
        <v>0</v>
      </c>
      <c r="W61" s="311">
        <v>0</v>
      </c>
      <c r="X61" s="311">
        <v>0</v>
      </c>
      <c r="Y61" s="311">
        <v>0</v>
      </c>
      <c r="AA61" s="310"/>
      <c r="AB61" s="310"/>
      <c r="AC61" s="310"/>
      <c r="AD61" s="311"/>
      <c r="AE61" s="311"/>
      <c r="AF61" s="311"/>
      <c r="AG61" s="311"/>
      <c r="AH61" s="311"/>
      <c r="AI61" s="311"/>
      <c r="AJ61" s="311"/>
      <c r="AK61" s="311"/>
      <c r="AL61" s="311"/>
    </row>
    <row r="62" spans="1:38" ht="13.95" customHeight="1">
      <c r="A62" s="310" t="s">
        <v>59</v>
      </c>
      <c r="B62" s="310" t="s">
        <v>110</v>
      </c>
      <c r="C62" s="310" t="s">
        <v>200</v>
      </c>
      <c r="D62" s="311">
        <f t="shared" si="3"/>
        <v>0</v>
      </c>
      <c r="E62" s="311">
        <f t="shared" si="2"/>
        <v>0</v>
      </c>
      <c r="F62" s="311">
        <f t="shared" si="2"/>
        <v>0</v>
      </c>
      <c r="G62" s="311">
        <f t="shared" si="2"/>
        <v>0</v>
      </c>
      <c r="H62" s="311">
        <f t="shared" si="2"/>
        <v>2176</v>
      </c>
      <c r="I62" s="311">
        <f t="shared" si="2"/>
        <v>30608</v>
      </c>
      <c r="J62" s="311">
        <f t="shared" si="2"/>
        <v>0</v>
      </c>
      <c r="K62" s="311">
        <f t="shared" si="2"/>
        <v>8084</v>
      </c>
      <c r="L62" s="311">
        <f t="shared" si="2"/>
        <v>40868</v>
      </c>
      <c r="N62" s="310" t="s">
        <v>59</v>
      </c>
      <c r="O62" s="310" t="s">
        <v>110</v>
      </c>
      <c r="P62" s="310" t="s">
        <v>200</v>
      </c>
      <c r="Q62" s="311">
        <v>0</v>
      </c>
      <c r="R62" s="311">
        <v>0</v>
      </c>
      <c r="S62" s="311">
        <v>0</v>
      </c>
      <c r="T62" s="311">
        <v>0</v>
      </c>
      <c r="U62" s="311">
        <v>2176</v>
      </c>
      <c r="V62" s="311">
        <v>30608</v>
      </c>
      <c r="W62" s="311">
        <v>0</v>
      </c>
      <c r="X62" s="311">
        <v>8084</v>
      </c>
      <c r="Y62" s="311">
        <v>40868</v>
      </c>
      <c r="AA62" s="310"/>
      <c r="AB62" s="310"/>
      <c r="AC62" s="310"/>
      <c r="AD62" s="311"/>
      <c r="AE62" s="311"/>
      <c r="AF62" s="311"/>
      <c r="AG62" s="311"/>
      <c r="AH62" s="311"/>
      <c r="AI62" s="311"/>
      <c r="AJ62" s="311"/>
      <c r="AK62" s="311"/>
      <c r="AL62" s="311"/>
    </row>
    <row r="63" spans="1:38" ht="13.95" customHeight="1">
      <c r="A63" s="310" t="s">
        <v>59</v>
      </c>
      <c r="B63" s="310" t="s">
        <v>111</v>
      </c>
      <c r="C63" s="310" t="s">
        <v>201</v>
      </c>
      <c r="D63" s="311">
        <f t="shared" si="3"/>
        <v>0</v>
      </c>
      <c r="E63" s="311">
        <f t="shared" si="2"/>
        <v>0</v>
      </c>
      <c r="F63" s="311">
        <f t="shared" si="2"/>
        <v>0</v>
      </c>
      <c r="G63" s="311">
        <f t="shared" si="2"/>
        <v>0</v>
      </c>
      <c r="H63" s="311">
        <f t="shared" si="2"/>
        <v>0</v>
      </c>
      <c r="I63" s="311">
        <f t="shared" si="2"/>
        <v>0</v>
      </c>
      <c r="J63" s="311">
        <f t="shared" si="2"/>
        <v>0</v>
      </c>
      <c r="K63" s="311">
        <f t="shared" si="2"/>
        <v>0</v>
      </c>
      <c r="L63" s="311">
        <f t="shared" si="2"/>
        <v>0</v>
      </c>
      <c r="N63" s="310" t="s">
        <v>59</v>
      </c>
      <c r="O63" s="310" t="s">
        <v>111</v>
      </c>
      <c r="P63" s="310" t="s">
        <v>201</v>
      </c>
      <c r="Q63" s="311">
        <v>0</v>
      </c>
      <c r="R63" s="311">
        <v>0</v>
      </c>
      <c r="S63" s="311">
        <v>0</v>
      </c>
      <c r="T63" s="311">
        <v>0</v>
      </c>
      <c r="U63" s="311">
        <v>0</v>
      </c>
      <c r="V63" s="311">
        <v>0</v>
      </c>
      <c r="W63" s="311">
        <v>0</v>
      </c>
      <c r="X63" s="311">
        <v>0</v>
      </c>
      <c r="Y63" s="311">
        <v>0</v>
      </c>
      <c r="AA63" s="310"/>
      <c r="AB63" s="310"/>
      <c r="AC63" s="310"/>
      <c r="AD63" s="311"/>
      <c r="AE63" s="311"/>
      <c r="AF63" s="311"/>
      <c r="AG63" s="311"/>
      <c r="AH63" s="311"/>
      <c r="AI63" s="311"/>
      <c r="AJ63" s="311"/>
      <c r="AK63" s="311"/>
      <c r="AL63" s="311"/>
    </row>
    <row r="64" spans="1:38" ht="13.95" customHeight="1">
      <c r="A64" s="310" t="s">
        <v>59</v>
      </c>
      <c r="B64" s="310" t="s">
        <v>112</v>
      </c>
      <c r="C64" s="310" t="s">
        <v>202</v>
      </c>
      <c r="D64" s="311">
        <f t="shared" si="3"/>
        <v>0</v>
      </c>
      <c r="E64" s="311">
        <f t="shared" si="2"/>
        <v>0</v>
      </c>
      <c r="F64" s="311">
        <f t="shared" si="2"/>
        <v>0</v>
      </c>
      <c r="G64" s="311">
        <f t="shared" si="2"/>
        <v>0</v>
      </c>
      <c r="H64" s="311">
        <f t="shared" si="2"/>
        <v>0</v>
      </c>
      <c r="I64" s="311">
        <f t="shared" si="2"/>
        <v>180320</v>
      </c>
      <c r="J64" s="311">
        <f t="shared" si="2"/>
        <v>0</v>
      </c>
      <c r="K64" s="311">
        <f t="shared" si="2"/>
        <v>720</v>
      </c>
      <c r="L64" s="311">
        <f t="shared" si="2"/>
        <v>181040</v>
      </c>
      <c r="N64" s="310" t="s">
        <v>59</v>
      </c>
      <c r="O64" s="310" t="s">
        <v>112</v>
      </c>
      <c r="P64" s="310" t="s">
        <v>202</v>
      </c>
      <c r="Q64" s="311">
        <v>0</v>
      </c>
      <c r="R64" s="311">
        <v>0</v>
      </c>
      <c r="S64" s="311">
        <v>0</v>
      </c>
      <c r="T64" s="311">
        <v>0</v>
      </c>
      <c r="U64" s="311">
        <v>0</v>
      </c>
      <c r="V64" s="311">
        <v>180320</v>
      </c>
      <c r="W64" s="311">
        <v>0</v>
      </c>
      <c r="X64" s="311">
        <v>720</v>
      </c>
      <c r="Y64" s="311">
        <v>181040</v>
      </c>
      <c r="AA64" s="310"/>
      <c r="AB64" s="310"/>
      <c r="AC64" s="310"/>
      <c r="AD64" s="311"/>
      <c r="AE64" s="311"/>
      <c r="AF64" s="311"/>
      <c r="AG64" s="311"/>
      <c r="AH64" s="311"/>
      <c r="AI64" s="311"/>
      <c r="AJ64" s="311"/>
      <c r="AK64" s="311"/>
      <c r="AL64" s="311"/>
    </row>
    <row r="65" spans="1:38" ht="13.95" customHeight="1">
      <c r="A65" s="310" t="s">
        <v>59</v>
      </c>
      <c r="B65" s="310" t="s">
        <v>113</v>
      </c>
      <c r="C65" s="310" t="s">
        <v>203</v>
      </c>
      <c r="D65" s="311">
        <f t="shared" si="3"/>
        <v>0</v>
      </c>
      <c r="E65" s="311">
        <f t="shared" si="2"/>
        <v>30960</v>
      </c>
      <c r="F65" s="311">
        <f t="shared" si="2"/>
        <v>0</v>
      </c>
      <c r="G65" s="311">
        <f t="shared" si="2"/>
        <v>22096</v>
      </c>
      <c r="H65" s="311">
        <f t="shared" si="2"/>
        <v>0</v>
      </c>
      <c r="I65" s="311">
        <f t="shared" si="2"/>
        <v>0</v>
      </c>
      <c r="J65" s="311">
        <f t="shared" si="2"/>
        <v>0</v>
      </c>
      <c r="K65" s="311">
        <f t="shared" si="2"/>
        <v>473</v>
      </c>
      <c r="L65" s="311">
        <f t="shared" si="2"/>
        <v>53529</v>
      </c>
      <c r="N65" s="310" t="s">
        <v>59</v>
      </c>
      <c r="O65" s="310" t="s">
        <v>113</v>
      </c>
      <c r="P65" s="310" t="s">
        <v>203</v>
      </c>
      <c r="Q65" s="311">
        <v>0</v>
      </c>
      <c r="R65" s="311">
        <v>30960</v>
      </c>
      <c r="S65" s="311">
        <v>0</v>
      </c>
      <c r="T65" s="311">
        <v>22096</v>
      </c>
      <c r="U65" s="311">
        <v>0</v>
      </c>
      <c r="V65" s="311">
        <v>0</v>
      </c>
      <c r="W65" s="311">
        <v>0</v>
      </c>
      <c r="X65" s="311">
        <v>473</v>
      </c>
      <c r="Y65" s="311">
        <v>53529</v>
      </c>
      <c r="AA65" s="310"/>
      <c r="AB65" s="310"/>
      <c r="AC65" s="310"/>
      <c r="AD65" s="311"/>
      <c r="AE65" s="311"/>
      <c r="AF65" s="311"/>
      <c r="AG65" s="311"/>
      <c r="AH65" s="311"/>
      <c r="AI65" s="311"/>
      <c r="AJ65" s="311"/>
      <c r="AK65" s="311"/>
      <c r="AL65" s="311"/>
    </row>
    <row r="66" spans="1:38" ht="13.95" customHeight="1">
      <c r="A66" s="310" t="s">
        <v>59</v>
      </c>
      <c r="B66" s="310" t="s">
        <v>114</v>
      </c>
      <c r="C66" s="310" t="s">
        <v>204</v>
      </c>
      <c r="D66" s="311">
        <f t="shared" si="3"/>
        <v>0</v>
      </c>
      <c r="E66" s="311">
        <f t="shared" si="2"/>
        <v>0</v>
      </c>
      <c r="F66" s="311">
        <f t="shared" si="2"/>
        <v>0</v>
      </c>
      <c r="G66" s="311">
        <f t="shared" si="2"/>
        <v>0</v>
      </c>
      <c r="H66" s="311">
        <f t="shared" si="2"/>
        <v>0</v>
      </c>
      <c r="I66" s="311">
        <f t="shared" si="2"/>
        <v>0</v>
      </c>
      <c r="J66" s="311">
        <f t="shared" si="2"/>
        <v>320</v>
      </c>
      <c r="K66" s="311">
        <f t="shared" si="2"/>
        <v>0</v>
      </c>
      <c r="L66" s="311">
        <f t="shared" si="2"/>
        <v>320</v>
      </c>
      <c r="N66" s="310" t="s">
        <v>59</v>
      </c>
      <c r="O66" s="310" t="s">
        <v>114</v>
      </c>
      <c r="P66" s="310" t="s">
        <v>204</v>
      </c>
      <c r="Q66" s="311">
        <v>0</v>
      </c>
      <c r="R66" s="311">
        <v>0</v>
      </c>
      <c r="S66" s="311">
        <v>0</v>
      </c>
      <c r="T66" s="311">
        <v>0</v>
      </c>
      <c r="U66" s="311">
        <v>0</v>
      </c>
      <c r="V66" s="311">
        <v>0</v>
      </c>
      <c r="W66" s="311">
        <v>320</v>
      </c>
      <c r="X66" s="311">
        <v>0</v>
      </c>
      <c r="Y66" s="311">
        <v>320</v>
      </c>
      <c r="AA66" s="310"/>
      <c r="AB66" s="310"/>
      <c r="AC66" s="310"/>
      <c r="AD66" s="311"/>
      <c r="AE66" s="311"/>
      <c r="AF66" s="311"/>
      <c r="AG66" s="311"/>
      <c r="AH66" s="311"/>
      <c r="AI66" s="311"/>
      <c r="AJ66" s="311"/>
      <c r="AK66" s="311"/>
      <c r="AL66" s="311"/>
    </row>
    <row r="67" spans="1:38" ht="13.95" customHeight="1">
      <c r="A67" s="310" t="s">
        <v>59</v>
      </c>
      <c r="B67" s="310" t="s">
        <v>115</v>
      </c>
      <c r="C67" s="310" t="s">
        <v>205</v>
      </c>
      <c r="D67" s="311">
        <f t="shared" si="3"/>
        <v>0</v>
      </c>
      <c r="E67" s="311">
        <f t="shared" si="2"/>
        <v>0</v>
      </c>
      <c r="F67" s="311">
        <f t="shared" si="2"/>
        <v>0</v>
      </c>
      <c r="G67" s="311">
        <f t="shared" si="2"/>
        <v>0</v>
      </c>
      <c r="H67" s="311">
        <f t="shared" si="2"/>
        <v>5280</v>
      </c>
      <c r="I67" s="311">
        <f t="shared" si="2"/>
        <v>0</v>
      </c>
      <c r="J67" s="311">
        <f t="shared" si="2"/>
        <v>16044</v>
      </c>
      <c r="K67" s="311">
        <f t="shared" si="2"/>
        <v>0</v>
      </c>
      <c r="L67" s="311">
        <f t="shared" si="2"/>
        <v>21324</v>
      </c>
      <c r="N67" s="310" t="s">
        <v>59</v>
      </c>
      <c r="O67" s="310" t="s">
        <v>115</v>
      </c>
      <c r="P67" s="310" t="s">
        <v>205</v>
      </c>
      <c r="Q67" s="311">
        <v>0</v>
      </c>
      <c r="R67" s="311">
        <v>0</v>
      </c>
      <c r="S67" s="311">
        <v>0</v>
      </c>
      <c r="T67" s="311">
        <v>0</v>
      </c>
      <c r="U67" s="311">
        <v>5280</v>
      </c>
      <c r="V67" s="311">
        <v>0</v>
      </c>
      <c r="W67" s="311">
        <v>16044</v>
      </c>
      <c r="X67" s="311">
        <v>0</v>
      </c>
      <c r="Y67" s="311">
        <v>21324</v>
      </c>
      <c r="AA67" s="310"/>
      <c r="AB67" s="310"/>
      <c r="AC67" s="310"/>
      <c r="AD67" s="311"/>
      <c r="AE67" s="311"/>
      <c r="AF67" s="311"/>
      <c r="AG67" s="311"/>
      <c r="AH67" s="311"/>
      <c r="AI67" s="311"/>
      <c r="AJ67" s="311"/>
      <c r="AK67" s="311"/>
      <c r="AL67" s="311"/>
    </row>
    <row r="68" spans="1:38" ht="13.95" customHeight="1">
      <c r="A68" s="310" t="s">
        <v>59</v>
      </c>
      <c r="B68" s="310" t="s">
        <v>116</v>
      </c>
      <c r="C68" s="310" t="s">
        <v>206</v>
      </c>
      <c r="D68" s="311">
        <f t="shared" si="3"/>
        <v>0</v>
      </c>
      <c r="E68" s="311">
        <f t="shared" si="2"/>
        <v>0</v>
      </c>
      <c r="F68" s="311">
        <f t="shared" si="2"/>
        <v>0</v>
      </c>
      <c r="G68" s="311">
        <f t="shared" si="2"/>
        <v>0</v>
      </c>
      <c r="H68" s="311">
        <f t="shared" si="2"/>
        <v>3168</v>
      </c>
      <c r="I68" s="311">
        <f t="shared" si="2"/>
        <v>0</v>
      </c>
      <c r="J68" s="311">
        <f t="shared" si="2"/>
        <v>0</v>
      </c>
      <c r="K68" s="311">
        <f t="shared" si="2"/>
        <v>0</v>
      </c>
      <c r="L68" s="311">
        <f t="shared" si="2"/>
        <v>3168</v>
      </c>
      <c r="N68" s="310" t="s">
        <v>59</v>
      </c>
      <c r="O68" s="310" t="s">
        <v>116</v>
      </c>
      <c r="P68" s="310" t="s">
        <v>206</v>
      </c>
      <c r="Q68" s="311">
        <v>0</v>
      </c>
      <c r="R68" s="311">
        <v>0</v>
      </c>
      <c r="S68" s="311">
        <v>0</v>
      </c>
      <c r="T68" s="311">
        <v>0</v>
      </c>
      <c r="U68" s="311">
        <v>3168</v>
      </c>
      <c r="V68" s="311">
        <v>0</v>
      </c>
      <c r="W68" s="311">
        <v>0</v>
      </c>
      <c r="X68" s="311">
        <v>0</v>
      </c>
      <c r="Y68" s="311">
        <v>3168</v>
      </c>
      <c r="AA68" s="310"/>
      <c r="AB68" s="310"/>
      <c r="AC68" s="310"/>
      <c r="AD68" s="311"/>
      <c r="AE68" s="311"/>
      <c r="AF68" s="311"/>
      <c r="AG68" s="311"/>
      <c r="AH68" s="311"/>
      <c r="AI68" s="311"/>
      <c r="AJ68" s="311"/>
      <c r="AK68" s="311"/>
      <c r="AL68" s="311"/>
    </row>
    <row r="69" spans="1:38" ht="13.95" customHeight="1">
      <c r="A69" s="310" t="s">
        <v>59</v>
      </c>
      <c r="B69" s="310" t="s">
        <v>117</v>
      </c>
      <c r="C69" s="310" t="s">
        <v>207</v>
      </c>
      <c r="D69" s="311">
        <f t="shared" si="3"/>
        <v>0</v>
      </c>
      <c r="E69" s="311">
        <f t="shared" si="2"/>
        <v>0</v>
      </c>
      <c r="F69" s="311">
        <f t="shared" si="2"/>
        <v>0</v>
      </c>
      <c r="G69" s="311">
        <f t="shared" si="2"/>
        <v>0</v>
      </c>
      <c r="H69" s="311">
        <f t="shared" si="2"/>
        <v>0</v>
      </c>
      <c r="I69" s="311">
        <f t="shared" si="2"/>
        <v>0</v>
      </c>
      <c r="J69" s="311">
        <f t="shared" si="2"/>
        <v>0</v>
      </c>
      <c r="K69" s="311">
        <f t="shared" si="2"/>
        <v>0</v>
      </c>
      <c r="L69" s="311">
        <f t="shared" si="2"/>
        <v>0</v>
      </c>
      <c r="N69" s="310" t="s">
        <v>59</v>
      </c>
      <c r="O69" s="310" t="s">
        <v>117</v>
      </c>
      <c r="P69" s="310" t="s">
        <v>207</v>
      </c>
      <c r="Q69" s="311">
        <v>0</v>
      </c>
      <c r="R69" s="311">
        <v>0</v>
      </c>
      <c r="S69" s="311">
        <v>0</v>
      </c>
      <c r="T69" s="311">
        <v>0</v>
      </c>
      <c r="U69" s="311">
        <v>0</v>
      </c>
      <c r="V69" s="311">
        <v>0</v>
      </c>
      <c r="W69" s="311">
        <v>0</v>
      </c>
      <c r="X69" s="311">
        <v>0</v>
      </c>
      <c r="Y69" s="311">
        <v>0</v>
      </c>
      <c r="AA69" s="310"/>
      <c r="AB69" s="310"/>
      <c r="AC69" s="310"/>
      <c r="AD69" s="311"/>
      <c r="AE69" s="311"/>
      <c r="AF69" s="311"/>
      <c r="AG69" s="311"/>
      <c r="AH69" s="311"/>
      <c r="AI69" s="311"/>
      <c r="AJ69" s="311"/>
      <c r="AK69" s="311"/>
      <c r="AL69" s="311"/>
    </row>
    <row r="70" spans="1:38" ht="13.95" customHeight="1">
      <c r="A70" s="310" t="s">
        <v>59</v>
      </c>
      <c r="B70" s="310" t="s">
        <v>118</v>
      </c>
      <c r="C70" s="310" t="s">
        <v>208</v>
      </c>
      <c r="D70" s="311">
        <f t="shared" si="3"/>
        <v>3888</v>
      </c>
      <c r="E70" s="311">
        <f t="shared" si="2"/>
        <v>0</v>
      </c>
      <c r="F70" s="311">
        <f t="shared" si="2"/>
        <v>0</v>
      </c>
      <c r="G70" s="311">
        <f t="shared" si="2"/>
        <v>0</v>
      </c>
      <c r="H70" s="311">
        <f t="shared" si="2"/>
        <v>6704</v>
      </c>
      <c r="I70" s="311">
        <f t="shared" si="2"/>
        <v>0</v>
      </c>
      <c r="J70" s="311">
        <f t="shared" si="2"/>
        <v>10032</v>
      </c>
      <c r="K70" s="311">
        <f t="shared" si="2"/>
        <v>0</v>
      </c>
      <c r="L70" s="311">
        <f t="shared" si="2"/>
        <v>20624</v>
      </c>
      <c r="N70" s="310" t="s">
        <v>59</v>
      </c>
      <c r="O70" s="310" t="s">
        <v>118</v>
      </c>
      <c r="P70" s="310" t="s">
        <v>208</v>
      </c>
      <c r="Q70" s="311">
        <v>3888</v>
      </c>
      <c r="R70" s="311">
        <v>0</v>
      </c>
      <c r="S70" s="311">
        <v>0</v>
      </c>
      <c r="T70" s="311">
        <v>0</v>
      </c>
      <c r="U70" s="311">
        <v>6704</v>
      </c>
      <c r="V70" s="311">
        <v>0</v>
      </c>
      <c r="W70" s="311">
        <v>10032</v>
      </c>
      <c r="X70" s="311">
        <v>0</v>
      </c>
      <c r="Y70" s="311">
        <v>20624</v>
      </c>
      <c r="AA70" s="310"/>
      <c r="AB70" s="310"/>
      <c r="AC70" s="310"/>
      <c r="AD70" s="311"/>
      <c r="AE70" s="311"/>
      <c r="AF70" s="311"/>
      <c r="AG70" s="311"/>
      <c r="AH70" s="311"/>
      <c r="AI70" s="311"/>
      <c r="AJ70" s="311"/>
      <c r="AK70" s="311"/>
      <c r="AL70" s="311"/>
    </row>
    <row r="71" spans="1:38" ht="13.95" customHeight="1">
      <c r="A71" s="310" t="s">
        <v>59</v>
      </c>
      <c r="B71" s="310" t="s">
        <v>119</v>
      </c>
      <c r="C71" s="310" t="s">
        <v>209</v>
      </c>
      <c r="D71" s="311">
        <f t="shared" si="3"/>
        <v>164496</v>
      </c>
      <c r="E71" s="311">
        <f t="shared" si="2"/>
        <v>0</v>
      </c>
      <c r="F71" s="311">
        <f t="shared" si="2"/>
        <v>0</v>
      </c>
      <c r="G71" s="311">
        <f t="shared" si="2"/>
        <v>0</v>
      </c>
      <c r="H71" s="311">
        <f t="shared" si="2"/>
        <v>0</v>
      </c>
      <c r="I71" s="311">
        <f t="shared" si="2"/>
        <v>0</v>
      </c>
      <c r="J71" s="311">
        <f t="shared" si="2"/>
        <v>0</v>
      </c>
      <c r="K71" s="311">
        <f t="shared" si="2"/>
        <v>0</v>
      </c>
      <c r="L71" s="311">
        <f t="shared" si="2"/>
        <v>164496</v>
      </c>
      <c r="N71" s="310" t="s">
        <v>59</v>
      </c>
      <c r="O71" s="310" t="s">
        <v>119</v>
      </c>
      <c r="P71" s="310" t="s">
        <v>209</v>
      </c>
      <c r="Q71" s="311">
        <v>164496</v>
      </c>
      <c r="R71" s="311">
        <v>0</v>
      </c>
      <c r="S71" s="311">
        <v>0</v>
      </c>
      <c r="T71" s="311">
        <v>0</v>
      </c>
      <c r="U71" s="311">
        <v>0</v>
      </c>
      <c r="V71" s="311">
        <v>0</v>
      </c>
      <c r="W71" s="311">
        <v>0</v>
      </c>
      <c r="X71" s="311">
        <v>0</v>
      </c>
      <c r="Y71" s="311">
        <v>164496</v>
      </c>
      <c r="AA71" s="310"/>
      <c r="AB71" s="310"/>
      <c r="AC71" s="310"/>
      <c r="AD71" s="311"/>
      <c r="AE71" s="311"/>
      <c r="AF71" s="311"/>
      <c r="AG71" s="311"/>
      <c r="AH71" s="311"/>
      <c r="AI71" s="311"/>
      <c r="AJ71" s="311"/>
      <c r="AK71" s="311"/>
      <c r="AL71" s="311"/>
    </row>
    <row r="72" spans="1:38" ht="13.95" customHeight="1">
      <c r="A72" s="310" t="s">
        <v>59</v>
      </c>
      <c r="B72" s="310" t="s">
        <v>120</v>
      </c>
      <c r="C72" s="310" t="s">
        <v>210</v>
      </c>
      <c r="D72" s="311">
        <f t="shared" si="3"/>
        <v>31200</v>
      </c>
      <c r="E72" s="311">
        <f t="shared" si="2"/>
        <v>0</v>
      </c>
      <c r="F72" s="311">
        <f t="shared" si="2"/>
        <v>0</v>
      </c>
      <c r="G72" s="311">
        <f t="shared" si="2"/>
        <v>0</v>
      </c>
      <c r="H72" s="311">
        <f t="shared" si="2"/>
        <v>0</v>
      </c>
      <c r="I72" s="311">
        <f t="shared" si="2"/>
        <v>0</v>
      </c>
      <c r="J72" s="311">
        <f t="shared" si="2"/>
        <v>0</v>
      </c>
      <c r="K72" s="311">
        <f t="shared" si="2"/>
        <v>0</v>
      </c>
      <c r="L72" s="311">
        <f t="shared" si="2"/>
        <v>31200</v>
      </c>
      <c r="N72" s="310" t="s">
        <v>59</v>
      </c>
      <c r="O72" s="310" t="s">
        <v>120</v>
      </c>
      <c r="P72" s="310" t="s">
        <v>210</v>
      </c>
      <c r="Q72" s="311">
        <v>31200</v>
      </c>
      <c r="R72" s="311">
        <v>0</v>
      </c>
      <c r="S72" s="311">
        <v>0</v>
      </c>
      <c r="T72" s="311">
        <v>0</v>
      </c>
      <c r="U72" s="311">
        <v>0</v>
      </c>
      <c r="V72" s="311">
        <v>0</v>
      </c>
      <c r="W72" s="311">
        <v>0</v>
      </c>
      <c r="X72" s="311">
        <v>0</v>
      </c>
      <c r="Y72" s="311">
        <v>31200</v>
      </c>
      <c r="AA72" s="310"/>
      <c r="AB72" s="310"/>
      <c r="AC72" s="310"/>
      <c r="AD72" s="311"/>
      <c r="AE72" s="311"/>
      <c r="AF72" s="311"/>
      <c r="AG72" s="311"/>
      <c r="AH72" s="311"/>
      <c r="AI72" s="311"/>
      <c r="AJ72" s="311"/>
      <c r="AK72" s="311"/>
      <c r="AL72" s="311"/>
    </row>
    <row r="73" spans="1:38" ht="13.95" customHeight="1">
      <c r="A73" s="310" t="s">
        <v>59</v>
      </c>
      <c r="B73" s="310" t="s">
        <v>121</v>
      </c>
      <c r="C73" s="310" t="s">
        <v>211</v>
      </c>
      <c r="D73" s="311">
        <f t="shared" si="3"/>
        <v>0</v>
      </c>
      <c r="E73" s="311">
        <f t="shared" si="2"/>
        <v>0</v>
      </c>
      <c r="F73" s="311">
        <f t="shared" si="2"/>
        <v>0</v>
      </c>
      <c r="G73" s="311">
        <f t="shared" si="2"/>
        <v>0</v>
      </c>
      <c r="H73" s="311">
        <f t="shared" si="2"/>
        <v>0</v>
      </c>
      <c r="I73" s="311">
        <f t="shared" si="2"/>
        <v>0</v>
      </c>
      <c r="J73" s="311">
        <f t="shared" si="2"/>
        <v>0</v>
      </c>
      <c r="K73" s="311">
        <f t="shared" si="2"/>
        <v>0</v>
      </c>
      <c r="L73" s="311">
        <f t="shared" si="2"/>
        <v>0</v>
      </c>
      <c r="N73" s="310" t="s">
        <v>59</v>
      </c>
      <c r="O73" s="310" t="s">
        <v>121</v>
      </c>
      <c r="P73" s="310" t="s">
        <v>211</v>
      </c>
      <c r="Q73" s="311">
        <v>0</v>
      </c>
      <c r="R73" s="311">
        <v>0</v>
      </c>
      <c r="S73" s="311">
        <v>0</v>
      </c>
      <c r="T73" s="311">
        <v>0</v>
      </c>
      <c r="U73" s="311">
        <v>0</v>
      </c>
      <c r="V73" s="311">
        <v>0</v>
      </c>
      <c r="W73" s="311">
        <v>0</v>
      </c>
      <c r="X73" s="311">
        <v>0</v>
      </c>
      <c r="Y73" s="311">
        <v>0</v>
      </c>
      <c r="AA73" s="310"/>
      <c r="AB73" s="310"/>
      <c r="AC73" s="310"/>
      <c r="AD73" s="311"/>
      <c r="AE73" s="311"/>
      <c r="AF73" s="311"/>
      <c r="AG73" s="311"/>
      <c r="AH73" s="311"/>
      <c r="AI73" s="311"/>
      <c r="AJ73" s="311"/>
      <c r="AK73" s="311"/>
      <c r="AL73" s="311"/>
    </row>
    <row r="74" spans="1:38" ht="13.95" customHeight="1">
      <c r="A74" s="310" t="s">
        <v>59</v>
      </c>
      <c r="B74" s="310" t="s">
        <v>122</v>
      </c>
      <c r="C74" s="310" t="s">
        <v>212</v>
      </c>
      <c r="D74" s="311">
        <f t="shared" si="3"/>
        <v>316464</v>
      </c>
      <c r="E74" s="311">
        <f t="shared" si="2"/>
        <v>160960</v>
      </c>
      <c r="F74" s="311">
        <f t="shared" si="2"/>
        <v>11312</v>
      </c>
      <c r="G74" s="311">
        <f t="shared" si="2"/>
        <v>22096</v>
      </c>
      <c r="H74" s="311">
        <f t="shared" si="2"/>
        <v>163456</v>
      </c>
      <c r="I74" s="311">
        <f t="shared" si="2"/>
        <v>379600</v>
      </c>
      <c r="J74" s="311">
        <f t="shared" si="2"/>
        <v>34809</v>
      </c>
      <c r="K74" s="311">
        <f t="shared" si="2"/>
        <v>18061</v>
      </c>
      <c r="L74" s="311">
        <f t="shared" si="2"/>
        <v>1106758</v>
      </c>
      <c r="N74" s="310" t="s">
        <v>59</v>
      </c>
      <c r="O74" s="310" t="s">
        <v>122</v>
      </c>
      <c r="P74" s="310" t="s">
        <v>212</v>
      </c>
      <c r="Q74" s="311">
        <v>316464</v>
      </c>
      <c r="R74" s="311">
        <v>160960</v>
      </c>
      <c r="S74" s="311">
        <v>11312</v>
      </c>
      <c r="T74" s="311">
        <v>22096</v>
      </c>
      <c r="U74" s="311">
        <v>163456</v>
      </c>
      <c r="V74" s="311">
        <v>379600</v>
      </c>
      <c r="W74" s="311">
        <v>34809</v>
      </c>
      <c r="X74" s="311">
        <v>18061</v>
      </c>
      <c r="Y74" s="311">
        <v>1106758</v>
      </c>
      <c r="AA74" s="310"/>
      <c r="AB74" s="310"/>
      <c r="AC74" s="310"/>
      <c r="AD74" s="311"/>
      <c r="AE74" s="311"/>
      <c r="AF74" s="311"/>
      <c r="AG74" s="311"/>
      <c r="AH74" s="311"/>
      <c r="AI74" s="311"/>
      <c r="AJ74" s="311"/>
      <c r="AK74" s="311"/>
      <c r="AL74" s="311"/>
    </row>
    <row r="75" spans="1:38" ht="13.95" customHeight="1">
      <c r="A75" s="310" t="s">
        <v>59</v>
      </c>
      <c r="B75" s="310" t="s">
        <v>213</v>
      </c>
      <c r="C75" s="310" t="s">
        <v>123</v>
      </c>
      <c r="D75" s="311" t="s">
        <v>214</v>
      </c>
      <c r="E75" s="311" t="s">
        <v>214</v>
      </c>
      <c r="F75" s="311" t="s">
        <v>214</v>
      </c>
      <c r="G75" s="311" t="s">
        <v>214</v>
      </c>
      <c r="H75" s="311" t="s">
        <v>214</v>
      </c>
      <c r="I75" s="311" t="s">
        <v>214</v>
      </c>
      <c r="J75" s="311" t="s">
        <v>214</v>
      </c>
      <c r="K75" s="311" t="s">
        <v>214</v>
      </c>
      <c r="L75" s="311" t="s">
        <v>214</v>
      </c>
      <c r="N75" s="310" t="s">
        <v>59</v>
      </c>
      <c r="O75" s="310" t="s">
        <v>213</v>
      </c>
      <c r="P75" s="310" t="s">
        <v>123</v>
      </c>
      <c r="Q75" s="311" t="s">
        <v>214</v>
      </c>
      <c r="R75" s="311" t="s">
        <v>214</v>
      </c>
      <c r="S75" s="311" t="s">
        <v>214</v>
      </c>
      <c r="T75" s="311" t="s">
        <v>214</v>
      </c>
      <c r="U75" s="311" t="s">
        <v>214</v>
      </c>
      <c r="V75" s="311" t="s">
        <v>214</v>
      </c>
      <c r="W75" s="311" t="s">
        <v>214</v>
      </c>
      <c r="X75" s="311" t="s">
        <v>214</v>
      </c>
      <c r="Y75" s="311" t="s">
        <v>214</v>
      </c>
      <c r="AA75" s="310"/>
      <c r="AB75" s="310"/>
      <c r="AC75" s="310"/>
      <c r="AD75" s="311"/>
      <c r="AE75" s="311"/>
      <c r="AF75" s="311"/>
      <c r="AG75" s="311"/>
      <c r="AH75" s="311"/>
      <c r="AI75" s="311"/>
      <c r="AJ75" s="311"/>
      <c r="AK75" s="311"/>
      <c r="AL75" s="311"/>
    </row>
    <row r="76" spans="1:38" ht="13.95" customHeight="1">
      <c r="A76" s="310" t="s">
        <v>59</v>
      </c>
      <c r="B76" s="310" t="s">
        <v>124</v>
      </c>
      <c r="C76" s="310" t="s">
        <v>215</v>
      </c>
      <c r="D76" s="311">
        <v>0</v>
      </c>
      <c r="E76" s="311">
        <v>0</v>
      </c>
      <c r="F76" s="311">
        <v>0</v>
      </c>
      <c r="G76" s="311">
        <v>0</v>
      </c>
      <c r="H76" s="311">
        <v>0</v>
      </c>
      <c r="I76" s="311">
        <v>0</v>
      </c>
      <c r="J76" s="311">
        <v>0</v>
      </c>
      <c r="K76" s="311">
        <v>0</v>
      </c>
      <c r="L76" s="311">
        <v>0</v>
      </c>
      <c r="N76" s="310" t="s">
        <v>59</v>
      </c>
      <c r="O76" s="310" t="s">
        <v>124</v>
      </c>
      <c r="P76" s="310" t="s">
        <v>215</v>
      </c>
      <c r="Q76" s="311">
        <v>0</v>
      </c>
      <c r="R76" s="311">
        <v>0</v>
      </c>
      <c r="S76" s="311">
        <v>0</v>
      </c>
      <c r="T76" s="311">
        <v>0</v>
      </c>
      <c r="U76" s="311">
        <v>0</v>
      </c>
      <c r="V76" s="311">
        <v>0</v>
      </c>
      <c r="W76" s="311">
        <v>0</v>
      </c>
      <c r="X76" s="311">
        <v>0</v>
      </c>
      <c r="Y76" s="311">
        <v>0</v>
      </c>
      <c r="AA76" s="310"/>
      <c r="AB76" s="310"/>
      <c r="AC76" s="310"/>
      <c r="AD76" s="311"/>
      <c r="AE76" s="311"/>
      <c r="AF76" s="311"/>
      <c r="AG76" s="311"/>
      <c r="AH76" s="311"/>
      <c r="AI76" s="311"/>
      <c r="AJ76" s="311"/>
      <c r="AK76" s="311"/>
      <c r="AL76" s="311"/>
    </row>
    <row r="77" spans="1:38" ht="13.95" customHeight="1">
      <c r="A77" s="310" t="s">
        <v>59</v>
      </c>
      <c r="B77" s="310" t="s">
        <v>125</v>
      </c>
      <c r="C77" s="310" t="s">
        <v>216</v>
      </c>
      <c r="D77" s="311">
        <v>0</v>
      </c>
      <c r="E77" s="311">
        <v>0</v>
      </c>
      <c r="F77" s="311">
        <v>0</v>
      </c>
      <c r="G77" s="311">
        <v>0</v>
      </c>
      <c r="H77" s="311">
        <v>0</v>
      </c>
      <c r="I77" s="311">
        <v>0</v>
      </c>
      <c r="J77" s="311">
        <v>0</v>
      </c>
      <c r="K77" s="311">
        <v>0</v>
      </c>
      <c r="L77" s="311">
        <v>0</v>
      </c>
      <c r="N77" s="310" t="s">
        <v>59</v>
      </c>
      <c r="O77" s="310" t="s">
        <v>125</v>
      </c>
      <c r="P77" s="310" t="s">
        <v>216</v>
      </c>
      <c r="Q77" s="311">
        <v>0</v>
      </c>
      <c r="R77" s="311">
        <v>0</v>
      </c>
      <c r="S77" s="311">
        <v>0</v>
      </c>
      <c r="T77" s="311">
        <v>0</v>
      </c>
      <c r="U77" s="311">
        <v>0</v>
      </c>
      <c r="V77" s="311">
        <v>0</v>
      </c>
      <c r="W77" s="311">
        <v>0</v>
      </c>
      <c r="X77" s="311">
        <v>0</v>
      </c>
      <c r="Y77" s="311">
        <v>0</v>
      </c>
      <c r="AA77" s="310"/>
      <c r="AB77" s="310"/>
      <c r="AC77" s="310"/>
      <c r="AD77" s="311"/>
      <c r="AE77" s="311"/>
      <c r="AF77" s="311"/>
      <c r="AG77" s="311"/>
      <c r="AH77" s="311"/>
      <c r="AI77" s="311"/>
      <c r="AJ77" s="311"/>
      <c r="AK77" s="311"/>
      <c r="AL77" s="311"/>
    </row>
    <row r="78" spans="1:38" ht="13.95" customHeight="1">
      <c r="A78" s="310" t="s">
        <v>59</v>
      </c>
      <c r="B78" s="310" t="s">
        <v>217</v>
      </c>
      <c r="C78" s="310" t="s">
        <v>218</v>
      </c>
      <c r="D78" s="311">
        <v>0</v>
      </c>
      <c r="E78" s="311">
        <v>0</v>
      </c>
      <c r="F78" s="311">
        <v>0</v>
      </c>
      <c r="G78" s="311">
        <v>0</v>
      </c>
      <c r="H78" s="311">
        <v>0</v>
      </c>
      <c r="I78" s="311">
        <v>0</v>
      </c>
      <c r="J78" s="311">
        <v>0</v>
      </c>
      <c r="K78" s="311">
        <v>0</v>
      </c>
      <c r="L78" s="311">
        <v>0</v>
      </c>
      <c r="N78" s="310" t="s">
        <v>59</v>
      </c>
      <c r="O78" s="310" t="s">
        <v>217</v>
      </c>
      <c r="P78" s="310" t="s">
        <v>218</v>
      </c>
      <c r="Q78" s="311">
        <v>0</v>
      </c>
      <c r="R78" s="311">
        <v>0</v>
      </c>
      <c r="S78" s="311">
        <v>0</v>
      </c>
      <c r="T78" s="311">
        <v>0</v>
      </c>
      <c r="U78" s="311">
        <v>0</v>
      </c>
      <c r="V78" s="311">
        <v>0</v>
      </c>
      <c r="W78" s="311">
        <v>0</v>
      </c>
      <c r="X78" s="311">
        <v>0</v>
      </c>
      <c r="Y78" s="311">
        <v>0</v>
      </c>
      <c r="AA78" s="310"/>
      <c r="AB78" s="310"/>
      <c r="AC78" s="310"/>
      <c r="AD78" s="311"/>
      <c r="AE78" s="311"/>
      <c r="AF78" s="311"/>
      <c r="AG78" s="311"/>
      <c r="AH78" s="311"/>
      <c r="AI78" s="311"/>
      <c r="AJ78" s="311"/>
      <c r="AK78" s="311"/>
      <c r="AL78" s="311"/>
    </row>
    <row r="79" spans="1:38" ht="13.95" customHeight="1">
      <c r="A79" s="310" t="s">
        <v>59</v>
      </c>
      <c r="B79" s="310" t="s">
        <v>126</v>
      </c>
      <c r="C79" s="310" t="s">
        <v>219</v>
      </c>
      <c r="D79" s="311">
        <v>0</v>
      </c>
      <c r="E79" s="311">
        <v>0</v>
      </c>
      <c r="F79" s="311">
        <v>0</v>
      </c>
      <c r="G79" s="311">
        <v>0</v>
      </c>
      <c r="H79" s="311">
        <v>0</v>
      </c>
      <c r="I79" s="311">
        <v>0</v>
      </c>
      <c r="J79" s="311">
        <v>0</v>
      </c>
      <c r="K79" s="311">
        <v>0</v>
      </c>
      <c r="L79" s="311">
        <v>0</v>
      </c>
      <c r="N79" s="310" t="s">
        <v>59</v>
      </c>
      <c r="O79" s="310" t="s">
        <v>126</v>
      </c>
      <c r="P79" s="310" t="s">
        <v>219</v>
      </c>
      <c r="Q79" s="311">
        <v>0</v>
      </c>
      <c r="R79" s="311">
        <v>0</v>
      </c>
      <c r="S79" s="311">
        <v>0</v>
      </c>
      <c r="T79" s="311">
        <v>0</v>
      </c>
      <c r="U79" s="311">
        <v>0</v>
      </c>
      <c r="V79" s="311">
        <v>0</v>
      </c>
      <c r="W79" s="311">
        <v>0</v>
      </c>
      <c r="X79" s="311">
        <v>0</v>
      </c>
      <c r="Y79" s="311">
        <v>0</v>
      </c>
      <c r="AA79" s="310"/>
      <c r="AB79" s="310"/>
      <c r="AC79" s="310"/>
      <c r="AD79" s="311"/>
      <c r="AE79" s="311"/>
      <c r="AF79" s="311"/>
      <c r="AG79" s="311"/>
      <c r="AH79" s="311"/>
      <c r="AI79" s="311"/>
      <c r="AJ79" s="311"/>
      <c r="AK79" s="311"/>
      <c r="AL79" s="311"/>
    </row>
    <row r="80" spans="1:38" ht="13.95" customHeight="1">
      <c r="A80" s="310" t="s">
        <v>59</v>
      </c>
      <c r="B80" s="310" t="s">
        <v>127</v>
      </c>
      <c r="C80" s="310" t="s">
        <v>220</v>
      </c>
      <c r="D80" s="311">
        <v>0</v>
      </c>
      <c r="E80" s="311">
        <v>0</v>
      </c>
      <c r="F80" s="311">
        <v>0</v>
      </c>
      <c r="G80" s="311">
        <v>0</v>
      </c>
      <c r="H80" s="311">
        <v>0</v>
      </c>
      <c r="I80" s="311">
        <v>0</v>
      </c>
      <c r="J80" s="311">
        <v>0</v>
      </c>
      <c r="K80" s="311">
        <v>0</v>
      </c>
      <c r="L80" s="311">
        <v>0</v>
      </c>
      <c r="N80" s="310" t="s">
        <v>59</v>
      </c>
      <c r="O80" s="310" t="s">
        <v>127</v>
      </c>
      <c r="P80" s="310" t="s">
        <v>220</v>
      </c>
      <c r="Q80" s="311">
        <v>0</v>
      </c>
      <c r="R80" s="311">
        <v>0</v>
      </c>
      <c r="S80" s="311">
        <v>0</v>
      </c>
      <c r="T80" s="311">
        <v>0</v>
      </c>
      <c r="U80" s="311">
        <v>0</v>
      </c>
      <c r="V80" s="311">
        <v>0</v>
      </c>
      <c r="W80" s="311">
        <v>0</v>
      </c>
      <c r="X80" s="311">
        <v>0</v>
      </c>
      <c r="Y80" s="311">
        <v>0</v>
      </c>
      <c r="AA80" s="310"/>
      <c r="AB80" s="310"/>
      <c r="AC80" s="310"/>
      <c r="AD80" s="311"/>
      <c r="AE80" s="311"/>
      <c r="AF80" s="311"/>
      <c r="AG80" s="311"/>
      <c r="AH80" s="311"/>
      <c r="AI80" s="311"/>
      <c r="AJ80" s="311"/>
      <c r="AK80" s="311"/>
      <c r="AL80" s="311"/>
    </row>
    <row r="81" spans="1:38" ht="13.95" customHeight="1">
      <c r="A81" s="310" t="s">
        <v>59</v>
      </c>
      <c r="B81" s="310" t="s">
        <v>138</v>
      </c>
      <c r="C81" s="310" t="s">
        <v>221</v>
      </c>
      <c r="D81" s="311">
        <v>0</v>
      </c>
      <c r="E81" s="311">
        <v>0</v>
      </c>
      <c r="F81" s="311">
        <v>0</v>
      </c>
      <c r="G81" s="311">
        <v>0</v>
      </c>
      <c r="H81" s="311">
        <v>0</v>
      </c>
      <c r="I81" s="311">
        <v>0</v>
      </c>
      <c r="J81" s="311">
        <v>0</v>
      </c>
      <c r="K81" s="311">
        <v>0</v>
      </c>
      <c r="L81" s="311">
        <v>0</v>
      </c>
      <c r="N81" s="310" t="s">
        <v>59</v>
      </c>
      <c r="O81" s="310" t="s">
        <v>138</v>
      </c>
      <c r="P81" s="310" t="s">
        <v>221</v>
      </c>
      <c r="Q81" s="311">
        <v>0</v>
      </c>
      <c r="R81" s="311">
        <v>0</v>
      </c>
      <c r="S81" s="311">
        <v>0</v>
      </c>
      <c r="T81" s="311">
        <v>0</v>
      </c>
      <c r="U81" s="311">
        <v>0</v>
      </c>
      <c r="V81" s="311">
        <v>0</v>
      </c>
      <c r="W81" s="311">
        <v>0</v>
      </c>
      <c r="X81" s="311">
        <v>0</v>
      </c>
      <c r="Y81" s="311">
        <v>0</v>
      </c>
      <c r="AA81" s="310"/>
      <c r="AB81" s="310"/>
      <c r="AC81" s="310"/>
      <c r="AD81" s="311"/>
      <c r="AE81" s="311"/>
      <c r="AF81" s="311"/>
      <c r="AG81" s="311"/>
      <c r="AH81" s="311"/>
      <c r="AI81" s="311"/>
      <c r="AJ81" s="311"/>
      <c r="AK81" s="311"/>
      <c r="AL81" s="311"/>
    </row>
    <row r="82" spans="1:38" ht="13.95" customHeight="1">
      <c r="A82" s="310" t="s">
        <v>59</v>
      </c>
      <c r="B82" s="310" t="s">
        <v>222</v>
      </c>
      <c r="C82" s="310" t="s">
        <v>223</v>
      </c>
      <c r="D82" s="311">
        <v>0</v>
      </c>
      <c r="E82" s="311">
        <v>0</v>
      </c>
      <c r="F82" s="311">
        <v>0</v>
      </c>
      <c r="G82" s="311">
        <v>0</v>
      </c>
      <c r="H82" s="311">
        <v>0</v>
      </c>
      <c r="I82" s="311">
        <v>0</v>
      </c>
      <c r="J82" s="311">
        <v>0</v>
      </c>
      <c r="K82" s="311">
        <v>0</v>
      </c>
      <c r="L82" s="311">
        <v>0</v>
      </c>
      <c r="N82" s="310" t="s">
        <v>59</v>
      </c>
      <c r="O82" s="310" t="s">
        <v>222</v>
      </c>
      <c r="P82" s="310" t="s">
        <v>223</v>
      </c>
      <c r="Q82" s="311">
        <v>0</v>
      </c>
      <c r="R82" s="311">
        <v>0</v>
      </c>
      <c r="S82" s="311">
        <v>0</v>
      </c>
      <c r="T82" s="311">
        <v>0</v>
      </c>
      <c r="U82" s="311">
        <v>0</v>
      </c>
      <c r="V82" s="311">
        <v>0</v>
      </c>
      <c r="W82" s="311">
        <v>0</v>
      </c>
      <c r="X82" s="311">
        <v>0</v>
      </c>
      <c r="Y82" s="311">
        <v>0</v>
      </c>
      <c r="AA82" s="310"/>
      <c r="AB82" s="310"/>
      <c r="AC82" s="310"/>
      <c r="AD82" s="311"/>
      <c r="AE82" s="311"/>
      <c r="AF82" s="311"/>
      <c r="AG82" s="311"/>
      <c r="AH82" s="311"/>
      <c r="AI82" s="311"/>
      <c r="AJ82" s="311"/>
      <c r="AK82" s="311"/>
      <c r="AL82" s="311"/>
    </row>
    <row r="83" spans="1:38" ht="13.95" customHeight="1">
      <c r="A83" s="310" t="s">
        <v>59</v>
      </c>
      <c r="B83" s="310" t="s">
        <v>224</v>
      </c>
      <c r="C83" s="310" t="s">
        <v>225</v>
      </c>
      <c r="D83" s="311">
        <v>0</v>
      </c>
      <c r="E83" s="311">
        <v>0</v>
      </c>
      <c r="F83" s="311">
        <v>0</v>
      </c>
      <c r="G83" s="311">
        <v>0</v>
      </c>
      <c r="H83" s="311">
        <v>0</v>
      </c>
      <c r="I83" s="311">
        <v>0</v>
      </c>
      <c r="J83" s="311">
        <v>0</v>
      </c>
      <c r="K83" s="311">
        <v>0</v>
      </c>
      <c r="L83" s="311">
        <v>0</v>
      </c>
      <c r="N83" s="310" t="s">
        <v>59</v>
      </c>
      <c r="O83" s="310" t="s">
        <v>224</v>
      </c>
      <c r="P83" s="310" t="s">
        <v>225</v>
      </c>
      <c r="Q83" s="311">
        <v>0</v>
      </c>
      <c r="R83" s="311">
        <v>0</v>
      </c>
      <c r="S83" s="311">
        <v>0</v>
      </c>
      <c r="T83" s="311">
        <v>0</v>
      </c>
      <c r="U83" s="311">
        <v>0</v>
      </c>
      <c r="V83" s="311">
        <v>0</v>
      </c>
      <c r="W83" s="311">
        <v>0</v>
      </c>
      <c r="X83" s="311">
        <v>0</v>
      </c>
      <c r="Y83" s="311">
        <v>0</v>
      </c>
      <c r="AA83" s="310"/>
      <c r="AB83" s="310"/>
      <c r="AC83" s="310"/>
      <c r="AD83" s="311"/>
      <c r="AE83" s="311"/>
      <c r="AF83" s="311"/>
      <c r="AG83" s="311"/>
      <c r="AH83" s="311"/>
      <c r="AI83" s="311"/>
      <c r="AJ83" s="311"/>
      <c r="AK83" s="311"/>
      <c r="AL83" s="311"/>
    </row>
    <row r="84" spans="1:38" ht="12" customHeight="1"/>
    <row r="85" spans="1:38" ht="16.2" customHeight="1">
      <c r="A85" s="358" t="s">
        <v>174</v>
      </c>
      <c r="B85" s="358"/>
      <c r="C85" s="358"/>
      <c r="D85" s="358"/>
      <c r="E85" s="358"/>
      <c r="F85" s="358"/>
      <c r="G85" s="358"/>
      <c r="H85" s="358"/>
      <c r="I85" s="358"/>
      <c r="J85" s="358"/>
      <c r="K85" s="358"/>
      <c r="L85" s="358"/>
      <c r="N85" s="358" t="s">
        <v>174</v>
      </c>
      <c r="O85" s="358"/>
      <c r="P85" s="358"/>
      <c r="Q85" s="358"/>
      <c r="R85" s="358"/>
      <c r="S85" s="358"/>
      <c r="T85" s="358"/>
      <c r="U85" s="358"/>
      <c r="V85" s="358"/>
      <c r="W85" s="358"/>
      <c r="X85" s="358"/>
      <c r="Y85" s="358"/>
      <c r="AA85" s="358"/>
      <c r="AB85" s="358"/>
      <c r="AC85" s="358"/>
      <c r="AD85" s="358"/>
      <c r="AE85" s="358"/>
      <c r="AF85" s="358"/>
      <c r="AG85" s="358"/>
      <c r="AH85" s="358"/>
      <c r="AI85" s="358"/>
      <c r="AJ85" s="358"/>
      <c r="AK85" s="358"/>
      <c r="AL85" s="358"/>
    </row>
    <row r="86" spans="1:38" ht="16.2" customHeight="1">
      <c r="A86" s="358" t="s">
        <v>227</v>
      </c>
      <c r="B86" s="358"/>
      <c r="C86" s="358"/>
      <c r="D86" s="358"/>
      <c r="E86" s="358"/>
      <c r="F86" s="358"/>
      <c r="G86" s="358"/>
      <c r="H86" s="358"/>
      <c r="I86" s="358"/>
      <c r="J86" s="358"/>
      <c r="K86" s="358"/>
      <c r="L86" s="358"/>
      <c r="N86" s="358" t="s">
        <v>227</v>
      </c>
      <c r="O86" s="358"/>
      <c r="P86" s="358"/>
      <c r="Q86" s="358"/>
      <c r="R86" s="358"/>
      <c r="S86" s="358"/>
      <c r="T86" s="358"/>
      <c r="U86" s="358"/>
      <c r="V86" s="358"/>
      <c r="W86" s="358"/>
      <c r="X86" s="358"/>
      <c r="Y86" s="358"/>
      <c r="AA86" s="358"/>
      <c r="AB86" s="358"/>
      <c r="AC86" s="358"/>
      <c r="AD86" s="358"/>
      <c r="AE86" s="358"/>
      <c r="AF86" s="358"/>
      <c r="AG86" s="358"/>
      <c r="AH86" s="358"/>
      <c r="AI86" s="358"/>
      <c r="AJ86" s="358"/>
      <c r="AK86" s="358"/>
      <c r="AL86" s="358"/>
    </row>
    <row r="87" spans="1:38" ht="12" customHeight="1">
      <c r="AB87" s="308"/>
      <c r="AD87" s="308"/>
    </row>
    <row r="88" spans="1:38" ht="13.95" customHeight="1">
      <c r="A88" s="309" t="s">
        <v>2</v>
      </c>
      <c r="B88" s="309" t="s">
        <v>4</v>
      </c>
      <c r="C88" s="309" t="s">
        <v>176</v>
      </c>
      <c r="D88" s="309" t="s">
        <v>177</v>
      </c>
      <c r="E88" s="309" t="s">
        <v>178</v>
      </c>
      <c r="F88" s="309" t="s">
        <v>179</v>
      </c>
      <c r="G88" s="309" t="s">
        <v>180</v>
      </c>
      <c r="H88" s="309" t="s">
        <v>181</v>
      </c>
      <c r="I88" s="309" t="s">
        <v>182</v>
      </c>
      <c r="J88" s="309" t="s">
        <v>183</v>
      </c>
      <c r="K88" s="309" t="s">
        <v>184</v>
      </c>
      <c r="L88" s="309" t="s">
        <v>1</v>
      </c>
      <c r="N88" s="309" t="s">
        <v>2</v>
      </c>
      <c r="O88" s="309" t="s">
        <v>4</v>
      </c>
      <c r="P88" s="309" t="s">
        <v>176</v>
      </c>
      <c r="Q88" s="309" t="s">
        <v>177</v>
      </c>
      <c r="R88" s="309" t="s">
        <v>178</v>
      </c>
      <c r="S88" s="309" t="s">
        <v>179</v>
      </c>
      <c r="T88" s="309" t="s">
        <v>180</v>
      </c>
      <c r="U88" s="309" t="s">
        <v>181</v>
      </c>
      <c r="V88" s="309" t="s">
        <v>182</v>
      </c>
      <c r="W88" s="309" t="s">
        <v>183</v>
      </c>
      <c r="X88" s="309" t="s">
        <v>184</v>
      </c>
      <c r="Y88" s="309" t="s">
        <v>1</v>
      </c>
      <c r="AA88" s="309"/>
      <c r="AB88" s="309"/>
      <c r="AC88" s="309"/>
      <c r="AD88" s="309"/>
      <c r="AE88" s="309"/>
      <c r="AF88" s="309"/>
      <c r="AG88" s="309"/>
      <c r="AH88" s="309"/>
      <c r="AI88" s="309"/>
      <c r="AJ88" s="309"/>
      <c r="AK88" s="309"/>
      <c r="AL88" s="309"/>
    </row>
    <row r="89" spans="1:38" ht="13.95" customHeight="1">
      <c r="A89" s="310" t="s">
        <v>60</v>
      </c>
      <c r="B89" s="310" t="s">
        <v>95</v>
      </c>
      <c r="C89" s="310" t="s">
        <v>185</v>
      </c>
      <c r="D89" s="311">
        <f>Q89+AD89</f>
        <v>0</v>
      </c>
      <c r="E89" s="311">
        <f t="shared" ref="E89:L116" si="4">R89+AE89</f>
        <v>0</v>
      </c>
      <c r="F89" s="311">
        <f t="shared" si="4"/>
        <v>0</v>
      </c>
      <c r="G89" s="311">
        <f t="shared" si="4"/>
        <v>0</v>
      </c>
      <c r="H89" s="311">
        <f t="shared" si="4"/>
        <v>0</v>
      </c>
      <c r="I89" s="311">
        <f t="shared" si="4"/>
        <v>0</v>
      </c>
      <c r="J89" s="311">
        <f t="shared" si="4"/>
        <v>0</v>
      </c>
      <c r="K89" s="311">
        <f t="shared" si="4"/>
        <v>0</v>
      </c>
      <c r="L89" s="311">
        <f t="shared" si="4"/>
        <v>0</v>
      </c>
      <c r="N89" s="310" t="s">
        <v>60</v>
      </c>
      <c r="O89" s="310" t="s">
        <v>95</v>
      </c>
      <c r="P89" s="310" t="s">
        <v>185</v>
      </c>
      <c r="Q89" s="311">
        <v>0</v>
      </c>
      <c r="R89" s="311">
        <v>0</v>
      </c>
      <c r="S89" s="311">
        <v>0</v>
      </c>
      <c r="T89" s="311">
        <v>0</v>
      </c>
      <c r="U89" s="311">
        <v>0</v>
      </c>
      <c r="V89" s="311">
        <v>0</v>
      </c>
      <c r="W89" s="311">
        <v>0</v>
      </c>
      <c r="X89" s="311">
        <v>0</v>
      </c>
      <c r="Y89" s="311">
        <v>0</v>
      </c>
      <c r="AA89" s="310"/>
      <c r="AB89" s="310"/>
      <c r="AC89" s="310"/>
      <c r="AD89" s="311"/>
      <c r="AE89" s="311"/>
      <c r="AF89" s="311"/>
      <c r="AG89" s="311"/>
      <c r="AH89" s="311"/>
      <c r="AI89" s="311"/>
      <c r="AJ89" s="311"/>
      <c r="AK89" s="311"/>
      <c r="AL89" s="311"/>
    </row>
    <row r="90" spans="1:38" ht="13.95" customHeight="1">
      <c r="A90" s="310" t="s">
        <v>60</v>
      </c>
      <c r="B90" s="310" t="s">
        <v>96</v>
      </c>
      <c r="C90" s="310" t="s">
        <v>186</v>
      </c>
      <c r="D90" s="311">
        <f t="shared" ref="D90:D116" si="5">Q90+AD90</f>
        <v>0</v>
      </c>
      <c r="E90" s="311">
        <f t="shared" si="4"/>
        <v>0</v>
      </c>
      <c r="F90" s="311">
        <f t="shared" si="4"/>
        <v>0</v>
      </c>
      <c r="G90" s="311">
        <f t="shared" si="4"/>
        <v>0</v>
      </c>
      <c r="H90" s="311">
        <f t="shared" si="4"/>
        <v>37568</v>
      </c>
      <c r="I90" s="311">
        <f t="shared" si="4"/>
        <v>0</v>
      </c>
      <c r="J90" s="311">
        <f t="shared" si="4"/>
        <v>0</v>
      </c>
      <c r="K90" s="311">
        <f t="shared" si="4"/>
        <v>0</v>
      </c>
      <c r="L90" s="311">
        <f t="shared" si="4"/>
        <v>37568</v>
      </c>
      <c r="N90" s="310" t="s">
        <v>60</v>
      </c>
      <c r="O90" s="310" t="s">
        <v>96</v>
      </c>
      <c r="P90" s="310" t="s">
        <v>186</v>
      </c>
      <c r="Q90" s="311">
        <v>0</v>
      </c>
      <c r="R90" s="311">
        <v>0</v>
      </c>
      <c r="S90" s="311">
        <v>0</v>
      </c>
      <c r="T90" s="311">
        <v>0</v>
      </c>
      <c r="U90" s="311">
        <v>37568</v>
      </c>
      <c r="V90" s="311">
        <v>0</v>
      </c>
      <c r="W90" s="311">
        <v>0</v>
      </c>
      <c r="X90" s="311">
        <v>0</v>
      </c>
      <c r="Y90" s="311">
        <v>37568</v>
      </c>
      <c r="AA90" s="310"/>
      <c r="AB90" s="310"/>
      <c r="AC90" s="310"/>
      <c r="AD90" s="311"/>
      <c r="AE90" s="311"/>
      <c r="AF90" s="311"/>
      <c r="AG90" s="311"/>
      <c r="AH90" s="311"/>
      <c r="AI90" s="311"/>
      <c r="AJ90" s="311"/>
      <c r="AK90" s="311"/>
      <c r="AL90" s="311"/>
    </row>
    <row r="91" spans="1:38" ht="13.95" customHeight="1">
      <c r="A91" s="310" t="s">
        <v>60</v>
      </c>
      <c r="B91" s="310" t="s">
        <v>97</v>
      </c>
      <c r="C91" s="310" t="s">
        <v>187</v>
      </c>
      <c r="D91" s="311">
        <f t="shared" si="5"/>
        <v>0</v>
      </c>
      <c r="E91" s="311">
        <f t="shared" si="4"/>
        <v>103648</v>
      </c>
      <c r="F91" s="311">
        <f t="shared" si="4"/>
        <v>0</v>
      </c>
      <c r="G91" s="311">
        <f t="shared" si="4"/>
        <v>0</v>
      </c>
      <c r="H91" s="311">
        <f t="shared" si="4"/>
        <v>36944</v>
      </c>
      <c r="I91" s="311">
        <f t="shared" si="4"/>
        <v>0</v>
      </c>
      <c r="J91" s="311">
        <f t="shared" si="4"/>
        <v>17544</v>
      </c>
      <c r="K91" s="311">
        <f t="shared" si="4"/>
        <v>0</v>
      </c>
      <c r="L91" s="311">
        <f t="shared" si="4"/>
        <v>158136</v>
      </c>
      <c r="N91" s="310" t="s">
        <v>60</v>
      </c>
      <c r="O91" s="310" t="s">
        <v>97</v>
      </c>
      <c r="P91" s="310" t="s">
        <v>187</v>
      </c>
      <c r="Q91" s="311">
        <v>0</v>
      </c>
      <c r="R91" s="311">
        <v>103648</v>
      </c>
      <c r="S91" s="311">
        <v>0</v>
      </c>
      <c r="T91" s="311">
        <v>0</v>
      </c>
      <c r="U91" s="311">
        <v>36944</v>
      </c>
      <c r="V91" s="311">
        <v>0</v>
      </c>
      <c r="W91" s="311">
        <v>17544</v>
      </c>
      <c r="X91" s="311">
        <v>0</v>
      </c>
      <c r="Y91" s="311">
        <v>158136</v>
      </c>
      <c r="AA91" s="310"/>
      <c r="AB91" s="310"/>
      <c r="AC91" s="310"/>
      <c r="AD91" s="311"/>
      <c r="AE91" s="311"/>
      <c r="AF91" s="311"/>
      <c r="AG91" s="311"/>
      <c r="AH91" s="311"/>
      <c r="AI91" s="311"/>
      <c r="AJ91" s="311"/>
      <c r="AK91" s="311"/>
      <c r="AL91" s="311"/>
    </row>
    <row r="92" spans="1:38" ht="13.95" customHeight="1">
      <c r="A92" s="310" t="s">
        <v>60</v>
      </c>
      <c r="B92" s="310" t="s">
        <v>98</v>
      </c>
      <c r="C92" s="310" t="s">
        <v>188</v>
      </c>
      <c r="D92" s="311">
        <f t="shared" si="5"/>
        <v>11040</v>
      </c>
      <c r="E92" s="311">
        <f t="shared" si="4"/>
        <v>31776</v>
      </c>
      <c r="F92" s="311">
        <f t="shared" si="4"/>
        <v>0</v>
      </c>
      <c r="G92" s="311">
        <f t="shared" si="4"/>
        <v>0</v>
      </c>
      <c r="H92" s="311">
        <f t="shared" si="4"/>
        <v>21456</v>
      </c>
      <c r="I92" s="311">
        <f t="shared" si="4"/>
        <v>12080</v>
      </c>
      <c r="J92" s="311">
        <f t="shared" si="4"/>
        <v>14552</v>
      </c>
      <c r="K92" s="311">
        <f t="shared" si="4"/>
        <v>0</v>
      </c>
      <c r="L92" s="311">
        <f t="shared" si="4"/>
        <v>90904</v>
      </c>
      <c r="N92" s="310" t="s">
        <v>60</v>
      </c>
      <c r="O92" s="310" t="s">
        <v>98</v>
      </c>
      <c r="P92" s="310" t="s">
        <v>188</v>
      </c>
      <c r="Q92" s="311">
        <v>11040</v>
      </c>
      <c r="R92" s="311">
        <v>31776</v>
      </c>
      <c r="S92" s="311">
        <v>0</v>
      </c>
      <c r="T92" s="311">
        <v>0</v>
      </c>
      <c r="U92" s="311">
        <v>21456</v>
      </c>
      <c r="V92" s="311">
        <v>12080</v>
      </c>
      <c r="W92" s="311">
        <v>14552</v>
      </c>
      <c r="X92" s="311">
        <v>0</v>
      </c>
      <c r="Y92" s="311">
        <v>90904</v>
      </c>
      <c r="AA92" s="310"/>
      <c r="AB92" s="310"/>
      <c r="AC92" s="310"/>
      <c r="AD92" s="311"/>
      <c r="AE92" s="311"/>
      <c r="AF92" s="311"/>
      <c r="AG92" s="311"/>
      <c r="AH92" s="311"/>
      <c r="AI92" s="311"/>
      <c r="AJ92" s="311"/>
      <c r="AK92" s="311"/>
      <c r="AL92" s="311"/>
    </row>
    <row r="93" spans="1:38" ht="13.95" customHeight="1">
      <c r="A93" s="310" t="s">
        <v>60</v>
      </c>
      <c r="B93" s="310" t="s">
        <v>99</v>
      </c>
      <c r="C93" s="310" t="s">
        <v>189</v>
      </c>
      <c r="D93" s="311">
        <f t="shared" si="5"/>
        <v>0</v>
      </c>
      <c r="E93" s="311">
        <f t="shared" si="4"/>
        <v>0</v>
      </c>
      <c r="F93" s="311">
        <f t="shared" si="4"/>
        <v>0</v>
      </c>
      <c r="G93" s="311">
        <f t="shared" si="4"/>
        <v>0</v>
      </c>
      <c r="H93" s="311">
        <f t="shared" si="4"/>
        <v>0</v>
      </c>
      <c r="I93" s="311">
        <f t="shared" si="4"/>
        <v>0</v>
      </c>
      <c r="J93" s="311">
        <f t="shared" si="4"/>
        <v>0</v>
      </c>
      <c r="K93" s="311">
        <f t="shared" si="4"/>
        <v>0</v>
      </c>
      <c r="L93" s="311">
        <f t="shared" si="4"/>
        <v>0</v>
      </c>
      <c r="N93" s="310" t="s">
        <v>60</v>
      </c>
      <c r="O93" s="310" t="s">
        <v>99</v>
      </c>
      <c r="P93" s="310" t="s">
        <v>189</v>
      </c>
      <c r="Q93" s="311">
        <v>0</v>
      </c>
      <c r="R93" s="311">
        <v>0</v>
      </c>
      <c r="S93" s="311">
        <v>0</v>
      </c>
      <c r="T93" s="311">
        <v>0</v>
      </c>
      <c r="U93" s="311">
        <v>0</v>
      </c>
      <c r="V93" s="311">
        <v>0</v>
      </c>
      <c r="W93" s="311">
        <v>0</v>
      </c>
      <c r="X93" s="311">
        <v>0</v>
      </c>
      <c r="Y93" s="311">
        <v>0</v>
      </c>
      <c r="AA93" s="310"/>
      <c r="AB93" s="310"/>
      <c r="AC93" s="310"/>
      <c r="AD93" s="311"/>
      <c r="AE93" s="311"/>
      <c r="AF93" s="311"/>
      <c r="AG93" s="311"/>
      <c r="AH93" s="311"/>
      <c r="AI93" s="311"/>
      <c r="AJ93" s="311"/>
      <c r="AK93" s="311"/>
      <c r="AL93" s="311"/>
    </row>
    <row r="94" spans="1:38" ht="13.95" customHeight="1">
      <c r="A94" s="310" t="s">
        <v>60</v>
      </c>
      <c r="B94" s="310" t="s">
        <v>100</v>
      </c>
      <c r="C94" s="310" t="s">
        <v>190</v>
      </c>
      <c r="D94" s="311">
        <f t="shared" si="5"/>
        <v>23664</v>
      </c>
      <c r="E94" s="311">
        <f t="shared" si="4"/>
        <v>0</v>
      </c>
      <c r="F94" s="311">
        <f t="shared" si="4"/>
        <v>0</v>
      </c>
      <c r="G94" s="311">
        <f t="shared" si="4"/>
        <v>0</v>
      </c>
      <c r="H94" s="311">
        <f t="shared" si="4"/>
        <v>10112</v>
      </c>
      <c r="I94" s="311">
        <f t="shared" si="4"/>
        <v>0</v>
      </c>
      <c r="J94" s="311">
        <f t="shared" si="4"/>
        <v>0</v>
      </c>
      <c r="K94" s="311">
        <f t="shared" si="4"/>
        <v>0</v>
      </c>
      <c r="L94" s="311">
        <f t="shared" si="4"/>
        <v>33776</v>
      </c>
      <c r="N94" s="310" t="s">
        <v>60</v>
      </c>
      <c r="O94" s="310" t="s">
        <v>100</v>
      </c>
      <c r="P94" s="310" t="s">
        <v>190</v>
      </c>
      <c r="Q94" s="311">
        <v>23664</v>
      </c>
      <c r="R94" s="311">
        <v>0</v>
      </c>
      <c r="S94" s="311">
        <v>0</v>
      </c>
      <c r="T94" s="311">
        <v>0</v>
      </c>
      <c r="U94" s="311">
        <v>10112</v>
      </c>
      <c r="V94" s="311">
        <v>0</v>
      </c>
      <c r="W94" s="311">
        <v>0</v>
      </c>
      <c r="X94" s="311">
        <v>0</v>
      </c>
      <c r="Y94" s="311">
        <v>33776</v>
      </c>
      <c r="AA94" s="310"/>
      <c r="AB94" s="310"/>
      <c r="AC94" s="310"/>
      <c r="AD94" s="311"/>
      <c r="AE94" s="311"/>
      <c r="AF94" s="311"/>
      <c r="AG94" s="311"/>
      <c r="AH94" s="311"/>
      <c r="AI94" s="311"/>
      <c r="AJ94" s="311"/>
      <c r="AK94" s="311"/>
      <c r="AL94" s="311"/>
    </row>
    <row r="95" spans="1:38" ht="13.95" customHeight="1">
      <c r="A95" s="310" t="s">
        <v>60</v>
      </c>
      <c r="B95" s="310" t="s">
        <v>101</v>
      </c>
      <c r="C95" s="310" t="s">
        <v>191</v>
      </c>
      <c r="D95" s="311">
        <f t="shared" si="5"/>
        <v>0</v>
      </c>
      <c r="E95" s="311">
        <f t="shared" si="4"/>
        <v>0</v>
      </c>
      <c r="F95" s="311">
        <f t="shared" si="4"/>
        <v>0</v>
      </c>
      <c r="G95" s="311">
        <f t="shared" si="4"/>
        <v>0</v>
      </c>
      <c r="H95" s="311">
        <f t="shared" si="4"/>
        <v>0</v>
      </c>
      <c r="I95" s="311">
        <f t="shared" si="4"/>
        <v>22160</v>
      </c>
      <c r="J95" s="311">
        <f t="shared" si="4"/>
        <v>0</v>
      </c>
      <c r="K95" s="311">
        <f t="shared" si="4"/>
        <v>0</v>
      </c>
      <c r="L95" s="311">
        <f t="shared" si="4"/>
        <v>22160</v>
      </c>
      <c r="N95" s="310" t="s">
        <v>60</v>
      </c>
      <c r="O95" s="310" t="s">
        <v>101</v>
      </c>
      <c r="P95" s="310" t="s">
        <v>191</v>
      </c>
      <c r="Q95" s="311">
        <v>0</v>
      </c>
      <c r="R95" s="311">
        <v>0</v>
      </c>
      <c r="S95" s="311">
        <v>0</v>
      </c>
      <c r="T95" s="311">
        <v>0</v>
      </c>
      <c r="U95" s="311">
        <v>0</v>
      </c>
      <c r="V95" s="311">
        <v>22160</v>
      </c>
      <c r="W95" s="311">
        <v>0</v>
      </c>
      <c r="X95" s="311">
        <v>0</v>
      </c>
      <c r="Y95" s="311">
        <v>22160</v>
      </c>
      <c r="AA95" s="310"/>
      <c r="AB95" s="310"/>
      <c r="AC95" s="310"/>
      <c r="AD95" s="311"/>
      <c r="AE95" s="311"/>
      <c r="AF95" s="311"/>
      <c r="AG95" s="311"/>
      <c r="AH95" s="311"/>
      <c r="AI95" s="311"/>
      <c r="AJ95" s="311"/>
      <c r="AK95" s="311"/>
      <c r="AL95" s="311"/>
    </row>
    <row r="96" spans="1:38" ht="13.95" customHeight="1">
      <c r="A96" s="310" t="s">
        <v>60</v>
      </c>
      <c r="B96" s="310" t="s">
        <v>102</v>
      </c>
      <c r="C96" s="310" t="s">
        <v>192</v>
      </c>
      <c r="D96" s="311">
        <f t="shared" si="5"/>
        <v>0</v>
      </c>
      <c r="E96" s="311">
        <f t="shared" si="4"/>
        <v>0</v>
      </c>
      <c r="F96" s="311">
        <f t="shared" si="4"/>
        <v>0</v>
      </c>
      <c r="G96" s="311">
        <f t="shared" si="4"/>
        <v>0</v>
      </c>
      <c r="H96" s="311">
        <f t="shared" si="4"/>
        <v>0</v>
      </c>
      <c r="I96" s="311">
        <f t="shared" si="4"/>
        <v>0</v>
      </c>
      <c r="J96" s="311">
        <f t="shared" si="4"/>
        <v>0</v>
      </c>
      <c r="K96" s="311">
        <f t="shared" si="4"/>
        <v>0</v>
      </c>
      <c r="L96" s="311">
        <f t="shared" si="4"/>
        <v>0</v>
      </c>
      <c r="N96" s="310" t="s">
        <v>60</v>
      </c>
      <c r="O96" s="310" t="s">
        <v>102</v>
      </c>
      <c r="P96" s="310" t="s">
        <v>192</v>
      </c>
      <c r="Q96" s="311">
        <v>0</v>
      </c>
      <c r="R96" s="311">
        <v>0</v>
      </c>
      <c r="S96" s="311">
        <v>0</v>
      </c>
      <c r="T96" s="311">
        <v>0</v>
      </c>
      <c r="U96" s="311">
        <v>0</v>
      </c>
      <c r="V96" s="311">
        <v>0</v>
      </c>
      <c r="W96" s="311">
        <v>0</v>
      </c>
      <c r="X96" s="311">
        <v>0</v>
      </c>
      <c r="Y96" s="311">
        <v>0</v>
      </c>
      <c r="AA96" s="310"/>
      <c r="AB96" s="310"/>
      <c r="AC96" s="310"/>
      <c r="AD96" s="311"/>
      <c r="AE96" s="311"/>
      <c r="AF96" s="311"/>
      <c r="AG96" s="311"/>
      <c r="AH96" s="311"/>
      <c r="AI96" s="311"/>
      <c r="AJ96" s="311"/>
      <c r="AK96" s="311"/>
      <c r="AL96" s="311"/>
    </row>
    <row r="97" spans="1:38" ht="13.95" customHeight="1">
      <c r="A97" s="310" t="s">
        <v>60</v>
      </c>
      <c r="B97" s="310" t="s">
        <v>103</v>
      </c>
      <c r="C97" s="310" t="s">
        <v>193</v>
      </c>
      <c r="D97" s="311">
        <f t="shared" si="5"/>
        <v>12384</v>
      </c>
      <c r="E97" s="311">
        <f t="shared" si="4"/>
        <v>2496</v>
      </c>
      <c r="F97" s="311">
        <f t="shared" si="4"/>
        <v>0</v>
      </c>
      <c r="G97" s="311">
        <f t="shared" si="4"/>
        <v>0</v>
      </c>
      <c r="H97" s="311">
        <f t="shared" si="4"/>
        <v>77088</v>
      </c>
      <c r="I97" s="311">
        <f t="shared" si="4"/>
        <v>0</v>
      </c>
      <c r="J97" s="311">
        <f t="shared" si="4"/>
        <v>0</v>
      </c>
      <c r="K97" s="311">
        <f t="shared" si="4"/>
        <v>0</v>
      </c>
      <c r="L97" s="311">
        <f t="shared" si="4"/>
        <v>91968</v>
      </c>
      <c r="N97" s="310" t="s">
        <v>60</v>
      </c>
      <c r="O97" s="310" t="s">
        <v>103</v>
      </c>
      <c r="P97" s="310" t="s">
        <v>193</v>
      </c>
      <c r="Q97" s="311">
        <v>12384</v>
      </c>
      <c r="R97" s="311">
        <v>2496</v>
      </c>
      <c r="S97" s="311">
        <v>0</v>
      </c>
      <c r="T97" s="311">
        <v>0</v>
      </c>
      <c r="U97" s="311">
        <v>77088</v>
      </c>
      <c r="V97" s="311">
        <v>0</v>
      </c>
      <c r="W97" s="311">
        <v>0</v>
      </c>
      <c r="X97" s="311">
        <v>0</v>
      </c>
      <c r="Y97" s="311">
        <v>91968</v>
      </c>
      <c r="AA97" s="310"/>
      <c r="AB97" s="310"/>
      <c r="AC97" s="310"/>
      <c r="AD97" s="311"/>
      <c r="AE97" s="311"/>
      <c r="AF97" s="311"/>
      <c r="AG97" s="311"/>
      <c r="AH97" s="311"/>
      <c r="AI97" s="311"/>
      <c r="AJ97" s="311"/>
      <c r="AK97" s="311"/>
      <c r="AL97" s="311"/>
    </row>
    <row r="98" spans="1:38" ht="13.95" customHeight="1">
      <c r="A98" s="310" t="s">
        <v>60</v>
      </c>
      <c r="B98" s="310" t="s">
        <v>104</v>
      </c>
      <c r="C98" s="310" t="s">
        <v>194</v>
      </c>
      <c r="D98" s="311">
        <f t="shared" si="5"/>
        <v>0</v>
      </c>
      <c r="E98" s="311">
        <f t="shared" si="4"/>
        <v>0</v>
      </c>
      <c r="F98" s="311">
        <f t="shared" si="4"/>
        <v>0</v>
      </c>
      <c r="G98" s="311">
        <f t="shared" si="4"/>
        <v>0</v>
      </c>
      <c r="H98" s="311">
        <f t="shared" si="4"/>
        <v>0</v>
      </c>
      <c r="I98" s="311">
        <f t="shared" si="4"/>
        <v>0</v>
      </c>
      <c r="J98" s="311">
        <f t="shared" si="4"/>
        <v>0</v>
      </c>
      <c r="K98" s="311">
        <f t="shared" si="4"/>
        <v>0</v>
      </c>
      <c r="L98" s="311">
        <f t="shared" si="4"/>
        <v>0</v>
      </c>
      <c r="N98" s="310" t="s">
        <v>60</v>
      </c>
      <c r="O98" s="310" t="s">
        <v>104</v>
      </c>
      <c r="P98" s="310" t="s">
        <v>194</v>
      </c>
      <c r="Q98" s="311">
        <v>0</v>
      </c>
      <c r="R98" s="311">
        <v>0</v>
      </c>
      <c r="S98" s="311">
        <v>0</v>
      </c>
      <c r="T98" s="311">
        <v>0</v>
      </c>
      <c r="U98" s="311">
        <v>0</v>
      </c>
      <c r="V98" s="311">
        <v>0</v>
      </c>
      <c r="W98" s="311">
        <v>0</v>
      </c>
      <c r="X98" s="311">
        <v>0</v>
      </c>
      <c r="Y98" s="311">
        <v>0</v>
      </c>
      <c r="AA98" s="310"/>
      <c r="AB98" s="310"/>
      <c r="AC98" s="310"/>
      <c r="AD98" s="311"/>
      <c r="AE98" s="311"/>
      <c r="AF98" s="311"/>
      <c r="AG98" s="311"/>
      <c r="AH98" s="311"/>
      <c r="AI98" s="311"/>
      <c r="AJ98" s="311"/>
      <c r="AK98" s="311"/>
      <c r="AL98" s="311"/>
    </row>
    <row r="99" spans="1:38" ht="13.95" customHeight="1">
      <c r="A99" s="310" t="s">
        <v>60</v>
      </c>
      <c r="B99" s="310" t="s">
        <v>105</v>
      </c>
      <c r="C99" s="310" t="s">
        <v>195</v>
      </c>
      <c r="D99" s="311">
        <f t="shared" si="5"/>
        <v>0</v>
      </c>
      <c r="E99" s="311">
        <f t="shared" si="4"/>
        <v>0</v>
      </c>
      <c r="F99" s="311">
        <f t="shared" si="4"/>
        <v>0</v>
      </c>
      <c r="G99" s="311">
        <f t="shared" si="4"/>
        <v>0</v>
      </c>
      <c r="H99" s="311">
        <f t="shared" si="4"/>
        <v>0</v>
      </c>
      <c r="I99" s="311">
        <f t="shared" si="4"/>
        <v>62656</v>
      </c>
      <c r="J99" s="311">
        <f t="shared" si="4"/>
        <v>0</v>
      </c>
      <c r="K99" s="311">
        <f t="shared" si="4"/>
        <v>29012</v>
      </c>
      <c r="L99" s="311">
        <f t="shared" si="4"/>
        <v>91668</v>
      </c>
      <c r="N99" s="310" t="s">
        <v>60</v>
      </c>
      <c r="O99" s="310" t="s">
        <v>105</v>
      </c>
      <c r="P99" s="310" t="s">
        <v>195</v>
      </c>
      <c r="Q99" s="311">
        <v>0</v>
      </c>
      <c r="R99" s="311">
        <v>0</v>
      </c>
      <c r="S99" s="311">
        <v>0</v>
      </c>
      <c r="T99" s="311">
        <v>0</v>
      </c>
      <c r="U99" s="311">
        <v>0</v>
      </c>
      <c r="V99" s="311">
        <v>62656</v>
      </c>
      <c r="W99" s="311">
        <v>0</v>
      </c>
      <c r="X99" s="311">
        <v>29012</v>
      </c>
      <c r="Y99" s="311">
        <v>91668</v>
      </c>
      <c r="AA99" s="310"/>
      <c r="AB99" s="310"/>
      <c r="AC99" s="310"/>
      <c r="AD99" s="311"/>
      <c r="AE99" s="311"/>
      <c r="AF99" s="311"/>
      <c r="AG99" s="311"/>
      <c r="AH99" s="311"/>
      <c r="AI99" s="311"/>
      <c r="AJ99" s="311"/>
      <c r="AK99" s="311"/>
      <c r="AL99" s="311"/>
    </row>
    <row r="100" spans="1:38" ht="13.95" customHeight="1">
      <c r="A100" s="310" t="s">
        <v>60</v>
      </c>
      <c r="B100" s="310" t="s">
        <v>106</v>
      </c>
      <c r="C100" s="310" t="s">
        <v>196</v>
      </c>
      <c r="D100" s="311">
        <f t="shared" si="5"/>
        <v>71952</v>
      </c>
      <c r="E100" s="311">
        <f t="shared" si="4"/>
        <v>0</v>
      </c>
      <c r="F100" s="311">
        <f t="shared" si="4"/>
        <v>14560</v>
      </c>
      <c r="G100" s="311">
        <f t="shared" si="4"/>
        <v>0</v>
      </c>
      <c r="H100" s="311">
        <f t="shared" si="4"/>
        <v>0</v>
      </c>
      <c r="I100" s="311">
        <f t="shared" si="4"/>
        <v>0</v>
      </c>
      <c r="J100" s="311">
        <f t="shared" si="4"/>
        <v>0</v>
      </c>
      <c r="K100" s="311">
        <f t="shared" si="4"/>
        <v>0</v>
      </c>
      <c r="L100" s="311">
        <f t="shared" si="4"/>
        <v>86512</v>
      </c>
      <c r="N100" s="310" t="s">
        <v>60</v>
      </c>
      <c r="O100" s="310" t="s">
        <v>106</v>
      </c>
      <c r="P100" s="310" t="s">
        <v>196</v>
      </c>
      <c r="Q100" s="311">
        <v>71952</v>
      </c>
      <c r="R100" s="311">
        <v>0</v>
      </c>
      <c r="S100" s="311">
        <v>14560</v>
      </c>
      <c r="T100" s="311">
        <v>0</v>
      </c>
      <c r="U100" s="311">
        <v>0</v>
      </c>
      <c r="V100" s="311">
        <v>0</v>
      </c>
      <c r="W100" s="311">
        <v>0</v>
      </c>
      <c r="X100" s="311">
        <v>0</v>
      </c>
      <c r="Y100" s="311">
        <v>86512</v>
      </c>
      <c r="AA100" s="310"/>
      <c r="AB100" s="310"/>
      <c r="AC100" s="310"/>
      <c r="AD100" s="311"/>
      <c r="AE100" s="311"/>
      <c r="AF100" s="311"/>
      <c r="AG100" s="311"/>
      <c r="AH100" s="311"/>
      <c r="AI100" s="311"/>
      <c r="AJ100" s="311"/>
      <c r="AK100" s="311"/>
      <c r="AL100" s="311"/>
    </row>
    <row r="101" spans="1:38" ht="13.95" customHeight="1">
      <c r="A101" s="310" t="s">
        <v>60</v>
      </c>
      <c r="B101" s="310" t="s">
        <v>107</v>
      </c>
      <c r="C101" s="310" t="s">
        <v>197</v>
      </c>
      <c r="D101" s="311">
        <f t="shared" si="5"/>
        <v>1152</v>
      </c>
      <c r="E101" s="311">
        <f t="shared" si="4"/>
        <v>0</v>
      </c>
      <c r="F101" s="311">
        <f t="shared" si="4"/>
        <v>0</v>
      </c>
      <c r="G101" s="311">
        <f t="shared" si="4"/>
        <v>0</v>
      </c>
      <c r="H101" s="311">
        <f t="shared" si="4"/>
        <v>0</v>
      </c>
      <c r="I101" s="311">
        <f t="shared" si="4"/>
        <v>0</v>
      </c>
      <c r="J101" s="311">
        <f t="shared" si="4"/>
        <v>0</v>
      </c>
      <c r="K101" s="311">
        <f t="shared" si="4"/>
        <v>0</v>
      </c>
      <c r="L101" s="311">
        <f t="shared" si="4"/>
        <v>1152</v>
      </c>
      <c r="N101" s="310" t="s">
        <v>60</v>
      </c>
      <c r="O101" s="310" t="s">
        <v>107</v>
      </c>
      <c r="P101" s="310" t="s">
        <v>197</v>
      </c>
      <c r="Q101" s="311">
        <v>1152</v>
      </c>
      <c r="R101" s="311">
        <v>0</v>
      </c>
      <c r="S101" s="311">
        <v>0</v>
      </c>
      <c r="T101" s="311">
        <v>0</v>
      </c>
      <c r="U101" s="311">
        <v>0</v>
      </c>
      <c r="V101" s="311">
        <v>0</v>
      </c>
      <c r="W101" s="311">
        <v>0</v>
      </c>
      <c r="X101" s="311">
        <v>0</v>
      </c>
      <c r="Y101" s="311">
        <v>1152</v>
      </c>
      <c r="AA101" s="310"/>
      <c r="AB101" s="310"/>
      <c r="AC101" s="310"/>
      <c r="AD101" s="311"/>
      <c r="AE101" s="311"/>
      <c r="AF101" s="311"/>
      <c r="AG101" s="311"/>
      <c r="AH101" s="311"/>
      <c r="AI101" s="311"/>
      <c r="AJ101" s="311"/>
      <c r="AK101" s="311"/>
      <c r="AL101" s="311"/>
    </row>
    <row r="102" spans="1:38" ht="13.95" customHeight="1">
      <c r="A102" s="310" t="s">
        <v>60</v>
      </c>
      <c r="B102" s="310" t="s">
        <v>108</v>
      </c>
      <c r="C102" s="310" t="s">
        <v>198</v>
      </c>
      <c r="D102" s="311">
        <f t="shared" si="5"/>
        <v>0</v>
      </c>
      <c r="E102" s="311">
        <f t="shared" si="4"/>
        <v>0</v>
      </c>
      <c r="F102" s="311">
        <f t="shared" si="4"/>
        <v>0</v>
      </c>
      <c r="G102" s="311">
        <f t="shared" si="4"/>
        <v>0</v>
      </c>
      <c r="H102" s="311">
        <f t="shared" si="4"/>
        <v>0</v>
      </c>
      <c r="I102" s="311">
        <f t="shared" si="4"/>
        <v>50880</v>
      </c>
      <c r="J102" s="311">
        <f t="shared" si="4"/>
        <v>0</v>
      </c>
      <c r="K102" s="311">
        <f t="shared" si="4"/>
        <v>0</v>
      </c>
      <c r="L102" s="311">
        <f t="shared" si="4"/>
        <v>50880</v>
      </c>
      <c r="N102" s="310" t="s">
        <v>60</v>
      </c>
      <c r="O102" s="310" t="s">
        <v>108</v>
      </c>
      <c r="P102" s="310" t="s">
        <v>198</v>
      </c>
      <c r="Q102" s="311">
        <v>0</v>
      </c>
      <c r="R102" s="311">
        <v>0</v>
      </c>
      <c r="S102" s="311">
        <v>0</v>
      </c>
      <c r="T102" s="311">
        <v>0</v>
      </c>
      <c r="U102" s="311">
        <v>0</v>
      </c>
      <c r="V102" s="311">
        <v>50880</v>
      </c>
      <c r="W102" s="311">
        <v>0</v>
      </c>
      <c r="X102" s="311">
        <v>0</v>
      </c>
      <c r="Y102" s="311">
        <v>50880</v>
      </c>
      <c r="AA102" s="310"/>
      <c r="AB102" s="310"/>
      <c r="AC102" s="310"/>
      <c r="AD102" s="311"/>
      <c r="AE102" s="311"/>
      <c r="AF102" s="311"/>
      <c r="AG102" s="311"/>
      <c r="AH102" s="311"/>
      <c r="AI102" s="311"/>
      <c r="AJ102" s="311"/>
      <c r="AK102" s="311"/>
      <c r="AL102" s="311"/>
    </row>
    <row r="103" spans="1:38" ht="13.95" customHeight="1">
      <c r="A103" s="310" t="s">
        <v>60</v>
      </c>
      <c r="B103" s="310" t="s">
        <v>109</v>
      </c>
      <c r="C103" s="310" t="s">
        <v>199</v>
      </c>
      <c r="D103" s="311">
        <f t="shared" si="5"/>
        <v>0</v>
      </c>
      <c r="E103" s="311">
        <f t="shared" si="4"/>
        <v>0</v>
      </c>
      <c r="F103" s="311">
        <f t="shared" si="4"/>
        <v>0</v>
      </c>
      <c r="G103" s="311">
        <f t="shared" si="4"/>
        <v>0</v>
      </c>
      <c r="H103" s="311">
        <f t="shared" si="4"/>
        <v>0</v>
      </c>
      <c r="I103" s="311">
        <f t="shared" si="4"/>
        <v>0</v>
      </c>
      <c r="J103" s="311">
        <f t="shared" si="4"/>
        <v>0</v>
      </c>
      <c r="K103" s="311">
        <f t="shared" si="4"/>
        <v>0</v>
      </c>
      <c r="L103" s="311">
        <f t="shared" si="4"/>
        <v>0</v>
      </c>
      <c r="N103" s="310" t="s">
        <v>60</v>
      </c>
      <c r="O103" s="310" t="s">
        <v>109</v>
      </c>
      <c r="P103" s="310" t="s">
        <v>199</v>
      </c>
      <c r="Q103" s="311">
        <v>0</v>
      </c>
      <c r="R103" s="311">
        <v>0</v>
      </c>
      <c r="S103" s="311">
        <v>0</v>
      </c>
      <c r="T103" s="311">
        <v>0</v>
      </c>
      <c r="U103" s="311">
        <v>0</v>
      </c>
      <c r="V103" s="311">
        <v>0</v>
      </c>
      <c r="W103" s="311">
        <v>0</v>
      </c>
      <c r="X103" s="311">
        <v>0</v>
      </c>
      <c r="Y103" s="311">
        <v>0</v>
      </c>
      <c r="AA103" s="310"/>
      <c r="AB103" s="310"/>
      <c r="AC103" s="310"/>
      <c r="AD103" s="311"/>
      <c r="AE103" s="311"/>
      <c r="AF103" s="311"/>
      <c r="AG103" s="311"/>
      <c r="AH103" s="311"/>
      <c r="AI103" s="311"/>
      <c r="AJ103" s="311"/>
      <c r="AK103" s="311"/>
      <c r="AL103" s="311"/>
    </row>
    <row r="104" spans="1:38" ht="13.95" customHeight="1">
      <c r="A104" s="310" t="s">
        <v>60</v>
      </c>
      <c r="B104" s="310" t="s">
        <v>110</v>
      </c>
      <c r="C104" s="310" t="s">
        <v>200</v>
      </c>
      <c r="D104" s="311">
        <f t="shared" si="5"/>
        <v>1392</v>
      </c>
      <c r="E104" s="311">
        <f t="shared" si="4"/>
        <v>480</v>
      </c>
      <c r="F104" s="311">
        <f t="shared" si="4"/>
        <v>0</v>
      </c>
      <c r="G104" s="311">
        <f t="shared" si="4"/>
        <v>0</v>
      </c>
      <c r="H104" s="311">
        <f t="shared" si="4"/>
        <v>0</v>
      </c>
      <c r="I104" s="311">
        <f t="shared" si="4"/>
        <v>58624</v>
      </c>
      <c r="J104" s="311">
        <f t="shared" si="4"/>
        <v>0</v>
      </c>
      <c r="K104" s="311">
        <f t="shared" si="4"/>
        <v>14203</v>
      </c>
      <c r="L104" s="311">
        <f t="shared" si="4"/>
        <v>74699</v>
      </c>
      <c r="N104" s="310" t="s">
        <v>60</v>
      </c>
      <c r="O104" s="310" t="s">
        <v>110</v>
      </c>
      <c r="P104" s="310" t="s">
        <v>200</v>
      </c>
      <c r="Q104" s="311">
        <v>1392</v>
      </c>
      <c r="R104" s="311">
        <v>480</v>
      </c>
      <c r="S104" s="311">
        <v>0</v>
      </c>
      <c r="T104" s="311">
        <v>0</v>
      </c>
      <c r="U104" s="311">
        <v>0</v>
      </c>
      <c r="V104" s="311">
        <v>58624</v>
      </c>
      <c r="W104" s="311">
        <v>0</v>
      </c>
      <c r="X104" s="311">
        <v>14203</v>
      </c>
      <c r="Y104" s="311">
        <v>74699</v>
      </c>
      <c r="AA104" s="310"/>
      <c r="AB104" s="310"/>
      <c r="AC104" s="310"/>
      <c r="AD104" s="311"/>
      <c r="AE104" s="311"/>
      <c r="AF104" s="311"/>
      <c r="AG104" s="311"/>
      <c r="AH104" s="311"/>
      <c r="AI104" s="311"/>
      <c r="AJ104" s="311"/>
      <c r="AK104" s="311"/>
      <c r="AL104" s="311"/>
    </row>
    <row r="105" spans="1:38" ht="13.95" customHeight="1">
      <c r="A105" s="310" t="s">
        <v>60</v>
      </c>
      <c r="B105" s="310" t="s">
        <v>111</v>
      </c>
      <c r="C105" s="310" t="s">
        <v>201</v>
      </c>
      <c r="D105" s="311">
        <f t="shared" si="5"/>
        <v>0</v>
      </c>
      <c r="E105" s="311">
        <f t="shared" si="4"/>
        <v>0</v>
      </c>
      <c r="F105" s="311">
        <f t="shared" si="4"/>
        <v>0</v>
      </c>
      <c r="G105" s="311">
        <f t="shared" si="4"/>
        <v>0</v>
      </c>
      <c r="H105" s="311">
        <f t="shared" si="4"/>
        <v>0</v>
      </c>
      <c r="I105" s="311">
        <f t="shared" si="4"/>
        <v>0</v>
      </c>
      <c r="J105" s="311">
        <f t="shared" si="4"/>
        <v>0</v>
      </c>
      <c r="K105" s="311">
        <f t="shared" si="4"/>
        <v>0</v>
      </c>
      <c r="L105" s="311">
        <f t="shared" si="4"/>
        <v>0</v>
      </c>
      <c r="N105" s="310" t="s">
        <v>60</v>
      </c>
      <c r="O105" s="310" t="s">
        <v>111</v>
      </c>
      <c r="P105" s="310" t="s">
        <v>201</v>
      </c>
      <c r="Q105" s="311">
        <v>0</v>
      </c>
      <c r="R105" s="311">
        <v>0</v>
      </c>
      <c r="S105" s="311">
        <v>0</v>
      </c>
      <c r="T105" s="311">
        <v>0</v>
      </c>
      <c r="U105" s="311">
        <v>0</v>
      </c>
      <c r="V105" s="311">
        <v>0</v>
      </c>
      <c r="W105" s="311">
        <v>0</v>
      </c>
      <c r="X105" s="311">
        <v>0</v>
      </c>
      <c r="Y105" s="311">
        <v>0</v>
      </c>
      <c r="AA105" s="310"/>
      <c r="AB105" s="310"/>
      <c r="AC105" s="310"/>
      <c r="AD105" s="311"/>
      <c r="AE105" s="311"/>
      <c r="AF105" s="311"/>
      <c r="AG105" s="311"/>
      <c r="AH105" s="311"/>
      <c r="AI105" s="311"/>
      <c r="AJ105" s="311"/>
      <c r="AK105" s="311"/>
      <c r="AL105" s="311"/>
    </row>
    <row r="106" spans="1:38" ht="13.95" customHeight="1">
      <c r="A106" s="310" t="s">
        <v>60</v>
      </c>
      <c r="B106" s="310" t="s">
        <v>112</v>
      </c>
      <c r="C106" s="310" t="s">
        <v>202</v>
      </c>
      <c r="D106" s="311">
        <f t="shared" si="5"/>
        <v>0</v>
      </c>
      <c r="E106" s="311">
        <f t="shared" si="4"/>
        <v>0</v>
      </c>
      <c r="F106" s="311">
        <f t="shared" si="4"/>
        <v>0</v>
      </c>
      <c r="G106" s="311">
        <f t="shared" si="4"/>
        <v>0</v>
      </c>
      <c r="H106" s="311">
        <f t="shared" si="4"/>
        <v>0</v>
      </c>
      <c r="I106" s="311">
        <f t="shared" si="4"/>
        <v>107680</v>
      </c>
      <c r="J106" s="311">
        <f t="shared" si="4"/>
        <v>0</v>
      </c>
      <c r="K106" s="311">
        <f t="shared" si="4"/>
        <v>0</v>
      </c>
      <c r="L106" s="311">
        <f t="shared" si="4"/>
        <v>107680</v>
      </c>
      <c r="N106" s="310" t="s">
        <v>60</v>
      </c>
      <c r="O106" s="310" t="s">
        <v>112</v>
      </c>
      <c r="P106" s="310" t="s">
        <v>202</v>
      </c>
      <c r="Q106" s="311">
        <v>0</v>
      </c>
      <c r="R106" s="311">
        <v>0</v>
      </c>
      <c r="S106" s="311">
        <v>0</v>
      </c>
      <c r="T106" s="311">
        <v>0</v>
      </c>
      <c r="U106" s="311">
        <v>0</v>
      </c>
      <c r="V106" s="311">
        <v>107680</v>
      </c>
      <c r="W106" s="311">
        <v>0</v>
      </c>
      <c r="X106" s="311">
        <v>0</v>
      </c>
      <c r="Y106" s="311">
        <v>107680</v>
      </c>
      <c r="AA106" s="310"/>
      <c r="AB106" s="310"/>
      <c r="AC106" s="310"/>
      <c r="AD106" s="311"/>
      <c r="AE106" s="311"/>
      <c r="AF106" s="311"/>
      <c r="AG106" s="311"/>
      <c r="AH106" s="311"/>
      <c r="AI106" s="311"/>
      <c r="AJ106" s="311"/>
      <c r="AK106" s="311"/>
      <c r="AL106" s="311"/>
    </row>
    <row r="107" spans="1:38" ht="13.95" customHeight="1">
      <c r="A107" s="310" t="s">
        <v>60</v>
      </c>
      <c r="B107" s="310" t="s">
        <v>113</v>
      </c>
      <c r="C107" s="310" t="s">
        <v>203</v>
      </c>
      <c r="D107" s="311">
        <f t="shared" si="5"/>
        <v>0</v>
      </c>
      <c r="E107" s="311">
        <f t="shared" si="4"/>
        <v>28432</v>
      </c>
      <c r="F107" s="311">
        <f t="shared" si="4"/>
        <v>0</v>
      </c>
      <c r="G107" s="311">
        <f t="shared" si="4"/>
        <v>22384</v>
      </c>
      <c r="H107" s="311">
        <f t="shared" si="4"/>
        <v>0</v>
      </c>
      <c r="I107" s="311">
        <f t="shared" si="4"/>
        <v>3648</v>
      </c>
      <c r="J107" s="311">
        <f t="shared" si="4"/>
        <v>0</v>
      </c>
      <c r="K107" s="311">
        <f t="shared" si="4"/>
        <v>0</v>
      </c>
      <c r="L107" s="311">
        <f t="shared" si="4"/>
        <v>54464</v>
      </c>
      <c r="N107" s="310" t="s">
        <v>60</v>
      </c>
      <c r="O107" s="310" t="s">
        <v>113</v>
      </c>
      <c r="P107" s="310" t="s">
        <v>203</v>
      </c>
      <c r="Q107" s="311">
        <v>0</v>
      </c>
      <c r="R107" s="311">
        <v>28432</v>
      </c>
      <c r="S107" s="311">
        <v>0</v>
      </c>
      <c r="T107" s="311">
        <v>22384</v>
      </c>
      <c r="U107" s="311">
        <v>0</v>
      </c>
      <c r="V107" s="311">
        <v>3648</v>
      </c>
      <c r="W107" s="311">
        <v>0</v>
      </c>
      <c r="X107" s="311">
        <v>0</v>
      </c>
      <c r="Y107" s="311">
        <v>54464</v>
      </c>
      <c r="AA107" s="310"/>
      <c r="AB107" s="310"/>
      <c r="AC107" s="310"/>
      <c r="AD107" s="311"/>
      <c r="AE107" s="311"/>
      <c r="AF107" s="311"/>
      <c r="AG107" s="311"/>
      <c r="AH107" s="311"/>
      <c r="AI107" s="311"/>
      <c r="AJ107" s="311"/>
      <c r="AK107" s="311"/>
      <c r="AL107" s="311"/>
    </row>
    <row r="108" spans="1:38" ht="13.95" customHeight="1">
      <c r="A108" s="310" t="s">
        <v>60</v>
      </c>
      <c r="B108" s="310" t="s">
        <v>114</v>
      </c>
      <c r="C108" s="310" t="s">
        <v>204</v>
      </c>
      <c r="D108" s="311">
        <f t="shared" si="5"/>
        <v>0</v>
      </c>
      <c r="E108" s="311">
        <f t="shared" si="4"/>
        <v>0</v>
      </c>
      <c r="F108" s="311">
        <f t="shared" si="4"/>
        <v>0</v>
      </c>
      <c r="G108" s="311">
        <f t="shared" si="4"/>
        <v>0</v>
      </c>
      <c r="H108" s="311">
        <f t="shared" si="4"/>
        <v>16672</v>
      </c>
      <c r="I108" s="311">
        <f t="shared" si="4"/>
        <v>0</v>
      </c>
      <c r="J108" s="311">
        <f t="shared" si="4"/>
        <v>0</v>
      </c>
      <c r="K108" s="311">
        <f t="shared" si="4"/>
        <v>0</v>
      </c>
      <c r="L108" s="311">
        <f t="shared" si="4"/>
        <v>16672</v>
      </c>
      <c r="N108" s="310" t="s">
        <v>60</v>
      </c>
      <c r="O108" s="310" t="s">
        <v>114</v>
      </c>
      <c r="P108" s="310" t="s">
        <v>204</v>
      </c>
      <c r="Q108" s="311">
        <v>0</v>
      </c>
      <c r="R108" s="311">
        <v>0</v>
      </c>
      <c r="S108" s="311">
        <v>0</v>
      </c>
      <c r="T108" s="311">
        <v>0</v>
      </c>
      <c r="U108" s="311">
        <v>16672</v>
      </c>
      <c r="V108" s="311">
        <v>0</v>
      </c>
      <c r="W108" s="311">
        <v>0</v>
      </c>
      <c r="X108" s="311">
        <v>0</v>
      </c>
      <c r="Y108" s="311">
        <v>16672</v>
      </c>
      <c r="AA108" s="310"/>
      <c r="AB108" s="310"/>
      <c r="AC108" s="310"/>
      <c r="AD108" s="311"/>
      <c r="AE108" s="311"/>
      <c r="AF108" s="311"/>
      <c r="AG108" s="311"/>
      <c r="AH108" s="311"/>
      <c r="AI108" s="311"/>
      <c r="AJ108" s="311"/>
      <c r="AK108" s="311"/>
      <c r="AL108" s="311"/>
    </row>
    <row r="109" spans="1:38" ht="13.95" customHeight="1">
      <c r="A109" s="310" t="s">
        <v>60</v>
      </c>
      <c r="B109" s="310" t="s">
        <v>115</v>
      </c>
      <c r="C109" s="310" t="s">
        <v>205</v>
      </c>
      <c r="D109" s="311">
        <f t="shared" si="5"/>
        <v>0</v>
      </c>
      <c r="E109" s="311">
        <f t="shared" si="4"/>
        <v>0</v>
      </c>
      <c r="F109" s="311">
        <f t="shared" si="4"/>
        <v>0</v>
      </c>
      <c r="G109" s="311">
        <f t="shared" si="4"/>
        <v>0</v>
      </c>
      <c r="H109" s="311">
        <f t="shared" si="4"/>
        <v>0</v>
      </c>
      <c r="I109" s="311">
        <f t="shared" si="4"/>
        <v>0</v>
      </c>
      <c r="J109" s="311">
        <f t="shared" si="4"/>
        <v>47296</v>
      </c>
      <c r="K109" s="311">
        <f t="shared" si="4"/>
        <v>0</v>
      </c>
      <c r="L109" s="311">
        <f t="shared" si="4"/>
        <v>47296</v>
      </c>
      <c r="N109" s="310" t="s">
        <v>60</v>
      </c>
      <c r="O109" s="310" t="s">
        <v>115</v>
      </c>
      <c r="P109" s="310" t="s">
        <v>205</v>
      </c>
      <c r="Q109" s="311">
        <v>0</v>
      </c>
      <c r="R109" s="311">
        <v>0</v>
      </c>
      <c r="S109" s="311">
        <v>0</v>
      </c>
      <c r="T109" s="311">
        <v>0</v>
      </c>
      <c r="U109" s="311">
        <v>0</v>
      </c>
      <c r="V109" s="311">
        <v>0</v>
      </c>
      <c r="W109" s="311">
        <v>47296</v>
      </c>
      <c r="X109" s="311">
        <v>0</v>
      </c>
      <c r="Y109" s="311">
        <v>47296</v>
      </c>
      <c r="AA109" s="310"/>
      <c r="AB109" s="310"/>
      <c r="AC109" s="310"/>
      <c r="AD109" s="311"/>
      <c r="AE109" s="311"/>
      <c r="AF109" s="311"/>
      <c r="AG109" s="311"/>
      <c r="AH109" s="311"/>
      <c r="AI109" s="311"/>
      <c r="AJ109" s="311"/>
      <c r="AK109" s="311"/>
      <c r="AL109" s="311"/>
    </row>
    <row r="110" spans="1:38" ht="13.95" customHeight="1">
      <c r="A110" s="310" t="s">
        <v>60</v>
      </c>
      <c r="B110" s="310" t="s">
        <v>116</v>
      </c>
      <c r="C110" s="310" t="s">
        <v>206</v>
      </c>
      <c r="D110" s="311">
        <f t="shared" si="5"/>
        <v>0</v>
      </c>
      <c r="E110" s="311">
        <f t="shared" si="4"/>
        <v>0</v>
      </c>
      <c r="F110" s="311">
        <f t="shared" si="4"/>
        <v>0</v>
      </c>
      <c r="G110" s="311">
        <f t="shared" si="4"/>
        <v>0</v>
      </c>
      <c r="H110" s="311">
        <f t="shared" si="4"/>
        <v>1728</v>
      </c>
      <c r="I110" s="311">
        <f t="shared" si="4"/>
        <v>0</v>
      </c>
      <c r="J110" s="311">
        <f t="shared" si="4"/>
        <v>4080</v>
      </c>
      <c r="K110" s="311">
        <f t="shared" si="4"/>
        <v>0</v>
      </c>
      <c r="L110" s="311">
        <f t="shared" si="4"/>
        <v>5808</v>
      </c>
      <c r="N110" s="310" t="s">
        <v>60</v>
      </c>
      <c r="O110" s="310" t="s">
        <v>116</v>
      </c>
      <c r="P110" s="310" t="s">
        <v>206</v>
      </c>
      <c r="Q110" s="311">
        <v>0</v>
      </c>
      <c r="R110" s="311">
        <v>0</v>
      </c>
      <c r="S110" s="311">
        <v>0</v>
      </c>
      <c r="T110" s="311">
        <v>0</v>
      </c>
      <c r="U110" s="311">
        <v>1728</v>
      </c>
      <c r="V110" s="311">
        <v>0</v>
      </c>
      <c r="W110" s="311">
        <v>4080</v>
      </c>
      <c r="X110" s="311">
        <v>0</v>
      </c>
      <c r="Y110" s="311">
        <v>5808</v>
      </c>
      <c r="AA110" s="310"/>
      <c r="AB110" s="310"/>
      <c r="AC110" s="310"/>
      <c r="AD110" s="311"/>
      <c r="AE110" s="311"/>
      <c r="AF110" s="311"/>
      <c r="AG110" s="311"/>
      <c r="AH110" s="311"/>
      <c r="AI110" s="311"/>
      <c r="AJ110" s="311"/>
      <c r="AK110" s="311"/>
      <c r="AL110" s="311"/>
    </row>
    <row r="111" spans="1:38" ht="13.95" customHeight="1">
      <c r="A111" s="310" t="s">
        <v>60</v>
      </c>
      <c r="B111" s="310" t="s">
        <v>117</v>
      </c>
      <c r="C111" s="310" t="s">
        <v>207</v>
      </c>
      <c r="D111" s="311">
        <f t="shared" si="5"/>
        <v>3504</v>
      </c>
      <c r="E111" s="311">
        <f t="shared" si="4"/>
        <v>0</v>
      </c>
      <c r="F111" s="311">
        <f t="shared" si="4"/>
        <v>0</v>
      </c>
      <c r="G111" s="311">
        <f t="shared" si="4"/>
        <v>0</v>
      </c>
      <c r="H111" s="311">
        <f t="shared" si="4"/>
        <v>0</v>
      </c>
      <c r="I111" s="311">
        <f t="shared" si="4"/>
        <v>0</v>
      </c>
      <c r="J111" s="311">
        <f t="shared" si="4"/>
        <v>0</v>
      </c>
      <c r="K111" s="311">
        <f t="shared" si="4"/>
        <v>0</v>
      </c>
      <c r="L111" s="311">
        <f t="shared" si="4"/>
        <v>3504</v>
      </c>
      <c r="N111" s="310" t="s">
        <v>60</v>
      </c>
      <c r="O111" s="310" t="s">
        <v>117</v>
      </c>
      <c r="P111" s="310" t="s">
        <v>207</v>
      </c>
      <c r="Q111" s="311">
        <v>3504</v>
      </c>
      <c r="R111" s="311">
        <v>0</v>
      </c>
      <c r="S111" s="311">
        <v>0</v>
      </c>
      <c r="T111" s="311">
        <v>0</v>
      </c>
      <c r="U111" s="311">
        <v>0</v>
      </c>
      <c r="V111" s="311">
        <v>0</v>
      </c>
      <c r="W111" s="311">
        <v>0</v>
      </c>
      <c r="X111" s="311">
        <v>0</v>
      </c>
      <c r="Y111" s="311">
        <v>3504</v>
      </c>
      <c r="AA111" s="310"/>
      <c r="AB111" s="310"/>
      <c r="AC111" s="310"/>
      <c r="AD111" s="311"/>
      <c r="AE111" s="311"/>
      <c r="AF111" s="311"/>
      <c r="AG111" s="311"/>
      <c r="AH111" s="311"/>
      <c r="AI111" s="311"/>
      <c r="AJ111" s="311"/>
      <c r="AK111" s="311"/>
      <c r="AL111" s="311"/>
    </row>
    <row r="112" spans="1:38" ht="13.95" customHeight="1">
      <c r="A112" s="310" t="s">
        <v>60</v>
      </c>
      <c r="B112" s="310" t="s">
        <v>118</v>
      </c>
      <c r="C112" s="310" t="s">
        <v>208</v>
      </c>
      <c r="D112" s="311">
        <f t="shared" si="5"/>
        <v>6192</v>
      </c>
      <c r="E112" s="311">
        <f t="shared" si="4"/>
        <v>0</v>
      </c>
      <c r="F112" s="311">
        <f t="shared" si="4"/>
        <v>0</v>
      </c>
      <c r="G112" s="311">
        <f t="shared" si="4"/>
        <v>0</v>
      </c>
      <c r="H112" s="311">
        <f t="shared" si="4"/>
        <v>0</v>
      </c>
      <c r="I112" s="311">
        <f t="shared" si="4"/>
        <v>0</v>
      </c>
      <c r="J112" s="311">
        <f t="shared" si="4"/>
        <v>0</v>
      </c>
      <c r="K112" s="311">
        <f t="shared" si="4"/>
        <v>0</v>
      </c>
      <c r="L112" s="311">
        <f t="shared" si="4"/>
        <v>6192</v>
      </c>
      <c r="N112" s="310" t="s">
        <v>60</v>
      </c>
      <c r="O112" s="310" t="s">
        <v>118</v>
      </c>
      <c r="P112" s="310" t="s">
        <v>208</v>
      </c>
      <c r="Q112" s="311">
        <v>6192</v>
      </c>
      <c r="R112" s="311">
        <v>0</v>
      </c>
      <c r="S112" s="311">
        <v>0</v>
      </c>
      <c r="T112" s="311">
        <v>0</v>
      </c>
      <c r="U112" s="311">
        <v>0</v>
      </c>
      <c r="V112" s="311">
        <v>0</v>
      </c>
      <c r="W112" s="311">
        <v>0</v>
      </c>
      <c r="X112" s="311">
        <v>0</v>
      </c>
      <c r="Y112" s="311">
        <v>6192</v>
      </c>
      <c r="AA112" s="310"/>
      <c r="AB112" s="310"/>
      <c r="AC112" s="310"/>
      <c r="AD112" s="311"/>
      <c r="AE112" s="311"/>
      <c r="AF112" s="311"/>
      <c r="AG112" s="311"/>
      <c r="AH112" s="311"/>
      <c r="AI112" s="311"/>
      <c r="AJ112" s="311"/>
      <c r="AK112" s="311"/>
      <c r="AL112" s="311"/>
    </row>
    <row r="113" spans="1:38" ht="13.95" customHeight="1">
      <c r="A113" s="310" t="s">
        <v>60</v>
      </c>
      <c r="B113" s="310" t="s">
        <v>119</v>
      </c>
      <c r="C113" s="310" t="s">
        <v>209</v>
      </c>
      <c r="D113" s="311">
        <f t="shared" si="5"/>
        <v>135088</v>
      </c>
      <c r="E113" s="311">
        <f t="shared" si="4"/>
        <v>0</v>
      </c>
      <c r="F113" s="311">
        <f t="shared" si="4"/>
        <v>0</v>
      </c>
      <c r="G113" s="311">
        <f t="shared" si="4"/>
        <v>0</v>
      </c>
      <c r="H113" s="311">
        <f t="shared" si="4"/>
        <v>0</v>
      </c>
      <c r="I113" s="311">
        <f t="shared" si="4"/>
        <v>0</v>
      </c>
      <c r="J113" s="311">
        <f t="shared" si="4"/>
        <v>0</v>
      </c>
      <c r="K113" s="311">
        <f t="shared" si="4"/>
        <v>0</v>
      </c>
      <c r="L113" s="311">
        <f t="shared" si="4"/>
        <v>135088</v>
      </c>
      <c r="N113" s="310" t="s">
        <v>60</v>
      </c>
      <c r="O113" s="310" t="s">
        <v>119</v>
      </c>
      <c r="P113" s="310" t="s">
        <v>209</v>
      </c>
      <c r="Q113" s="311">
        <v>135088</v>
      </c>
      <c r="R113" s="311">
        <v>0</v>
      </c>
      <c r="S113" s="311">
        <v>0</v>
      </c>
      <c r="T113" s="311">
        <v>0</v>
      </c>
      <c r="U113" s="311">
        <v>0</v>
      </c>
      <c r="V113" s="311">
        <v>0</v>
      </c>
      <c r="W113" s="311">
        <v>0</v>
      </c>
      <c r="X113" s="311">
        <v>0</v>
      </c>
      <c r="Y113" s="311">
        <v>135088</v>
      </c>
      <c r="AA113" s="310"/>
      <c r="AB113" s="310"/>
      <c r="AC113" s="310"/>
      <c r="AD113" s="311"/>
      <c r="AE113" s="311"/>
      <c r="AF113" s="311"/>
      <c r="AG113" s="311"/>
      <c r="AH113" s="311"/>
      <c r="AI113" s="311"/>
      <c r="AJ113" s="311"/>
      <c r="AK113" s="311"/>
      <c r="AL113" s="311"/>
    </row>
    <row r="114" spans="1:38" ht="13.95" customHeight="1">
      <c r="A114" s="310" t="s">
        <v>60</v>
      </c>
      <c r="B114" s="310" t="s">
        <v>120</v>
      </c>
      <c r="C114" s="310" t="s">
        <v>210</v>
      </c>
      <c r="D114" s="311">
        <f t="shared" si="5"/>
        <v>77136</v>
      </c>
      <c r="E114" s="311">
        <f t="shared" si="4"/>
        <v>0</v>
      </c>
      <c r="F114" s="311">
        <f t="shared" si="4"/>
        <v>0</v>
      </c>
      <c r="G114" s="311">
        <f t="shared" si="4"/>
        <v>0</v>
      </c>
      <c r="H114" s="311">
        <f t="shared" si="4"/>
        <v>20384</v>
      </c>
      <c r="I114" s="311">
        <f t="shared" si="4"/>
        <v>0</v>
      </c>
      <c r="J114" s="311">
        <f t="shared" si="4"/>
        <v>0</v>
      </c>
      <c r="K114" s="311">
        <f t="shared" si="4"/>
        <v>0</v>
      </c>
      <c r="L114" s="311">
        <f t="shared" si="4"/>
        <v>97520</v>
      </c>
      <c r="N114" s="310" t="s">
        <v>60</v>
      </c>
      <c r="O114" s="310" t="s">
        <v>120</v>
      </c>
      <c r="P114" s="310" t="s">
        <v>210</v>
      </c>
      <c r="Q114" s="311">
        <v>77136</v>
      </c>
      <c r="R114" s="311">
        <v>0</v>
      </c>
      <c r="S114" s="311">
        <v>0</v>
      </c>
      <c r="T114" s="311">
        <v>0</v>
      </c>
      <c r="U114" s="311">
        <v>20384</v>
      </c>
      <c r="V114" s="311">
        <v>0</v>
      </c>
      <c r="W114" s="311">
        <v>0</v>
      </c>
      <c r="X114" s="311">
        <v>0</v>
      </c>
      <c r="Y114" s="311">
        <v>97520</v>
      </c>
      <c r="AA114" s="310"/>
      <c r="AB114" s="310"/>
      <c r="AC114" s="310"/>
      <c r="AD114" s="311"/>
      <c r="AE114" s="311"/>
      <c r="AF114" s="311"/>
      <c r="AG114" s="311"/>
      <c r="AH114" s="311"/>
      <c r="AI114" s="311"/>
      <c r="AJ114" s="311"/>
      <c r="AK114" s="311"/>
      <c r="AL114" s="311"/>
    </row>
    <row r="115" spans="1:38" ht="13.95" customHeight="1">
      <c r="A115" s="310" t="s">
        <v>60</v>
      </c>
      <c r="B115" s="310" t="s">
        <v>121</v>
      </c>
      <c r="C115" s="310" t="s">
        <v>211</v>
      </c>
      <c r="D115" s="311">
        <f t="shared" si="5"/>
        <v>0</v>
      </c>
      <c r="E115" s="311">
        <f t="shared" si="4"/>
        <v>0</v>
      </c>
      <c r="F115" s="311">
        <f t="shared" si="4"/>
        <v>0</v>
      </c>
      <c r="G115" s="311">
        <f t="shared" si="4"/>
        <v>0</v>
      </c>
      <c r="H115" s="311">
        <f t="shared" si="4"/>
        <v>0</v>
      </c>
      <c r="I115" s="311">
        <f t="shared" si="4"/>
        <v>0</v>
      </c>
      <c r="J115" s="311">
        <f t="shared" si="4"/>
        <v>0</v>
      </c>
      <c r="K115" s="311">
        <f t="shared" si="4"/>
        <v>0</v>
      </c>
      <c r="L115" s="311">
        <f t="shared" si="4"/>
        <v>0</v>
      </c>
      <c r="N115" s="310" t="s">
        <v>60</v>
      </c>
      <c r="O115" s="310" t="s">
        <v>121</v>
      </c>
      <c r="P115" s="310" t="s">
        <v>211</v>
      </c>
      <c r="Q115" s="311">
        <v>0</v>
      </c>
      <c r="R115" s="311">
        <v>0</v>
      </c>
      <c r="S115" s="311">
        <v>0</v>
      </c>
      <c r="T115" s="311">
        <v>0</v>
      </c>
      <c r="U115" s="311">
        <v>0</v>
      </c>
      <c r="V115" s="311">
        <v>0</v>
      </c>
      <c r="W115" s="311">
        <v>0</v>
      </c>
      <c r="X115" s="311">
        <v>0</v>
      </c>
      <c r="Y115" s="311">
        <v>0</v>
      </c>
      <c r="AA115" s="310"/>
      <c r="AB115" s="310"/>
      <c r="AC115" s="310"/>
      <c r="AD115" s="311"/>
      <c r="AE115" s="311"/>
      <c r="AF115" s="311"/>
      <c r="AG115" s="311"/>
      <c r="AH115" s="311"/>
      <c r="AI115" s="311"/>
      <c r="AJ115" s="311"/>
      <c r="AK115" s="311"/>
      <c r="AL115" s="311"/>
    </row>
    <row r="116" spans="1:38" ht="13.95" customHeight="1">
      <c r="A116" s="310" t="s">
        <v>60</v>
      </c>
      <c r="B116" s="310" t="s">
        <v>122</v>
      </c>
      <c r="C116" s="310" t="s">
        <v>212</v>
      </c>
      <c r="D116" s="311">
        <f t="shared" si="5"/>
        <v>343504</v>
      </c>
      <c r="E116" s="311">
        <f t="shared" si="4"/>
        <v>166832</v>
      </c>
      <c r="F116" s="311">
        <f t="shared" si="4"/>
        <v>14560</v>
      </c>
      <c r="G116" s="311">
        <f t="shared" si="4"/>
        <v>22384</v>
      </c>
      <c r="H116" s="311">
        <f t="shared" si="4"/>
        <v>221952</v>
      </c>
      <c r="I116" s="311">
        <f t="shared" si="4"/>
        <v>317728</v>
      </c>
      <c r="J116" s="311">
        <f t="shared" si="4"/>
        <v>83472</v>
      </c>
      <c r="K116" s="311">
        <f t="shared" si="4"/>
        <v>43215</v>
      </c>
      <c r="L116" s="311">
        <f t="shared" si="4"/>
        <v>1213647</v>
      </c>
      <c r="N116" s="310" t="s">
        <v>60</v>
      </c>
      <c r="O116" s="310" t="s">
        <v>122</v>
      </c>
      <c r="P116" s="310" t="s">
        <v>212</v>
      </c>
      <c r="Q116" s="311">
        <v>343504</v>
      </c>
      <c r="R116" s="311">
        <v>166832</v>
      </c>
      <c r="S116" s="311">
        <v>14560</v>
      </c>
      <c r="T116" s="311">
        <v>22384</v>
      </c>
      <c r="U116" s="311">
        <v>221952</v>
      </c>
      <c r="V116" s="311">
        <v>317728</v>
      </c>
      <c r="W116" s="311">
        <v>83472</v>
      </c>
      <c r="X116" s="311">
        <v>43215</v>
      </c>
      <c r="Y116" s="311">
        <v>1213647</v>
      </c>
      <c r="AA116" s="310"/>
      <c r="AB116" s="310"/>
      <c r="AC116" s="310"/>
      <c r="AD116" s="311"/>
      <c r="AE116" s="311"/>
      <c r="AF116" s="311"/>
      <c r="AG116" s="311"/>
      <c r="AH116" s="311"/>
      <c r="AI116" s="311"/>
      <c r="AJ116" s="311"/>
      <c r="AK116" s="311"/>
      <c r="AL116" s="311"/>
    </row>
    <row r="117" spans="1:38" ht="13.95" customHeight="1">
      <c r="A117" s="310" t="s">
        <v>60</v>
      </c>
      <c r="B117" s="310" t="s">
        <v>213</v>
      </c>
      <c r="C117" s="310" t="s">
        <v>123</v>
      </c>
      <c r="D117" s="311" t="s">
        <v>214</v>
      </c>
      <c r="E117" s="311" t="s">
        <v>214</v>
      </c>
      <c r="F117" s="311" t="s">
        <v>214</v>
      </c>
      <c r="G117" s="311" t="s">
        <v>214</v>
      </c>
      <c r="H117" s="311" t="s">
        <v>214</v>
      </c>
      <c r="I117" s="311" t="s">
        <v>214</v>
      </c>
      <c r="J117" s="311" t="s">
        <v>214</v>
      </c>
      <c r="K117" s="311" t="s">
        <v>214</v>
      </c>
      <c r="L117" s="311" t="s">
        <v>214</v>
      </c>
      <c r="N117" s="310" t="s">
        <v>60</v>
      </c>
      <c r="O117" s="310" t="s">
        <v>213</v>
      </c>
      <c r="P117" s="310" t="s">
        <v>123</v>
      </c>
      <c r="Q117" s="311" t="s">
        <v>214</v>
      </c>
      <c r="R117" s="311" t="s">
        <v>214</v>
      </c>
      <c r="S117" s="311" t="s">
        <v>214</v>
      </c>
      <c r="T117" s="311" t="s">
        <v>214</v>
      </c>
      <c r="U117" s="311" t="s">
        <v>214</v>
      </c>
      <c r="V117" s="311" t="s">
        <v>214</v>
      </c>
      <c r="W117" s="311" t="s">
        <v>214</v>
      </c>
      <c r="X117" s="311" t="s">
        <v>214</v>
      </c>
      <c r="Y117" s="311" t="s">
        <v>214</v>
      </c>
      <c r="AA117" s="310"/>
      <c r="AB117" s="310"/>
      <c r="AC117" s="310"/>
      <c r="AD117" s="311"/>
      <c r="AE117" s="311"/>
      <c r="AF117" s="311"/>
      <c r="AG117" s="311"/>
      <c r="AH117" s="311"/>
      <c r="AI117" s="311"/>
      <c r="AJ117" s="311"/>
      <c r="AK117" s="311"/>
      <c r="AL117" s="311"/>
    </row>
    <row r="118" spans="1:38" ht="13.95" customHeight="1">
      <c r="A118" s="310" t="s">
        <v>60</v>
      </c>
      <c r="B118" s="310" t="s">
        <v>124</v>
      </c>
      <c r="C118" s="310" t="s">
        <v>215</v>
      </c>
      <c r="D118" s="311">
        <v>0</v>
      </c>
      <c r="E118" s="311">
        <v>0</v>
      </c>
      <c r="F118" s="311">
        <v>0</v>
      </c>
      <c r="G118" s="311">
        <v>0</v>
      </c>
      <c r="H118" s="311">
        <v>0</v>
      </c>
      <c r="I118" s="311">
        <v>0</v>
      </c>
      <c r="J118" s="311">
        <v>0</v>
      </c>
      <c r="K118" s="311">
        <v>0</v>
      </c>
      <c r="L118" s="311">
        <v>0</v>
      </c>
      <c r="N118" s="310" t="s">
        <v>60</v>
      </c>
      <c r="O118" s="310" t="s">
        <v>124</v>
      </c>
      <c r="P118" s="310" t="s">
        <v>215</v>
      </c>
      <c r="Q118" s="311">
        <v>0</v>
      </c>
      <c r="R118" s="311">
        <v>0</v>
      </c>
      <c r="S118" s="311">
        <v>0</v>
      </c>
      <c r="T118" s="311">
        <v>0</v>
      </c>
      <c r="U118" s="311">
        <v>0</v>
      </c>
      <c r="V118" s="311">
        <v>0</v>
      </c>
      <c r="W118" s="311">
        <v>0</v>
      </c>
      <c r="X118" s="311">
        <v>0</v>
      </c>
      <c r="Y118" s="311">
        <v>0</v>
      </c>
      <c r="AA118" s="310"/>
      <c r="AB118" s="310"/>
      <c r="AC118" s="310"/>
      <c r="AD118" s="311"/>
      <c r="AE118" s="311"/>
      <c r="AF118" s="311"/>
      <c r="AG118" s="311"/>
      <c r="AH118" s="311"/>
      <c r="AI118" s="311"/>
      <c r="AJ118" s="311"/>
      <c r="AK118" s="311"/>
      <c r="AL118" s="311"/>
    </row>
    <row r="119" spans="1:38" ht="13.95" customHeight="1">
      <c r="A119" s="310" t="s">
        <v>60</v>
      </c>
      <c r="B119" s="310" t="s">
        <v>125</v>
      </c>
      <c r="C119" s="310" t="s">
        <v>216</v>
      </c>
      <c r="D119" s="311">
        <v>0</v>
      </c>
      <c r="E119" s="311">
        <v>0</v>
      </c>
      <c r="F119" s="311">
        <v>0</v>
      </c>
      <c r="G119" s="311">
        <v>0</v>
      </c>
      <c r="H119" s="311">
        <v>0</v>
      </c>
      <c r="I119" s="311">
        <v>0</v>
      </c>
      <c r="J119" s="311">
        <v>0</v>
      </c>
      <c r="K119" s="311">
        <v>0</v>
      </c>
      <c r="L119" s="311">
        <v>0</v>
      </c>
      <c r="N119" s="310" t="s">
        <v>60</v>
      </c>
      <c r="O119" s="310" t="s">
        <v>125</v>
      </c>
      <c r="P119" s="310" t="s">
        <v>216</v>
      </c>
      <c r="Q119" s="311">
        <v>0</v>
      </c>
      <c r="R119" s="311">
        <v>0</v>
      </c>
      <c r="S119" s="311">
        <v>0</v>
      </c>
      <c r="T119" s="311">
        <v>0</v>
      </c>
      <c r="U119" s="311">
        <v>0</v>
      </c>
      <c r="V119" s="311">
        <v>0</v>
      </c>
      <c r="W119" s="311">
        <v>0</v>
      </c>
      <c r="X119" s="311">
        <v>0</v>
      </c>
      <c r="Y119" s="311">
        <v>0</v>
      </c>
      <c r="AA119" s="310"/>
      <c r="AB119" s="310"/>
      <c r="AC119" s="310"/>
      <c r="AD119" s="311"/>
      <c r="AE119" s="311"/>
      <c r="AF119" s="311"/>
      <c r="AG119" s="311"/>
      <c r="AH119" s="311"/>
      <c r="AI119" s="311"/>
      <c r="AJ119" s="311"/>
      <c r="AK119" s="311"/>
      <c r="AL119" s="311"/>
    </row>
    <row r="120" spans="1:38" ht="13.95" customHeight="1">
      <c r="A120" s="310" t="s">
        <v>60</v>
      </c>
      <c r="B120" s="310" t="s">
        <v>217</v>
      </c>
      <c r="C120" s="310" t="s">
        <v>218</v>
      </c>
      <c r="D120" s="311">
        <v>0</v>
      </c>
      <c r="E120" s="311">
        <v>0</v>
      </c>
      <c r="F120" s="311">
        <v>0</v>
      </c>
      <c r="G120" s="311">
        <v>0</v>
      </c>
      <c r="H120" s="311">
        <v>0</v>
      </c>
      <c r="I120" s="311">
        <v>0</v>
      </c>
      <c r="J120" s="311">
        <v>0</v>
      </c>
      <c r="K120" s="311">
        <v>0</v>
      </c>
      <c r="L120" s="311">
        <v>0</v>
      </c>
      <c r="N120" s="310" t="s">
        <v>60</v>
      </c>
      <c r="O120" s="310" t="s">
        <v>217</v>
      </c>
      <c r="P120" s="310" t="s">
        <v>218</v>
      </c>
      <c r="Q120" s="311">
        <v>0</v>
      </c>
      <c r="R120" s="311">
        <v>0</v>
      </c>
      <c r="S120" s="311">
        <v>0</v>
      </c>
      <c r="T120" s="311">
        <v>0</v>
      </c>
      <c r="U120" s="311">
        <v>0</v>
      </c>
      <c r="V120" s="311">
        <v>0</v>
      </c>
      <c r="W120" s="311">
        <v>0</v>
      </c>
      <c r="X120" s="311">
        <v>0</v>
      </c>
      <c r="Y120" s="311">
        <v>0</v>
      </c>
      <c r="AA120" s="310"/>
      <c r="AB120" s="310"/>
      <c r="AC120" s="310"/>
      <c r="AD120" s="311"/>
      <c r="AE120" s="311"/>
      <c r="AF120" s="311"/>
      <c r="AG120" s="311"/>
      <c r="AH120" s="311"/>
      <c r="AI120" s="311"/>
      <c r="AJ120" s="311"/>
      <c r="AK120" s="311"/>
      <c r="AL120" s="311"/>
    </row>
    <row r="121" spans="1:38" ht="13.95" customHeight="1">
      <c r="A121" s="310" t="s">
        <v>60</v>
      </c>
      <c r="B121" s="310" t="s">
        <v>126</v>
      </c>
      <c r="C121" s="310" t="s">
        <v>219</v>
      </c>
      <c r="D121" s="311">
        <v>0</v>
      </c>
      <c r="E121" s="311">
        <v>0</v>
      </c>
      <c r="F121" s="311">
        <v>0</v>
      </c>
      <c r="G121" s="311">
        <v>0</v>
      </c>
      <c r="H121" s="311">
        <v>0</v>
      </c>
      <c r="I121" s="311">
        <v>0</v>
      </c>
      <c r="J121" s="311">
        <v>0</v>
      </c>
      <c r="K121" s="311">
        <v>0</v>
      </c>
      <c r="L121" s="311">
        <v>0</v>
      </c>
      <c r="N121" s="310" t="s">
        <v>60</v>
      </c>
      <c r="O121" s="310" t="s">
        <v>126</v>
      </c>
      <c r="P121" s="310" t="s">
        <v>219</v>
      </c>
      <c r="Q121" s="311">
        <v>0</v>
      </c>
      <c r="R121" s="311">
        <v>0</v>
      </c>
      <c r="S121" s="311">
        <v>0</v>
      </c>
      <c r="T121" s="311">
        <v>0</v>
      </c>
      <c r="U121" s="311">
        <v>0</v>
      </c>
      <c r="V121" s="311">
        <v>0</v>
      </c>
      <c r="W121" s="311">
        <v>0</v>
      </c>
      <c r="X121" s="311">
        <v>0</v>
      </c>
      <c r="Y121" s="311">
        <v>0</v>
      </c>
      <c r="AA121" s="310"/>
      <c r="AB121" s="310"/>
      <c r="AC121" s="310"/>
      <c r="AD121" s="311"/>
      <c r="AE121" s="311"/>
      <c r="AF121" s="311"/>
      <c r="AG121" s="311"/>
      <c r="AH121" s="311"/>
      <c r="AI121" s="311"/>
      <c r="AJ121" s="311"/>
      <c r="AK121" s="311"/>
      <c r="AL121" s="311"/>
    </row>
    <row r="122" spans="1:38" ht="13.95" customHeight="1">
      <c r="A122" s="310" t="s">
        <v>60</v>
      </c>
      <c r="B122" s="310" t="s">
        <v>127</v>
      </c>
      <c r="C122" s="310" t="s">
        <v>220</v>
      </c>
      <c r="D122" s="311">
        <v>0</v>
      </c>
      <c r="E122" s="311">
        <v>0</v>
      </c>
      <c r="F122" s="311">
        <v>0</v>
      </c>
      <c r="G122" s="311">
        <v>0</v>
      </c>
      <c r="H122" s="311">
        <v>0</v>
      </c>
      <c r="I122" s="311">
        <v>0</v>
      </c>
      <c r="J122" s="311">
        <v>0</v>
      </c>
      <c r="K122" s="311">
        <v>0</v>
      </c>
      <c r="L122" s="311">
        <v>0</v>
      </c>
      <c r="N122" s="310" t="s">
        <v>60</v>
      </c>
      <c r="O122" s="310" t="s">
        <v>127</v>
      </c>
      <c r="P122" s="310" t="s">
        <v>220</v>
      </c>
      <c r="Q122" s="311">
        <v>0</v>
      </c>
      <c r="R122" s="311">
        <v>0</v>
      </c>
      <c r="S122" s="311">
        <v>0</v>
      </c>
      <c r="T122" s="311">
        <v>0</v>
      </c>
      <c r="U122" s="311">
        <v>0</v>
      </c>
      <c r="V122" s="311">
        <v>0</v>
      </c>
      <c r="W122" s="311">
        <v>0</v>
      </c>
      <c r="X122" s="311">
        <v>0</v>
      </c>
      <c r="Y122" s="311">
        <v>0</v>
      </c>
      <c r="AA122" s="310"/>
      <c r="AB122" s="310"/>
      <c r="AC122" s="310"/>
      <c r="AD122" s="311"/>
      <c r="AE122" s="311"/>
      <c r="AF122" s="311"/>
      <c r="AG122" s="311"/>
      <c r="AH122" s="311"/>
      <c r="AI122" s="311"/>
      <c r="AJ122" s="311"/>
      <c r="AK122" s="311"/>
      <c r="AL122" s="311"/>
    </row>
    <row r="123" spans="1:38" ht="13.95" customHeight="1">
      <c r="A123" s="310" t="s">
        <v>60</v>
      </c>
      <c r="B123" s="310" t="s">
        <v>138</v>
      </c>
      <c r="C123" s="310" t="s">
        <v>221</v>
      </c>
      <c r="D123" s="311">
        <v>0</v>
      </c>
      <c r="E123" s="311">
        <v>0</v>
      </c>
      <c r="F123" s="311">
        <v>0</v>
      </c>
      <c r="G123" s="311">
        <v>0</v>
      </c>
      <c r="H123" s="311">
        <v>0</v>
      </c>
      <c r="I123" s="311">
        <v>0</v>
      </c>
      <c r="J123" s="311">
        <v>0</v>
      </c>
      <c r="K123" s="311">
        <v>0</v>
      </c>
      <c r="L123" s="311">
        <v>0</v>
      </c>
      <c r="N123" s="310" t="s">
        <v>60</v>
      </c>
      <c r="O123" s="310" t="s">
        <v>138</v>
      </c>
      <c r="P123" s="310" t="s">
        <v>221</v>
      </c>
      <c r="Q123" s="311">
        <v>0</v>
      </c>
      <c r="R123" s="311">
        <v>0</v>
      </c>
      <c r="S123" s="311">
        <v>0</v>
      </c>
      <c r="T123" s="311">
        <v>0</v>
      </c>
      <c r="U123" s="311">
        <v>0</v>
      </c>
      <c r="V123" s="311">
        <v>0</v>
      </c>
      <c r="W123" s="311">
        <v>0</v>
      </c>
      <c r="X123" s="311">
        <v>0</v>
      </c>
      <c r="Y123" s="311">
        <v>0</v>
      </c>
      <c r="AA123" s="310"/>
      <c r="AB123" s="310"/>
      <c r="AC123" s="310"/>
      <c r="AD123" s="311"/>
      <c r="AE123" s="311"/>
      <c r="AF123" s="311"/>
      <c r="AG123" s="311"/>
      <c r="AH123" s="311"/>
      <c r="AI123" s="311"/>
      <c r="AJ123" s="311"/>
      <c r="AK123" s="311"/>
      <c r="AL123" s="311"/>
    </row>
    <row r="124" spans="1:38" ht="13.95" customHeight="1">
      <c r="A124" s="310" t="s">
        <v>60</v>
      </c>
      <c r="B124" s="310" t="s">
        <v>222</v>
      </c>
      <c r="C124" s="310" t="s">
        <v>223</v>
      </c>
      <c r="D124" s="311">
        <v>0</v>
      </c>
      <c r="E124" s="311">
        <v>0</v>
      </c>
      <c r="F124" s="311">
        <v>0</v>
      </c>
      <c r="G124" s="311">
        <v>0</v>
      </c>
      <c r="H124" s="311">
        <v>0</v>
      </c>
      <c r="I124" s="311">
        <v>0</v>
      </c>
      <c r="J124" s="311">
        <v>0</v>
      </c>
      <c r="K124" s="311">
        <v>0</v>
      </c>
      <c r="L124" s="311">
        <v>0</v>
      </c>
      <c r="N124" s="310" t="s">
        <v>60</v>
      </c>
      <c r="O124" s="310" t="s">
        <v>222</v>
      </c>
      <c r="P124" s="310" t="s">
        <v>223</v>
      </c>
      <c r="Q124" s="311">
        <v>0</v>
      </c>
      <c r="R124" s="311">
        <v>0</v>
      </c>
      <c r="S124" s="311">
        <v>0</v>
      </c>
      <c r="T124" s="311">
        <v>0</v>
      </c>
      <c r="U124" s="311">
        <v>0</v>
      </c>
      <c r="V124" s="311">
        <v>0</v>
      </c>
      <c r="W124" s="311">
        <v>0</v>
      </c>
      <c r="X124" s="311">
        <v>0</v>
      </c>
      <c r="Y124" s="311">
        <v>0</v>
      </c>
      <c r="AA124" s="310"/>
      <c r="AB124" s="310"/>
      <c r="AC124" s="310"/>
      <c r="AD124" s="311"/>
      <c r="AE124" s="311"/>
      <c r="AF124" s="311"/>
      <c r="AG124" s="311"/>
      <c r="AH124" s="311"/>
      <c r="AI124" s="311"/>
      <c r="AJ124" s="311"/>
      <c r="AK124" s="311"/>
      <c r="AL124" s="311"/>
    </row>
    <row r="125" spans="1:38" ht="13.95" customHeight="1">
      <c r="A125" s="310" t="s">
        <v>60</v>
      </c>
      <c r="B125" s="310" t="s">
        <v>224</v>
      </c>
      <c r="C125" s="310" t="s">
        <v>225</v>
      </c>
      <c r="D125" s="311">
        <v>0</v>
      </c>
      <c r="E125" s="311">
        <v>0</v>
      </c>
      <c r="F125" s="311">
        <v>0</v>
      </c>
      <c r="G125" s="311">
        <v>0</v>
      </c>
      <c r="H125" s="311">
        <v>0</v>
      </c>
      <c r="I125" s="311">
        <v>0</v>
      </c>
      <c r="J125" s="311">
        <v>0</v>
      </c>
      <c r="K125" s="311">
        <v>0</v>
      </c>
      <c r="L125" s="311">
        <v>0</v>
      </c>
      <c r="N125" s="310" t="s">
        <v>60</v>
      </c>
      <c r="O125" s="310" t="s">
        <v>224</v>
      </c>
      <c r="P125" s="310" t="s">
        <v>225</v>
      </c>
      <c r="Q125" s="311">
        <v>0</v>
      </c>
      <c r="R125" s="311">
        <v>0</v>
      </c>
      <c r="S125" s="311">
        <v>0</v>
      </c>
      <c r="T125" s="311">
        <v>0</v>
      </c>
      <c r="U125" s="311">
        <v>0</v>
      </c>
      <c r="V125" s="311">
        <v>0</v>
      </c>
      <c r="W125" s="311">
        <v>0</v>
      </c>
      <c r="X125" s="311">
        <v>0</v>
      </c>
      <c r="Y125" s="311">
        <v>0</v>
      </c>
      <c r="AA125" s="310"/>
      <c r="AB125" s="310"/>
      <c r="AC125" s="310"/>
      <c r="AD125" s="311"/>
      <c r="AE125" s="311"/>
      <c r="AF125" s="311"/>
      <c r="AG125" s="311"/>
      <c r="AH125" s="311"/>
      <c r="AI125" s="311"/>
      <c r="AJ125" s="311"/>
      <c r="AK125" s="311"/>
      <c r="AL125" s="311"/>
    </row>
    <row r="126" spans="1:38" ht="12" customHeight="1"/>
    <row r="127" spans="1:38" ht="12" customHeight="1"/>
  </sheetData>
  <mergeCells count="18">
    <mergeCell ref="A1:L1"/>
    <mergeCell ref="N1:Y1"/>
    <mergeCell ref="AA1:AL1"/>
    <mergeCell ref="A2:L2"/>
    <mergeCell ref="N2:Y2"/>
    <mergeCell ref="AA2:AL2"/>
    <mergeCell ref="A43:L43"/>
    <mergeCell ref="N43:Y43"/>
    <mergeCell ref="AA43:AL43"/>
    <mergeCell ref="A44:L44"/>
    <mergeCell ref="N44:Y44"/>
    <mergeCell ref="AA44:AL44"/>
    <mergeCell ref="A85:L85"/>
    <mergeCell ref="N85:Y85"/>
    <mergeCell ref="AA85:AL85"/>
    <mergeCell ref="A86:L86"/>
    <mergeCell ref="N86:Y86"/>
    <mergeCell ref="AA86:AL8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8" ma:contentTypeDescription="Create a new document." ma:contentTypeScope="" ma:versionID="1499a5c5552011768a544aa86fe32c90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117b8a644f56c0487c45c0eae4062dcf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Props1.xml><?xml version="1.0" encoding="utf-8"?>
<ds:datastoreItem xmlns:ds="http://schemas.openxmlformats.org/officeDocument/2006/customXml" ds:itemID="{B13A21BD-4F09-4381-9F57-B52A2372C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FA0E57-D197-4281-8DE6-F3950DD44A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E70D9D-02E9-4C83-AA9E-C6A68D924AC8}">
  <ds:schemaRefs>
    <ds:schemaRef ds:uri="http://purl.org/dc/dcmitype/"/>
    <ds:schemaRef ds:uri="dc0febaa-0815-45ea-8e66-102de321f9a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5d92a71a-3ff2-49b7-99e9-0e7f5025f7c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Allocation Summary</vt:lpstr>
      <vt:lpstr>Hours</vt:lpstr>
      <vt:lpstr>Cost Study</vt:lpstr>
      <vt:lpstr>Space Support</vt:lpstr>
      <vt:lpstr>Utilities</vt:lpstr>
      <vt:lpstr>SIS</vt:lpstr>
      <vt:lpstr>Comparison</vt:lpstr>
      <vt:lpstr>Contact Hours DM</vt:lpstr>
      <vt:lpstr>Utilities!Print_Area</vt:lpstr>
      <vt:lpstr>Hours!Print_Titles</vt:lpstr>
      <vt:lpstr>Utilities!Print_Titles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Basis of Legislative Appropriations at State Colleges 2024-2025</dc:title>
  <dc:subject>Formula Funding</dc:subject>
  <dc:creator>Funding and Resource Planning</dc:creator>
  <cp:keywords>Formula Funding, Legislative Appropriations, State Colleges</cp:keywords>
  <cp:lastModifiedBy>King, Clifford</cp:lastModifiedBy>
  <cp:lastPrinted>2013-07-08T20:10:23Z</cp:lastPrinted>
  <dcterms:created xsi:type="dcterms:W3CDTF">2013-04-02T23:08:06Z</dcterms:created>
  <dcterms:modified xsi:type="dcterms:W3CDTF">2023-08-25T21:23:11Z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